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0.xml" ContentType="application/vnd.openxmlformats-officedocument.drawing+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drawings/drawing12.xml" ContentType="application/vnd.openxmlformats-officedocument.drawing+xml"/>
  <Override PartName="/xl/ctrlProps/ctrlProp12.xml" ContentType="application/vnd.ms-excel.controlproperties+xml"/>
  <Override PartName="/xl/drawings/drawing13.xml" ContentType="application/vnd.openxmlformats-officedocument.drawing+xml"/>
  <Override PartName="/xl/ctrlProps/ctrlProp13.xml" ContentType="application/vnd.ms-excel.controlproperties+xml"/>
  <Override PartName="/xl/drawings/drawing14.xml" ContentType="application/vnd.openxmlformats-officedocument.drawing+xml"/>
  <Override PartName="/xl/ctrlProps/ctrlProp14.xml" ContentType="application/vnd.ms-excel.controlproperties+xml"/>
  <Override PartName="/xl/tables/table13.xml" ContentType="application/vnd.openxmlformats-officedocument.spreadsheetml.table+xml"/>
  <Override PartName="/xl/tables/table14.xml" ContentType="application/vnd.openxmlformats-officedocument.spreadsheetml.table+xml"/>
  <Override PartName="/xl/drawings/drawing15.xml" ContentType="application/vnd.openxmlformats-officedocument.drawing+xml"/>
  <Override PartName="/xl/ctrlProps/ctrlProp15.xml" ContentType="application/vnd.ms-excel.controlproperties+xml"/>
  <Override PartName="/xl/tables/table15.xml" ContentType="application/vnd.openxmlformats-officedocument.spreadsheetml.table+xml"/>
  <Override PartName="/xl/tables/table16.xml" ContentType="application/vnd.openxmlformats-officedocument.spreadsheetml.table+xml"/>
  <Override PartName="/xl/drawings/drawing16.xml" ContentType="application/vnd.openxmlformats-officedocument.drawing+xml"/>
  <Override PartName="/xl/ctrlProps/ctrlProp16.xml" ContentType="application/vnd.ms-excel.controlproperties+xml"/>
  <Override PartName="/xl/drawings/drawing17.xml" ContentType="application/vnd.openxmlformats-officedocument.drawing+xml"/>
  <Override PartName="/xl/ctrlProps/ctrlProp17.xml" ContentType="application/vnd.ms-excel.controlproperties+xml"/>
  <Override PartName="/xl/drawings/drawing18.xml" ContentType="application/vnd.openxmlformats-officedocument.drawing+xml"/>
  <Override PartName="/xl/ctrlProps/ctrlProp18.xml" ContentType="application/vnd.ms-excel.controlproperties+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drawings/drawing19.xml" ContentType="application/vnd.openxmlformats-officedocument.drawing+xml"/>
  <Override PartName="/xl/ctrlProps/ctrlProp19.xml" ContentType="application/vnd.ms-excel.controlproperties+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drawings/drawing20.xml" ContentType="application/vnd.openxmlformats-officedocument.drawing+xml"/>
  <Override PartName="/xl/ctrlProps/ctrlProp20.xml" ContentType="application/vnd.ms-excel.controlproperties+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drawings/drawing21.xml" ContentType="application/vnd.openxmlformats-officedocument.drawing+xml"/>
  <Override PartName="/xl/ctrlProps/ctrlProp21.xml" ContentType="application/vnd.ms-excel.controlproperties+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drawings/drawing22.xml" ContentType="application/vnd.openxmlformats-officedocument.drawing+xml"/>
  <Override PartName="/xl/ctrlProps/ctrlProp22.xml" ContentType="application/vnd.ms-excel.controlproperties+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drawings/drawing23.xml" ContentType="application/vnd.openxmlformats-officedocument.drawing+xml"/>
  <Override PartName="/xl/ctrlProps/ctrlProp23.xml" ContentType="application/vnd.ms-excel.controlproperties+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drawings/drawing24.xml" ContentType="application/vnd.openxmlformats-officedocument.drawing+xml"/>
  <Override PartName="/xl/ctrlProps/ctrlProp24.xml" ContentType="application/vnd.ms-excel.controlproperties+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drawings/drawing25.xml" ContentType="application/vnd.openxmlformats-officedocument.drawing+xml"/>
  <Override PartName="/xl/ctrlProps/ctrlProp25.xml" ContentType="application/vnd.ms-excel.controlproperties+xml"/>
  <Override PartName="/xl/tables/table51.xml" ContentType="application/vnd.openxmlformats-officedocument.spreadsheetml.table+xml"/>
  <Override PartName="/xl/tables/table52.xml" ContentType="application/vnd.openxmlformats-officedocument.spreadsheetml.table+xml"/>
  <Override PartName="/xl/drawings/drawing26.xml" ContentType="application/vnd.openxmlformats-officedocument.drawing+xml"/>
  <Override PartName="/xl/ctrlProps/ctrlProp26.xml" ContentType="application/vnd.ms-excel.controlproperties+xml"/>
  <Override PartName="/xl/tables/table53.xml" ContentType="application/vnd.openxmlformats-officedocument.spreadsheetml.table+xml"/>
  <Override PartName="/xl/drawings/drawing27.xml" ContentType="application/vnd.openxmlformats-officedocument.drawing+xml"/>
  <Override PartName="/xl/ctrlProps/ctrlProp27.xml" ContentType="application/vnd.ms-excel.controlproperties+xml"/>
  <Override PartName="/xl/tables/table54.xml" ContentType="application/vnd.openxmlformats-officedocument.spreadsheetml.table+xml"/>
  <Override PartName="/xl/drawings/drawing28.xml" ContentType="application/vnd.openxmlformats-officedocument.drawing+xml"/>
  <Override PartName="/xl/ctrlProps/ctrlProp28.xml" ContentType="application/vnd.ms-excel.controlproperties+xml"/>
  <Override PartName="/xl/tables/table55.xml" ContentType="application/vnd.openxmlformats-officedocument.spreadsheetml.table+xml"/>
  <Override PartName="/xl/drawings/drawing29.xml" ContentType="application/vnd.openxmlformats-officedocument.drawing+xml"/>
  <Override PartName="/xl/ctrlProps/ctrlProp29.xml" ContentType="application/vnd.ms-excel.controlproperties+xml"/>
  <Override PartName="/xl/tables/table56.xml" ContentType="application/vnd.openxmlformats-officedocument.spreadsheetml.table+xml"/>
  <Override PartName="/xl/tables/table57.xml" ContentType="application/vnd.openxmlformats-officedocument.spreadsheetml.table+xml"/>
  <Override PartName="/xl/drawings/drawing30.xml" ContentType="application/vnd.openxmlformats-officedocument.drawing+xml"/>
  <Override PartName="/xl/ctrlProps/ctrlProp30.xml" ContentType="application/vnd.ms-excel.controlproperties+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drawings/drawing31.xml" ContentType="application/vnd.openxmlformats-officedocument.drawing+xml"/>
  <Override PartName="/xl/ctrlProps/ctrlProp31.xml" ContentType="application/vnd.ms-excel.controlproperties+xml"/>
  <Override PartName="/xl/tables/table61.xml" ContentType="application/vnd.openxmlformats-officedocument.spreadsheetml.table+xml"/>
  <Override PartName="/xl/tables/table62.xml" ContentType="application/vnd.openxmlformats-officedocument.spreadsheetml.table+xml"/>
  <Override PartName="/xl/drawings/drawing32.xml" ContentType="application/vnd.openxmlformats-officedocument.drawing+xml"/>
  <Override PartName="/xl/ctrlProps/ctrlProp32.xml" ContentType="application/vnd.ms-excel.controlproperties+xml"/>
  <Override PartName="/xl/tables/table63.xml" ContentType="application/vnd.openxmlformats-officedocument.spreadsheetml.table+xml"/>
  <Override PartName="/xl/drawings/drawing33.xml" ContentType="application/vnd.openxmlformats-officedocument.drawing+xml"/>
  <Override PartName="/xl/ctrlProps/ctrlProp33.xml" ContentType="application/vnd.ms-excel.controlproperties+xml"/>
  <Override PartName="/xl/tables/table64.xml" ContentType="application/vnd.openxmlformats-officedocument.spreadsheetml.table+xml"/>
  <Override PartName="/xl/drawings/drawing34.xml" ContentType="application/vnd.openxmlformats-officedocument.drawing+xml"/>
  <Override PartName="/xl/ctrlProps/ctrlProp34.xml" ContentType="application/vnd.ms-excel.controlproperties+xml"/>
  <Override PartName="/xl/tables/table65.xml" ContentType="application/vnd.openxmlformats-officedocument.spreadsheetml.table+xml"/>
  <Override PartName="/xl/drawings/drawing35.xml" ContentType="application/vnd.openxmlformats-officedocument.drawing+xml"/>
  <Override PartName="/xl/ctrlProps/ctrlProp35.xml" ContentType="application/vnd.ms-excel.controlproperties+xml"/>
  <Override PartName="/xl/tables/table66.xml" ContentType="application/vnd.openxmlformats-officedocument.spreadsheetml.table+xml"/>
  <Override PartName="/xl/tables/table67.xml" ContentType="application/vnd.openxmlformats-officedocument.spreadsheetml.table+xml"/>
  <Override PartName="/xl/drawings/drawing36.xml" ContentType="application/vnd.openxmlformats-officedocument.drawing+xml"/>
  <Override PartName="/xl/ctrlProps/ctrlProp36.xml" ContentType="application/vnd.ms-excel.controlproperties+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drawings/drawing37.xml" ContentType="application/vnd.openxmlformats-officedocument.drawing+xml"/>
  <Override PartName="/xl/ctrlProps/ctrlProp37.xml" ContentType="application/vnd.ms-excel.controlproperties+xml"/>
  <Override PartName="/xl/tables/table71.xml" ContentType="application/vnd.openxmlformats-officedocument.spreadsheetml.table+xml"/>
  <Override PartName="/xl/tables/table72.xml" ContentType="application/vnd.openxmlformats-officedocument.spreadsheetml.table+xml"/>
  <Override PartName="/xl/drawings/drawing38.xml" ContentType="application/vnd.openxmlformats-officedocument.drawing+xml"/>
  <Override PartName="/xl/ctrlProps/ctrlProp38.xml" ContentType="application/vnd.ms-excel.controlproperties+xml"/>
  <Override PartName="/xl/drawings/drawing3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0.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4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45.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24226"/>
  <xr:revisionPtr revIDLastSave="0" documentId="13_ncr:1_{9B356249-4E05-49FB-9F6B-79A0F7C1F483}" xr6:coauthVersionLast="47" xr6:coauthVersionMax="47" xr10:uidLastSave="{00000000-0000-0000-0000-000000000000}"/>
  <bookViews>
    <workbookView xWindow="28680" yWindow="-120" windowWidth="29040" windowHeight="15720" tabRatio="831" xr2:uid="{00000000-000D-0000-FFFF-FFFF00000000}"/>
  </bookViews>
  <sheets>
    <sheet name="巻末資料表紙" sheetId="157" r:id="rId1"/>
    <sheet name="2-Ⅰ" sheetId="88" r:id="rId2"/>
    <sheet name="２-Ⅱ" sheetId="89" r:id="rId3"/>
    <sheet name="２-Ⅲ" sheetId="90" r:id="rId4"/>
    <sheet name="２-Ⅳ" sheetId="91" r:id="rId5"/>
    <sheet name="２-Ⅴ" sheetId="93" r:id="rId6"/>
    <sheet name="２-Ⅵ" sheetId="95" r:id="rId7"/>
    <sheet name="３-Ⅰ" sheetId="98" r:id="rId8"/>
    <sheet name="３-Ⅱ" sheetId="99" r:id="rId9"/>
    <sheet name="３-Ⅲ" sheetId="100" r:id="rId10"/>
    <sheet name="３-Ⅳ" sheetId="102" r:id="rId11"/>
    <sheet name="３-Ⅴ" sheetId="104" r:id="rId12"/>
    <sheet name="４-Ⅰ" sheetId="79" r:id="rId13"/>
    <sheet name="４-Ⅱ" sheetId="80" r:id="rId14"/>
    <sheet name="４-Ⅲ" sheetId="81" r:id="rId15"/>
    <sheet name="４-Ⅳ" sheetId="82" r:id="rId16"/>
    <sheet name="４-Ⅴ" sheetId="84" r:id="rId17"/>
    <sheet name="４-Ⅵ" sheetId="85" r:id="rId18"/>
    <sheet name="5-Ⅰ①" sheetId="150" r:id="rId19"/>
    <sheet name="５-Ⅰ②" sheetId="113" r:id="rId20"/>
    <sheet name="５-Ⅰ③" sheetId="114" r:id="rId21"/>
    <sheet name="５-Ⅱ①" sheetId="120" r:id="rId22"/>
    <sheet name="５-Ⅱ②" sheetId="121" r:id="rId23"/>
    <sheet name="５-Ⅱ③" sheetId="122" r:id="rId24"/>
    <sheet name="５-Ⅱ④" sheetId="123" r:id="rId25"/>
    <sheet name="6-Ⅰ①" sheetId="180" r:id="rId26"/>
    <sheet name="6-Ⅰ②" sheetId="181" r:id="rId27"/>
    <sheet name="6-Ⅰ③" sheetId="182" r:id="rId28"/>
    <sheet name="6-Ⅰ④ " sheetId="183" r:id="rId29"/>
    <sheet name="6-Ⅰ⑤" sheetId="176" r:id="rId30"/>
    <sheet name="6-Ⅰ⑥ " sheetId="184" r:id="rId31"/>
    <sheet name="6-Ⅱ①" sheetId="185" r:id="rId32"/>
    <sheet name="6-Ⅱ②" sheetId="186" r:id="rId33"/>
    <sheet name="6-Ⅱ③" sheetId="187" r:id="rId34"/>
    <sheet name="6-Ⅱ④" sheetId="188" r:id="rId35"/>
    <sheet name="6-Ⅱ⑤" sheetId="177" r:id="rId36"/>
    <sheet name="6-Ⅱ⑥" sheetId="189" r:id="rId37"/>
    <sheet name="6-Ⅲ" sheetId="190" r:id="rId38"/>
    <sheet name="6-Ⅳ" sheetId="191" r:id="rId39"/>
    <sheet name="一覧表 (病院所在地）" sheetId="178" r:id="rId40"/>
    <sheet name="一覧表(入院時住所地)" sheetId="179" r:id="rId41"/>
    <sheet name="グラフ(年齢区分）" sheetId="151" r:id="rId42"/>
    <sheet name="グラフ(疾患名)" sheetId="152" r:id="rId43"/>
    <sheet name="グラフ(在院期間) " sheetId="153" r:id="rId44"/>
    <sheet name="グラフ(在院期間)  (2)" sheetId="158" r:id="rId45"/>
    <sheet name="グラフ(退院阻害要因＿１) " sheetId="155" r:id="rId46"/>
    <sheet name="グラフ(退院阻害要因＿２）" sheetId="156" r:id="rId47"/>
    <sheet name="グラフ(退院阻害要因＿２(寛解・院内寛解)" sheetId="174" r:id="rId48"/>
  </sheets>
  <definedNames>
    <definedName name="_xlnm.Print_Area" localSheetId="1">'2-Ⅰ'!$A$1:$I$18</definedName>
    <definedName name="_xlnm.Print_Area" localSheetId="2">'２-Ⅱ'!$A$1:$E$21</definedName>
    <definedName name="_xlnm.Print_Area" localSheetId="3">'２-Ⅲ'!$A$1:$K$21</definedName>
    <definedName name="_xlnm.Print_Area" localSheetId="4">'２-Ⅳ'!$A$1:$I$25</definedName>
    <definedName name="_xlnm.Print_Area" localSheetId="5">'２-Ⅴ'!$A$1:$C$11</definedName>
    <definedName name="_xlnm.Print_Area" localSheetId="6">'２-Ⅵ'!$A$1:$I$42</definedName>
    <definedName name="_xlnm.Print_Area" localSheetId="7">'３-Ⅰ'!$A$1:$I$17</definedName>
    <definedName name="_xlnm.Print_Area" localSheetId="8">'３-Ⅱ'!$A$1:$E$21</definedName>
    <definedName name="_xlnm.Print_Area" localSheetId="9">'３-Ⅲ'!$A$1:$K$21</definedName>
    <definedName name="_xlnm.Print_Area" localSheetId="10">'３-Ⅳ'!$A$1:$C$11</definedName>
    <definedName name="_xlnm.Print_Area" localSheetId="11">'３-Ⅴ'!$A$1:$I$42</definedName>
    <definedName name="_xlnm.Print_Area" localSheetId="12">'４-Ⅰ'!$A$1:$G$13</definedName>
    <definedName name="_xlnm.Print_Area" localSheetId="13">'４-Ⅱ'!$A$1:$C$21</definedName>
    <definedName name="_xlnm.Print_Area" localSheetId="14">'４-Ⅲ'!$B$1:$H$43</definedName>
    <definedName name="_xlnm.Print_Area" localSheetId="15">'４-Ⅳ'!$A$1:$H$26</definedName>
    <definedName name="_xlnm.Print_Area" localSheetId="16">'４-Ⅴ'!$A$1:$F$23</definedName>
    <definedName name="_xlnm.Print_Area" localSheetId="17">'４-Ⅵ'!$A$1:$K$41</definedName>
    <definedName name="_xlnm.Print_Area" localSheetId="18">'5-Ⅰ①'!$B$1:$F$67</definedName>
    <definedName name="_xlnm.Print_Area" localSheetId="19">'５-Ⅰ②'!$B$1:$J$67</definedName>
    <definedName name="_xlnm.Print_Area" localSheetId="20">'５-Ⅰ③'!$A$1:$J$69</definedName>
    <definedName name="_xlnm.Print_Area" localSheetId="21">'５-Ⅱ①'!$B$1:$M$31</definedName>
    <definedName name="_xlnm.Print_Area" localSheetId="22">'５-Ⅱ②'!$B$1:$M$31</definedName>
    <definedName name="_xlnm.Print_Area" localSheetId="23">'５-Ⅱ③'!$B$1:$L$33</definedName>
    <definedName name="_xlnm.Print_Area" localSheetId="24">'５-Ⅱ④'!$B$1:$L$31</definedName>
    <definedName name="_xlnm.Print_Area" localSheetId="25">'6-Ⅰ①'!$A$1:$J$31</definedName>
    <definedName name="_xlnm.Print_Area" localSheetId="26">'6-Ⅰ②'!$A$1:$J$15</definedName>
    <definedName name="_xlnm.Print_Area" localSheetId="27">'6-Ⅰ③'!$A$1:$J$35</definedName>
    <definedName name="_xlnm.Print_Area" localSheetId="28">'6-Ⅰ④ '!$A$1:$J$45</definedName>
    <definedName name="_xlnm.Print_Area" localSheetId="29">'6-Ⅰ⑤'!$A$1:$J$38</definedName>
    <definedName name="_xlnm.Print_Area" localSheetId="30">'6-Ⅰ⑥ '!$A$1:$J$63</definedName>
    <definedName name="_xlnm.Print_Area" localSheetId="31">'6-Ⅱ①'!$A$1:$K$31</definedName>
    <definedName name="_xlnm.Print_Area" localSheetId="32">'6-Ⅱ②'!$A$1:$K$15</definedName>
    <definedName name="_xlnm.Print_Area" localSheetId="33">'6-Ⅱ③'!$A$1:$K$35</definedName>
    <definedName name="_xlnm.Print_Area" localSheetId="34">'6-Ⅱ④'!$A$1:$K$45</definedName>
    <definedName name="_xlnm.Print_Area" localSheetId="35">'6-Ⅱ⑤'!$A$1:$K$38</definedName>
    <definedName name="_xlnm.Print_Area" localSheetId="36">'6-Ⅱ⑥'!$A$1:$K$63</definedName>
    <definedName name="_xlnm.Print_Area" localSheetId="37">'6-Ⅲ'!$A$1:$K$45</definedName>
    <definedName name="_xlnm.Print_Area" localSheetId="38">'6-Ⅳ'!$B$1:$Q$91</definedName>
    <definedName name="_xlnm.Print_Area" localSheetId="43">'グラフ(在院期間) '!$A$1:$J$44</definedName>
    <definedName name="_xlnm.Print_Area" localSheetId="44">'グラフ(在院期間)  (2)'!$A$1:$J$44</definedName>
    <definedName name="_xlnm.Print_Area" localSheetId="42">'グラフ(疾患名)'!$A$1:$K$61</definedName>
    <definedName name="_xlnm.Print_Area" localSheetId="45">'グラフ(退院阻害要因＿１) '!$A$1:$G$23</definedName>
    <definedName name="_xlnm.Print_Area" localSheetId="47">'グラフ(退院阻害要因＿２(寛解・院内寛解)'!$A$1:$I$88</definedName>
    <definedName name="_xlnm.Print_Area" localSheetId="46">'グラフ(退院阻害要因＿２）'!$A$1:$I$88</definedName>
    <definedName name="_xlnm.Print_Area" localSheetId="41">'グラフ(年齢区分）'!$A$1:$K$62</definedName>
    <definedName name="_xlnm.Print_Area" localSheetId="39">'一覧表 (病院所在地）'!$A$1:$H$72</definedName>
    <definedName name="_xlnm.Print_Area" localSheetId="40">'一覧表(入院時住所地)'!$A$1:$H$72</definedName>
    <definedName name="_xlnm.Print_Area" localSheetId="0">巻末資料表紙!$A$1:$A$3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5" i="120" l="1"/>
  <c r="C5" i="120"/>
  <c r="C20" i="120"/>
  <c r="N46" i="151"/>
  <c r="C74" i="191"/>
  <c r="D74" i="191"/>
  <c r="E74" i="191"/>
  <c r="F74" i="191"/>
  <c r="G74" i="191"/>
  <c r="H74" i="191"/>
  <c r="C83" i="191"/>
  <c r="D83" i="191"/>
  <c r="E83" i="191"/>
  <c r="F83" i="191"/>
  <c r="G83" i="191"/>
  <c r="H83" i="191"/>
  <c r="B40" i="190"/>
  <c r="B42" i="190"/>
  <c r="F10" i="181"/>
  <c r="F12" i="180"/>
  <c r="H15" i="85" l="1"/>
  <c r="H8" i="85"/>
  <c r="B15" i="85"/>
  <c r="B8" i="85"/>
  <c r="I42" i="104"/>
  <c r="H42" i="104"/>
  <c r="C42" i="104"/>
  <c r="I41" i="104"/>
  <c r="H41" i="104"/>
  <c r="C41" i="104"/>
  <c r="I40" i="104"/>
  <c r="H40" i="104"/>
  <c r="C40" i="104"/>
  <c r="I39" i="104"/>
  <c r="H39" i="104"/>
  <c r="C39" i="104"/>
  <c r="I38" i="104"/>
  <c r="H38" i="104"/>
  <c r="C38" i="104"/>
  <c r="I37" i="104"/>
  <c r="H37" i="104"/>
  <c r="C37" i="104"/>
  <c r="I36" i="104"/>
  <c r="H36" i="104"/>
  <c r="C36" i="104"/>
  <c r="I35" i="104"/>
  <c r="H35" i="104"/>
  <c r="C35" i="104"/>
  <c r="I34" i="104"/>
  <c r="H34" i="104"/>
  <c r="C34" i="104"/>
  <c r="I33" i="104"/>
  <c r="H33" i="104"/>
  <c r="C33" i="104"/>
  <c r="I32" i="104"/>
  <c r="H32" i="104"/>
  <c r="C32" i="104"/>
  <c r="I31" i="104"/>
  <c r="H31" i="104"/>
  <c r="C31" i="104"/>
  <c r="I30" i="104"/>
  <c r="H30" i="104"/>
  <c r="C30" i="104"/>
  <c r="I29" i="104"/>
  <c r="H29" i="104"/>
  <c r="C29" i="104"/>
  <c r="I28" i="104"/>
  <c r="H28" i="104"/>
  <c r="C28" i="104"/>
  <c r="I27" i="104"/>
  <c r="H27" i="104"/>
  <c r="C27" i="104"/>
  <c r="I26" i="104"/>
  <c r="H26" i="104"/>
  <c r="C26" i="104"/>
  <c r="I25" i="104"/>
  <c r="H25" i="104"/>
  <c r="C25" i="104"/>
  <c r="I24" i="104"/>
  <c r="H24" i="104"/>
  <c r="C24" i="104"/>
  <c r="I23" i="104"/>
  <c r="H23" i="104"/>
  <c r="C23" i="104"/>
  <c r="E21" i="104"/>
  <c r="A21" i="104"/>
  <c r="I16" i="104"/>
  <c r="H16" i="104"/>
  <c r="G16" i="104"/>
  <c r="F16" i="104"/>
  <c r="C16" i="104"/>
  <c r="B16" i="104"/>
  <c r="C15" i="104" s="1"/>
  <c r="I15" i="104"/>
  <c r="H15" i="104"/>
  <c r="H14" i="104"/>
  <c r="I8" i="104"/>
  <c r="H8" i="104"/>
  <c r="G8" i="104"/>
  <c r="F8" i="104"/>
  <c r="C8" i="104"/>
  <c r="B8" i="104"/>
  <c r="C7" i="104" s="1"/>
  <c r="I7" i="104"/>
  <c r="H7" i="104"/>
  <c r="H6" i="104"/>
  <c r="H5" i="104"/>
  <c r="I42" i="95"/>
  <c r="H42" i="95"/>
  <c r="C42" i="95"/>
  <c r="I41" i="95"/>
  <c r="H41" i="95"/>
  <c r="C41" i="95"/>
  <c r="I40" i="95"/>
  <c r="H40" i="95"/>
  <c r="C40" i="95"/>
  <c r="I39" i="95"/>
  <c r="H39" i="95"/>
  <c r="C39" i="95"/>
  <c r="I38" i="95"/>
  <c r="H38" i="95"/>
  <c r="C38" i="95"/>
  <c r="I37" i="95"/>
  <c r="H37" i="95"/>
  <c r="C37" i="95"/>
  <c r="I36" i="95"/>
  <c r="H36" i="95"/>
  <c r="C36" i="95"/>
  <c r="I35" i="95"/>
  <c r="H35" i="95"/>
  <c r="C35" i="95"/>
  <c r="I34" i="95"/>
  <c r="H34" i="95"/>
  <c r="C34" i="95"/>
  <c r="I33" i="95"/>
  <c r="H33" i="95"/>
  <c r="C33" i="95"/>
  <c r="I32" i="95"/>
  <c r="H32" i="95"/>
  <c r="C32" i="95"/>
  <c r="I31" i="95"/>
  <c r="H31" i="95"/>
  <c r="C31" i="95"/>
  <c r="I30" i="95"/>
  <c r="H30" i="95"/>
  <c r="C30" i="95"/>
  <c r="I29" i="95"/>
  <c r="H29" i="95"/>
  <c r="C29" i="95"/>
  <c r="I28" i="95"/>
  <c r="H28" i="95"/>
  <c r="C28" i="95"/>
  <c r="I27" i="95"/>
  <c r="H27" i="95"/>
  <c r="C27" i="95"/>
  <c r="I26" i="95"/>
  <c r="H26" i="95"/>
  <c r="C26" i="95"/>
  <c r="I25" i="95"/>
  <c r="H25" i="95"/>
  <c r="C25" i="95"/>
  <c r="I24" i="95"/>
  <c r="H24" i="95"/>
  <c r="C24" i="95"/>
  <c r="I23" i="95"/>
  <c r="H23" i="95"/>
  <c r="C23" i="95"/>
  <c r="E21" i="95"/>
  <c r="A21" i="95"/>
  <c r="I16" i="95"/>
  <c r="H16" i="95"/>
  <c r="I15" i="95" s="1"/>
  <c r="G16" i="95"/>
  <c r="F16" i="95"/>
  <c r="C16" i="95"/>
  <c r="B16" i="95"/>
  <c r="C15" i="95" s="1"/>
  <c r="H15" i="95"/>
  <c r="H14" i="95"/>
  <c r="I8" i="95"/>
  <c r="H8" i="95"/>
  <c r="G8" i="95"/>
  <c r="F8" i="95"/>
  <c r="C8" i="95"/>
  <c r="B8" i="95"/>
  <c r="C7" i="95" s="1"/>
  <c r="I7" i="95"/>
  <c r="H7" i="95"/>
  <c r="H6" i="95"/>
  <c r="H5" i="95"/>
  <c r="B12" i="84"/>
  <c r="AE13" i="180" l="1"/>
  <c r="AD13" i="180"/>
  <c r="AC13" i="180"/>
  <c r="AB13" i="180"/>
  <c r="AA13" i="180"/>
  <c r="Z13" i="180"/>
  <c r="Y13" i="180"/>
  <c r="X13" i="180"/>
  <c r="W13" i="180"/>
  <c r="V13" i="180"/>
  <c r="U13" i="180"/>
  <c r="T13" i="180"/>
  <c r="S13" i="180"/>
  <c r="R13" i="180"/>
  <c r="Q13" i="180"/>
  <c r="P13" i="180"/>
  <c r="O13" i="180"/>
  <c r="N13" i="180"/>
  <c r="M13" i="180"/>
  <c r="P73" i="191"/>
  <c r="P72" i="191"/>
  <c r="P71" i="191"/>
  <c r="P70" i="191"/>
  <c r="P69" i="191"/>
  <c r="P68" i="191"/>
  <c r="P67" i="191"/>
  <c r="P66" i="191"/>
  <c r="P65" i="191"/>
  <c r="P64" i="191"/>
  <c r="P63" i="191"/>
  <c r="P62" i="191"/>
  <c r="P61" i="191"/>
  <c r="P60" i="191"/>
  <c r="P59" i="191"/>
  <c r="P58" i="191"/>
  <c r="P57" i="191"/>
  <c r="P56" i="191"/>
  <c r="P55" i="191"/>
  <c r="P54" i="191"/>
  <c r="P53" i="191"/>
  <c r="P52" i="191"/>
  <c r="P51" i="191"/>
  <c r="P50" i="191"/>
  <c r="P49" i="191"/>
  <c r="P43" i="191"/>
  <c r="P48" i="191" l="1"/>
  <c r="C6" i="104" l="1"/>
  <c r="I6" i="104"/>
  <c r="C6" i="95"/>
  <c r="G24" i="180"/>
  <c r="H24" i="180"/>
  <c r="C14" i="104" l="1"/>
  <c r="I5" i="104"/>
  <c r="C5" i="104"/>
  <c r="C14" i="95"/>
  <c r="I5" i="95"/>
  <c r="I6" i="95"/>
  <c r="C5" i="95"/>
  <c r="I14" i="104" l="1"/>
  <c r="I14" i="95"/>
  <c r="O91" i="191"/>
  <c r="N91" i="191"/>
  <c r="M91" i="191"/>
  <c r="L91" i="191"/>
  <c r="K91" i="191"/>
  <c r="J91" i="191"/>
  <c r="H91" i="191"/>
  <c r="G91" i="191"/>
  <c r="F91" i="191"/>
  <c r="E91" i="191"/>
  <c r="D91" i="191"/>
  <c r="C91" i="191"/>
  <c r="P90" i="191"/>
  <c r="I90" i="191"/>
  <c r="Q90" i="191" s="1"/>
  <c r="P89" i="191"/>
  <c r="I89" i="191"/>
  <c r="P88" i="191"/>
  <c r="I88" i="191"/>
  <c r="Q88" i="191" s="1"/>
  <c r="P87" i="191"/>
  <c r="I87" i="191"/>
  <c r="P86" i="191"/>
  <c r="I86" i="191"/>
  <c r="Q86" i="191" s="1"/>
  <c r="P85" i="191"/>
  <c r="I85" i="191"/>
  <c r="P84" i="191"/>
  <c r="I84" i="191"/>
  <c r="Q84" i="191" s="1"/>
  <c r="O83" i="191"/>
  <c r="N83" i="191"/>
  <c r="M83" i="191"/>
  <c r="L83" i="191"/>
  <c r="K83" i="191"/>
  <c r="J83" i="191"/>
  <c r="P82" i="191"/>
  <c r="I82" i="191"/>
  <c r="P81" i="191"/>
  <c r="I81" i="191"/>
  <c r="P80" i="191"/>
  <c r="I80" i="191"/>
  <c r="P79" i="191"/>
  <c r="I79" i="191"/>
  <c r="P78" i="191"/>
  <c r="I78" i="191"/>
  <c r="P77" i="191"/>
  <c r="I77" i="191"/>
  <c r="P76" i="191"/>
  <c r="I76" i="191"/>
  <c r="P75" i="191"/>
  <c r="I75" i="191"/>
  <c r="O74" i="191"/>
  <c r="N74" i="191"/>
  <c r="M74" i="191"/>
  <c r="L74" i="191"/>
  <c r="K74" i="191"/>
  <c r="J74" i="191"/>
  <c r="I73" i="191"/>
  <c r="I72" i="191"/>
  <c r="I71" i="191"/>
  <c r="I70" i="191"/>
  <c r="I69" i="191"/>
  <c r="I68" i="191"/>
  <c r="I67" i="191"/>
  <c r="I66" i="191"/>
  <c r="I65" i="191"/>
  <c r="I64" i="191"/>
  <c r="I63" i="191"/>
  <c r="I62" i="191"/>
  <c r="I61" i="191"/>
  <c r="I60" i="191"/>
  <c r="I59" i="191"/>
  <c r="I58" i="191"/>
  <c r="I57" i="191"/>
  <c r="I56" i="191"/>
  <c r="I55" i="191"/>
  <c r="I54" i="191"/>
  <c r="I53" i="191"/>
  <c r="I52" i="191"/>
  <c r="I51" i="191"/>
  <c r="I50" i="191"/>
  <c r="I49" i="191"/>
  <c r="O48" i="191"/>
  <c r="N48" i="191"/>
  <c r="M48" i="191"/>
  <c r="L48" i="191"/>
  <c r="K48" i="191"/>
  <c r="J48" i="191"/>
  <c r="H48" i="191"/>
  <c r="G48" i="191"/>
  <c r="F48" i="191"/>
  <c r="E48" i="191"/>
  <c r="D48" i="191"/>
  <c r="C48" i="191"/>
  <c r="P45" i="191"/>
  <c r="I45" i="191"/>
  <c r="P44" i="191"/>
  <c r="I44" i="191"/>
  <c r="I43" i="191"/>
  <c r="Q43" i="191" s="1"/>
  <c r="P42" i="191"/>
  <c r="I42" i="191"/>
  <c r="P41" i="191"/>
  <c r="I41" i="191"/>
  <c r="P40" i="191"/>
  <c r="I40" i="191"/>
  <c r="P39" i="191"/>
  <c r="I39" i="191"/>
  <c r="P38" i="191"/>
  <c r="I38" i="191"/>
  <c r="Q38" i="191" s="1"/>
  <c r="P37" i="191"/>
  <c r="I37" i="191"/>
  <c r="P36" i="191"/>
  <c r="I36" i="191"/>
  <c r="Q36" i="191" s="1"/>
  <c r="P35" i="191"/>
  <c r="I35" i="191"/>
  <c r="Q35" i="191" s="1"/>
  <c r="P34" i="191"/>
  <c r="I34" i="191"/>
  <c r="Q34" i="191" s="1"/>
  <c r="P33" i="191"/>
  <c r="I33" i="191"/>
  <c r="P32" i="191"/>
  <c r="I32" i="191"/>
  <c r="Q32" i="191" s="1"/>
  <c r="P31" i="191"/>
  <c r="I31" i="191"/>
  <c r="P30" i="191"/>
  <c r="I30" i="191"/>
  <c r="Q30" i="191" s="1"/>
  <c r="P29" i="191"/>
  <c r="I29" i="191"/>
  <c r="P28" i="191"/>
  <c r="I28" i="191"/>
  <c r="Q28" i="191" s="1"/>
  <c r="P27" i="191"/>
  <c r="I27" i="191"/>
  <c r="Q27" i="191" s="1"/>
  <c r="P26" i="191"/>
  <c r="I26" i="191"/>
  <c r="Q26" i="191" s="1"/>
  <c r="P25" i="191"/>
  <c r="I25" i="191"/>
  <c r="P24" i="191"/>
  <c r="I24" i="191"/>
  <c r="Q24" i="191" s="1"/>
  <c r="P23" i="191"/>
  <c r="I23" i="191"/>
  <c r="P22" i="191"/>
  <c r="I22" i="191"/>
  <c r="Q22" i="191" s="1"/>
  <c r="P21" i="191"/>
  <c r="I21" i="191"/>
  <c r="P20" i="191"/>
  <c r="I20" i="191"/>
  <c r="Q20" i="191" s="1"/>
  <c r="P19" i="191"/>
  <c r="I19" i="191"/>
  <c r="Q19" i="191" s="1"/>
  <c r="P18" i="191"/>
  <c r="I18" i="191"/>
  <c r="Q18" i="191" s="1"/>
  <c r="P17" i="191"/>
  <c r="I17" i="191"/>
  <c r="P16" i="191"/>
  <c r="I16" i="191"/>
  <c r="Q16" i="191" s="1"/>
  <c r="P15" i="191"/>
  <c r="I15" i="191"/>
  <c r="P14" i="191"/>
  <c r="I14" i="191"/>
  <c r="Q14" i="191" s="1"/>
  <c r="P13" i="191"/>
  <c r="I13" i="191"/>
  <c r="P12" i="191"/>
  <c r="I12" i="191"/>
  <c r="Q12" i="191" s="1"/>
  <c r="P11" i="191"/>
  <c r="I11" i="191"/>
  <c r="Q11" i="191" s="1"/>
  <c r="P10" i="191"/>
  <c r="I10" i="191"/>
  <c r="Q10" i="191" s="1"/>
  <c r="P9" i="191"/>
  <c r="I9" i="191"/>
  <c r="P8" i="191"/>
  <c r="I8" i="191"/>
  <c r="Q8" i="191" s="1"/>
  <c r="P7" i="191"/>
  <c r="I7" i="191"/>
  <c r="P6" i="191"/>
  <c r="I6" i="191"/>
  <c r="Q6" i="191" s="1"/>
  <c r="P5" i="191"/>
  <c r="I5" i="191"/>
  <c r="AU47" i="190"/>
  <c r="AT47" i="190"/>
  <c r="AS47" i="190"/>
  <c r="AR47" i="190"/>
  <c r="AQ47" i="190"/>
  <c r="AP47" i="190"/>
  <c r="AO47" i="190"/>
  <c r="AN47" i="190"/>
  <c r="AM47" i="190"/>
  <c r="AU46" i="190"/>
  <c r="J42" i="190" s="1"/>
  <c r="AT46" i="190"/>
  <c r="I42" i="190" s="1"/>
  <c r="AS46" i="190"/>
  <c r="H42" i="190" s="1"/>
  <c r="AR46" i="190"/>
  <c r="G42" i="190" s="1"/>
  <c r="AQ46" i="190"/>
  <c r="F42" i="190" s="1"/>
  <c r="AP46" i="190"/>
  <c r="E42" i="190" s="1"/>
  <c r="AO46" i="190"/>
  <c r="D42" i="190" s="1"/>
  <c r="AN46" i="190"/>
  <c r="C42" i="190" s="1"/>
  <c r="AM46" i="190"/>
  <c r="AV45" i="190"/>
  <c r="AU44" i="190"/>
  <c r="AT44" i="190"/>
  <c r="AS44" i="190"/>
  <c r="AR44" i="190"/>
  <c r="AQ44" i="190"/>
  <c r="AP44" i="190"/>
  <c r="AO44" i="190"/>
  <c r="AN44" i="190"/>
  <c r="AM44" i="190"/>
  <c r="AU43" i="190"/>
  <c r="AT43" i="190"/>
  <c r="AS43" i="190"/>
  <c r="AR43" i="190"/>
  <c r="AQ43" i="190"/>
  <c r="AP43" i="190"/>
  <c r="AO43" i="190"/>
  <c r="AN43" i="190"/>
  <c r="AM43" i="190"/>
  <c r="AU42" i="190"/>
  <c r="AT42" i="190"/>
  <c r="AS42" i="190"/>
  <c r="AR42" i="190"/>
  <c r="AQ42" i="190"/>
  <c r="AP42" i="190"/>
  <c r="AO42" i="190"/>
  <c r="AN42" i="190"/>
  <c r="AM42" i="190"/>
  <c r="AU41" i="190"/>
  <c r="AT41" i="190"/>
  <c r="I36" i="190" s="1"/>
  <c r="AS41" i="190"/>
  <c r="AR41" i="190"/>
  <c r="AQ41" i="190"/>
  <c r="AP41" i="190"/>
  <c r="AO41" i="190"/>
  <c r="AN41" i="190"/>
  <c r="AM41" i="190"/>
  <c r="AU40" i="190"/>
  <c r="J36" i="190" s="1"/>
  <c r="AT40" i="190"/>
  <c r="AS40" i="190"/>
  <c r="AR40" i="190"/>
  <c r="AQ40" i="190"/>
  <c r="AP40" i="190"/>
  <c r="E36" i="190" s="1"/>
  <c r="AO40" i="190"/>
  <c r="AN40" i="190"/>
  <c r="AM40" i="190"/>
  <c r="B36" i="190" s="1"/>
  <c r="J40" i="190"/>
  <c r="I40" i="190"/>
  <c r="H40" i="190"/>
  <c r="G40" i="190"/>
  <c r="F40" i="190"/>
  <c r="E40" i="190"/>
  <c r="D40" i="190"/>
  <c r="C40" i="190"/>
  <c r="AU39" i="190"/>
  <c r="AT39" i="190"/>
  <c r="AS39" i="190"/>
  <c r="AR39" i="190"/>
  <c r="AQ39" i="190"/>
  <c r="AP39" i="190"/>
  <c r="AO39" i="190"/>
  <c r="AN39" i="190"/>
  <c r="AM39" i="190"/>
  <c r="AU38" i="190"/>
  <c r="AT38" i="190"/>
  <c r="AS38" i="190"/>
  <c r="AR38" i="190"/>
  <c r="AQ38" i="190"/>
  <c r="AP38" i="190"/>
  <c r="AO38" i="190"/>
  <c r="AN38" i="190"/>
  <c r="AM38" i="190"/>
  <c r="AU37" i="190"/>
  <c r="AT37" i="190"/>
  <c r="AS37" i="190"/>
  <c r="AR37" i="190"/>
  <c r="AQ37" i="190"/>
  <c r="AP37" i="190"/>
  <c r="AO37" i="190"/>
  <c r="AN37" i="190"/>
  <c r="AM37" i="190"/>
  <c r="AU36" i="190"/>
  <c r="AT36" i="190"/>
  <c r="AS36" i="190"/>
  <c r="AR36" i="190"/>
  <c r="AQ36" i="190"/>
  <c r="AP36" i="190"/>
  <c r="AO36" i="190"/>
  <c r="AN36" i="190"/>
  <c r="AM36" i="190"/>
  <c r="AU35" i="190"/>
  <c r="AT35" i="190"/>
  <c r="AS35" i="190"/>
  <c r="AR35" i="190"/>
  <c r="AQ35" i="190"/>
  <c r="AP35" i="190"/>
  <c r="AO35" i="190"/>
  <c r="AN35" i="190"/>
  <c r="AM35" i="190"/>
  <c r="AU34" i="190"/>
  <c r="AT34" i="190"/>
  <c r="AS34" i="190"/>
  <c r="AR34" i="190"/>
  <c r="AQ34" i="190"/>
  <c r="AP34" i="190"/>
  <c r="AO34" i="190"/>
  <c r="AN34" i="190"/>
  <c r="AM34" i="190"/>
  <c r="AU33" i="190"/>
  <c r="AT33" i="190"/>
  <c r="AS33" i="190"/>
  <c r="AR33" i="190"/>
  <c r="AQ33" i="190"/>
  <c r="AP33" i="190"/>
  <c r="AO33" i="190"/>
  <c r="AN33" i="190"/>
  <c r="AM33" i="190"/>
  <c r="AU32" i="190"/>
  <c r="AT32" i="190"/>
  <c r="AS32" i="190"/>
  <c r="AR32" i="190"/>
  <c r="AQ32" i="190"/>
  <c r="AP32" i="190"/>
  <c r="AO32" i="190"/>
  <c r="AN32" i="190"/>
  <c r="AM32" i="190"/>
  <c r="AU31" i="190"/>
  <c r="J30" i="190" s="1"/>
  <c r="AT31" i="190"/>
  <c r="AS31" i="190"/>
  <c r="AR31" i="190"/>
  <c r="AQ31" i="190"/>
  <c r="AP31" i="190"/>
  <c r="AO31" i="190"/>
  <c r="AN31" i="190"/>
  <c r="AM31" i="190"/>
  <c r="B30" i="190" s="1"/>
  <c r="AU30" i="190"/>
  <c r="AT30" i="190"/>
  <c r="AS30" i="190"/>
  <c r="AR30" i="190"/>
  <c r="AQ30" i="190"/>
  <c r="AP30" i="190"/>
  <c r="AO30" i="190"/>
  <c r="AN30" i="190"/>
  <c r="AM30" i="190"/>
  <c r="AU29" i="190"/>
  <c r="AT29" i="190"/>
  <c r="AS29" i="190"/>
  <c r="AR29" i="190"/>
  <c r="AQ29" i="190"/>
  <c r="AP29" i="190"/>
  <c r="AO29" i="190"/>
  <c r="AN29" i="190"/>
  <c r="AM29" i="190"/>
  <c r="AU28" i="190"/>
  <c r="AT28" i="190"/>
  <c r="AS28" i="190"/>
  <c r="AR28" i="190"/>
  <c r="AQ28" i="190"/>
  <c r="AP28" i="190"/>
  <c r="AO28" i="190"/>
  <c r="AN28" i="190"/>
  <c r="AM28" i="190"/>
  <c r="AT23" i="190"/>
  <c r="J19" i="190" s="1"/>
  <c r="AS23" i="190"/>
  <c r="I19" i="190" s="1"/>
  <c r="AR23" i="190"/>
  <c r="H19" i="190" s="1"/>
  <c r="AQ23" i="190"/>
  <c r="G19" i="190" s="1"/>
  <c r="AP23" i="190"/>
  <c r="AO23" i="190"/>
  <c r="AN23" i="190"/>
  <c r="AM23" i="190"/>
  <c r="C19" i="190" s="1"/>
  <c r="AL23" i="190"/>
  <c r="B19" i="190" s="1"/>
  <c r="AT22" i="190"/>
  <c r="J17" i="190" s="1"/>
  <c r="AS22" i="190"/>
  <c r="AR22" i="190"/>
  <c r="AQ22" i="190"/>
  <c r="G17" i="190" s="1"/>
  <c r="AP22" i="190"/>
  <c r="F17" i="190" s="1"/>
  <c r="AO22" i="190"/>
  <c r="E17" i="190" s="1"/>
  <c r="AN22" i="190"/>
  <c r="D17" i="190" s="1"/>
  <c r="AM22" i="190"/>
  <c r="C17" i="190" s="1"/>
  <c r="AL22" i="190"/>
  <c r="B17" i="190" s="1"/>
  <c r="AT21" i="190"/>
  <c r="AS21" i="190"/>
  <c r="AR21" i="190"/>
  <c r="AQ21" i="190"/>
  <c r="AP21" i="190"/>
  <c r="AO21" i="190"/>
  <c r="AN21" i="190"/>
  <c r="AM21" i="190"/>
  <c r="AL21" i="190"/>
  <c r="AT20" i="190"/>
  <c r="AS20" i="190"/>
  <c r="AR20" i="190"/>
  <c r="AQ20" i="190"/>
  <c r="AP20" i="190"/>
  <c r="AO20" i="190"/>
  <c r="AN20" i="190"/>
  <c r="AM20" i="190"/>
  <c r="AL20" i="190"/>
  <c r="AT19" i="190"/>
  <c r="AS19" i="190"/>
  <c r="I15" i="190" s="1"/>
  <c r="AR19" i="190"/>
  <c r="AQ19" i="190"/>
  <c r="G15" i="190" s="1"/>
  <c r="AP19" i="190"/>
  <c r="AO19" i="190"/>
  <c r="AN19" i="190"/>
  <c r="AM19" i="190"/>
  <c r="AL19" i="190"/>
  <c r="F19" i="190"/>
  <c r="E19" i="190"/>
  <c r="D19" i="190"/>
  <c r="AT18" i="190"/>
  <c r="AS18" i="190"/>
  <c r="AR18" i="190"/>
  <c r="AQ18" i="190"/>
  <c r="AP18" i="190"/>
  <c r="AO18" i="190"/>
  <c r="AN18" i="190"/>
  <c r="AM18" i="190"/>
  <c r="AL18" i="190"/>
  <c r="AT17" i="190"/>
  <c r="AS17" i="190"/>
  <c r="AR17" i="190"/>
  <c r="AQ17" i="190"/>
  <c r="AP17" i="190"/>
  <c r="AO17" i="190"/>
  <c r="AN17" i="190"/>
  <c r="AM17" i="190"/>
  <c r="AL17" i="190"/>
  <c r="I17" i="190"/>
  <c r="H17" i="190"/>
  <c r="AT16" i="190"/>
  <c r="AS16" i="190"/>
  <c r="AR16" i="190"/>
  <c r="AQ16" i="190"/>
  <c r="AP16" i="190"/>
  <c r="AO16" i="190"/>
  <c r="AN16" i="190"/>
  <c r="AM16" i="190"/>
  <c r="AL16" i="190"/>
  <c r="AT15" i="190"/>
  <c r="AS15" i="190"/>
  <c r="AR15" i="190"/>
  <c r="AQ15" i="190"/>
  <c r="AP15" i="190"/>
  <c r="AO15" i="190"/>
  <c r="AN15" i="190"/>
  <c r="AM15" i="190"/>
  <c r="AL15" i="190"/>
  <c r="AT14" i="190"/>
  <c r="AS14" i="190"/>
  <c r="AR14" i="190"/>
  <c r="AQ14" i="190"/>
  <c r="AP14" i="190"/>
  <c r="F11" i="190" s="1"/>
  <c r="AO14" i="190"/>
  <c r="AN14" i="190"/>
  <c r="AM14" i="190"/>
  <c r="AL14" i="190"/>
  <c r="AT13" i="190"/>
  <c r="AS13" i="190"/>
  <c r="AR13" i="190"/>
  <c r="AQ13" i="190"/>
  <c r="AP13" i="190"/>
  <c r="AO13" i="190"/>
  <c r="AN13" i="190"/>
  <c r="AM13" i="190"/>
  <c r="AL13" i="190"/>
  <c r="G13" i="190"/>
  <c r="AT12" i="190"/>
  <c r="AS12" i="190"/>
  <c r="AR12" i="190"/>
  <c r="AQ12" i="190"/>
  <c r="AP12" i="190"/>
  <c r="AO12" i="190"/>
  <c r="AN12" i="190"/>
  <c r="AM12" i="190"/>
  <c r="AL12" i="190"/>
  <c r="AT11" i="190"/>
  <c r="AS11" i="190"/>
  <c r="AR11" i="190"/>
  <c r="AQ11" i="190"/>
  <c r="AP11" i="190"/>
  <c r="AO11" i="190"/>
  <c r="AN11" i="190"/>
  <c r="AM11" i="190"/>
  <c r="AL11" i="190"/>
  <c r="AT10" i="190"/>
  <c r="AS10" i="190"/>
  <c r="AR10" i="190"/>
  <c r="AQ10" i="190"/>
  <c r="AP10" i="190"/>
  <c r="AO10" i="190"/>
  <c r="AN10" i="190"/>
  <c r="AM10" i="190"/>
  <c r="AL10" i="190"/>
  <c r="AT9" i="190"/>
  <c r="AS9" i="190"/>
  <c r="AR9" i="190"/>
  <c r="AQ9" i="190"/>
  <c r="AP9" i="190"/>
  <c r="AO9" i="190"/>
  <c r="AN9" i="190"/>
  <c r="AM9" i="190"/>
  <c r="AL9" i="190"/>
  <c r="AT8" i="190"/>
  <c r="AS8" i="190"/>
  <c r="AR8" i="190"/>
  <c r="AQ8" i="190"/>
  <c r="AP8" i="190"/>
  <c r="AO8" i="190"/>
  <c r="AN8" i="190"/>
  <c r="AM8" i="190"/>
  <c r="AL8" i="190"/>
  <c r="AT7" i="190"/>
  <c r="AS7" i="190"/>
  <c r="AR7" i="190"/>
  <c r="AQ7" i="190"/>
  <c r="AP7" i="190"/>
  <c r="AO7" i="190"/>
  <c r="AN7" i="190"/>
  <c r="AM7" i="190"/>
  <c r="AL7" i="190"/>
  <c r="AT6" i="190"/>
  <c r="AS6" i="190"/>
  <c r="AR6" i="190"/>
  <c r="AQ6" i="190"/>
  <c r="AP6" i="190"/>
  <c r="AO6" i="190"/>
  <c r="AN6" i="190"/>
  <c r="AM6" i="190"/>
  <c r="AL6" i="190"/>
  <c r="AT5" i="190"/>
  <c r="AS5" i="190"/>
  <c r="AR5" i="190"/>
  <c r="AQ5" i="190"/>
  <c r="AP5" i="190"/>
  <c r="AO5" i="190"/>
  <c r="AN5" i="190"/>
  <c r="AM5" i="190"/>
  <c r="C5" i="190" s="1"/>
  <c r="AL5" i="190"/>
  <c r="J62" i="189"/>
  <c r="I62" i="189"/>
  <c r="H62" i="189"/>
  <c r="G62" i="189"/>
  <c r="F62" i="189"/>
  <c r="E62" i="189"/>
  <c r="D62" i="189"/>
  <c r="C62" i="189"/>
  <c r="B62" i="189"/>
  <c r="J60" i="189"/>
  <c r="I60" i="189"/>
  <c r="H60" i="189"/>
  <c r="G60" i="189"/>
  <c r="F60" i="189"/>
  <c r="E60" i="189"/>
  <c r="D60" i="189"/>
  <c r="C60" i="189"/>
  <c r="B60" i="189"/>
  <c r="J58" i="189"/>
  <c r="I58" i="189"/>
  <c r="H58" i="189"/>
  <c r="G58" i="189"/>
  <c r="F58" i="189"/>
  <c r="E58" i="189"/>
  <c r="D58" i="189"/>
  <c r="C58" i="189"/>
  <c r="B58" i="189"/>
  <c r="J56" i="189"/>
  <c r="I56" i="189"/>
  <c r="H56" i="189"/>
  <c r="G56" i="189"/>
  <c r="F56" i="189"/>
  <c r="E56" i="189"/>
  <c r="D56" i="189"/>
  <c r="C56" i="189"/>
  <c r="B56" i="189"/>
  <c r="J54" i="189"/>
  <c r="I54" i="189"/>
  <c r="H54" i="189"/>
  <c r="G54" i="189"/>
  <c r="F54" i="189"/>
  <c r="E54" i="189"/>
  <c r="D54" i="189"/>
  <c r="C54" i="189"/>
  <c r="B54" i="189"/>
  <c r="J52" i="189"/>
  <c r="I52" i="189"/>
  <c r="H52" i="189"/>
  <c r="G52" i="189"/>
  <c r="F52" i="189"/>
  <c r="E52" i="189"/>
  <c r="D52" i="189"/>
  <c r="C52" i="189"/>
  <c r="B52" i="189"/>
  <c r="J50" i="189"/>
  <c r="I50" i="189"/>
  <c r="H50" i="189"/>
  <c r="G50" i="189"/>
  <c r="F50" i="189"/>
  <c r="E50" i="189"/>
  <c r="D50" i="189"/>
  <c r="C50" i="189"/>
  <c r="B50" i="189"/>
  <c r="J48" i="189"/>
  <c r="I48" i="189"/>
  <c r="H48" i="189"/>
  <c r="G48" i="189"/>
  <c r="F48" i="189"/>
  <c r="E48" i="189"/>
  <c r="D48" i="189"/>
  <c r="C48" i="189"/>
  <c r="B48" i="189"/>
  <c r="J46" i="189"/>
  <c r="I46" i="189"/>
  <c r="H46" i="189"/>
  <c r="G46" i="189"/>
  <c r="F46" i="189"/>
  <c r="E46" i="189"/>
  <c r="D46" i="189"/>
  <c r="C46" i="189"/>
  <c r="B46" i="189"/>
  <c r="J44" i="189"/>
  <c r="I44" i="189"/>
  <c r="H44" i="189"/>
  <c r="G44" i="189"/>
  <c r="F44" i="189"/>
  <c r="E44" i="189"/>
  <c r="D44" i="189"/>
  <c r="C44" i="189"/>
  <c r="B44" i="189"/>
  <c r="J42" i="189"/>
  <c r="I42" i="189"/>
  <c r="H42" i="189"/>
  <c r="G42" i="189"/>
  <c r="F42" i="189"/>
  <c r="E42" i="189"/>
  <c r="D42" i="189"/>
  <c r="C42" i="189"/>
  <c r="B42" i="189"/>
  <c r="J40" i="189"/>
  <c r="I40" i="189"/>
  <c r="H40" i="189"/>
  <c r="G40" i="189"/>
  <c r="F40" i="189"/>
  <c r="E40" i="189"/>
  <c r="D40" i="189"/>
  <c r="C40" i="189"/>
  <c r="B40" i="189"/>
  <c r="J38" i="189"/>
  <c r="I38" i="189"/>
  <c r="H38" i="189"/>
  <c r="G38" i="189"/>
  <c r="F38" i="189"/>
  <c r="E38" i="189"/>
  <c r="D38" i="189"/>
  <c r="C38" i="189"/>
  <c r="B38" i="189"/>
  <c r="J36" i="189"/>
  <c r="I36" i="189"/>
  <c r="H36" i="189"/>
  <c r="G36" i="189"/>
  <c r="F36" i="189"/>
  <c r="E36" i="189"/>
  <c r="D36" i="189"/>
  <c r="C36" i="189"/>
  <c r="B36" i="189"/>
  <c r="J34" i="189"/>
  <c r="I34" i="189"/>
  <c r="H34" i="189"/>
  <c r="G34" i="189"/>
  <c r="F34" i="189"/>
  <c r="E34" i="189"/>
  <c r="D34" i="189"/>
  <c r="C34" i="189"/>
  <c r="B34" i="189"/>
  <c r="J32" i="189"/>
  <c r="I32" i="189"/>
  <c r="H32" i="189"/>
  <c r="G32" i="189"/>
  <c r="F32" i="189"/>
  <c r="E32" i="189"/>
  <c r="D32" i="189"/>
  <c r="C32" i="189"/>
  <c r="B32" i="189"/>
  <c r="J30" i="189"/>
  <c r="I30" i="189"/>
  <c r="H30" i="189"/>
  <c r="G30" i="189"/>
  <c r="F30" i="189"/>
  <c r="E30" i="189"/>
  <c r="D30" i="189"/>
  <c r="C30" i="189"/>
  <c r="B30" i="189"/>
  <c r="J28" i="189"/>
  <c r="I28" i="189"/>
  <c r="H28" i="189"/>
  <c r="G28" i="189"/>
  <c r="F28" i="189"/>
  <c r="E28" i="189"/>
  <c r="D28" i="189"/>
  <c r="C28" i="189"/>
  <c r="B28" i="189"/>
  <c r="J26" i="189"/>
  <c r="I26" i="189"/>
  <c r="H26" i="189"/>
  <c r="G26" i="189"/>
  <c r="F26" i="189"/>
  <c r="E26" i="189"/>
  <c r="D26" i="189"/>
  <c r="C26" i="189"/>
  <c r="B26" i="189"/>
  <c r="J24" i="189"/>
  <c r="I24" i="189"/>
  <c r="H24" i="189"/>
  <c r="G24" i="189"/>
  <c r="F24" i="189"/>
  <c r="E24" i="189"/>
  <c r="D24" i="189"/>
  <c r="C24" i="189"/>
  <c r="B24" i="189"/>
  <c r="J16" i="189"/>
  <c r="I16" i="189"/>
  <c r="H16" i="189"/>
  <c r="G16" i="189"/>
  <c r="F16" i="189"/>
  <c r="E16" i="189"/>
  <c r="D16" i="189"/>
  <c r="C16" i="189"/>
  <c r="B16" i="189"/>
  <c r="J14" i="189"/>
  <c r="I14" i="189"/>
  <c r="H14" i="189"/>
  <c r="H53" i="189" s="1"/>
  <c r="G14" i="189"/>
  <c r="F14" i="189"/>
  <c r="E14" i="189"/>
  <c r="E27" i="189" s="1"/>
  <c r="D14" i="189"/>
  <c r="D59" i="189" s="1"/>
  <c r="C14" i="189"/>
  <c r="B14" i="189"/>
  <c r="B41" i="189" s="1"/>
  <c r="J10" i="189"/>
  <c r="J9" i="189" s="1"/>
  <c r="J8" i="189"/>
  <c r="I8" i="189"/>
  <c r="H8" i="189"/>
  <c r="G8" i="189"/>
  <c r="F8" i="189"/>
  <c r="E8" i="189"/>
  <c r="D8" i="189"/>
  <c r="C8" i="189"/>
  <c r="B8" i="189"/>
  <c r="J6" i="189"/>
  <c r="I6" i="189"/>
  <c r="H6" i="189"/>
  <c r="G6" i="189"/>
  <c r="F6" i="189"/>
  <c r="E6" i="189"/>
  <c r="D6" i="189"/>
  <c r="C6" i="189"/>
  <c r="B6" i="189"/>
  <c r="J4" i="189"/>
  <c r="I4" i="189"/>
  <c r="H4" i="189"/>
  <c r="G4" i="189"/>
  <c r="F4" i="189"/>
  <c r="E4" i="189"/>
  <c r="D4" i="189"/>
  <c r="C4" i="189"/>
  <c r="B4" i="189"/>
  <c r="B10" i="189" s="1"/>
  <c r="B5" i="189" s="1"/>
  <c r="J34" i="188"/>
  <c r="I34" i="188"/>
  <c r="H34" i="188"/>
  <c r="G34" i="188"/>
  <c r="F34" i="188"/>
  <c r="E34" i="188"/>
  <c r="D34" i="188"/>
  <c r="C34" i="188"/>
  <c r="B34" i="188"/>
  <c r="J32" i="188"/>
  <c r="I32" i="188"/>
  <c r="H32" i="188"/>
  <c r="H44" i="188" s="1"/>
  <c r="G32" i="188"/>
  <c r="F32" i="188"/>
  <c r="E32" i="188"/>
  <c r="E44" i="188" s="1"/>
  <c r="D32" i="188"/>
  <c r="C32" i="188"/>
  <c r="B32" i="188"/>
  <c r="J30" i="188"/>
  <c r="I30" i="188"/>
  <c r="H30" i="188"/>
  <c r="G30" i="188"/>
  <c r="F30" i="188"/>
  <c r="E30" i="188"/>
  <c r="D30" i="188"/>
  <c r="C30" i="188"/>
  <c r="B30" i="188"/>
  <c r="J28" i="188"/>
  <c r="I28" i="188"/>
  <c r="H28" i="188"/>
  <c r="G28" i="188"/>
  <c r="F28" i="188"/>
  <c r="E28" i="188"/>
  <c r="D28" i="188"/>
  <c r="C28" i="188"/>
  <c r="B28" i="188"/>
  <c r="J26" i="188"/>
  <c r="I26" i="188"/>
  <c r="H26" i="188"/>
  <c r="G26" i="188"/>
  <c r="F26" i="188"/>
  <c r="E26" i="188"/>
  <c r="D26" i="188"/>
  <c r="C26" i="188"/>
  <c r="B26" i="188"/>
  <c r="J24" i="188"/>
  <c r="I24" i="188"/>
  <c r="H24" i="188"/>
  <c r="G24" i="188"/>
  <c r="F24" i="188"/>
  <c r="E24" i="188"/>
  <c r="D24" i="188"/>
  <c r="C24" i="188"/>
  <c r="B24" i="188"/>
  <c r="J22" i="188"/>
  <c r="I22" i="188"/>
  <c r="H22" i="188"/>
  <c r="G22" i="188"/>
  <c r="F22" i="188"/>
  <c r="E22" i="188"/>
  <c r="D22" i="188"/>
  <c r="C22" i="188"/>
  <c r="B22" i="188"/>
  <c r="J20" i="188"/>
  <c r="I20" i="188"/>
  <c r="H20" i="188"/>
  <c r="G20" i="188"/>
  <c r="F20" i="188"/>
  <c r="E20" i="188"/>
  <c r="D20" i="188"/>
  <c r="C20" i="188"/>
  <c r="B20" i="188"/>
  <c r="J18" i="188"/>
  <c r="I18" i="188"/>
  <c r="H18" i="188"/>
  <c r="G18" i="188"/>
  <c r="F18" i="188"/>
  <c r="E18" i="188"/>
  <c r="D18" i="188"/>
  <c r="C18" i="188"/>
  <c r="B18" i="188"/>
  <c r="J16" i="188"/>
  <c r="I16" i="188"/>
  <c r="H16" i="188"/>
  <c r="G16" i="188"/>
  <c r="F16" i="188"/>
  <c r="E16" i="188"/>
  <c r="D16" i="188"/>
  <c r="C16" i="188"/>
  <c r="B16" i="188"/>
  <c r="J14" i="188"/>
  <c r="I14" i="188"/>
  <c r="H14" i="188"/>
  <c r="G14" i="188"/>
  <c r="F14" i="188"/>
  <c r="E14" i="188"/>
  <c r="D14" i="188"/>
  <c r="C14" i="188"/>
  <c r="B14" i="188"/>
  <c r="J12" i="188"/>
  <c r="I12" i="188"/>
  <c r="H12" i="188"/>
  <c r="G12" i="188"/>
  <c r="F12" i="188"/>
  <c r="E12" i="188"/>
  <c r="D12" i="188"/>
  <c r="C12" i="188"/>
  <c r="B12" i="188"/>
  <c r="J10" i="188"/>
  <c r="I10" i="188"/>
  <c r="H10" i="188"/>
  <c r="G10" i="188"/>
  <c r="F10" i="188"/>
  <c r="E10" i="188"/>
  <c r="D10" i="188"/>
  <c r="C10" i="188"/>
  <c r="B10" i="188"/>
  <c r="J8" i="188"/>
  <c r="I8" i="188"/>
  <c r="H8" i="188"/>
  <c r="G8" i="188"/>
  <c r="F8" i="188"/>
  <c r="E8" i="188"/>
  <c r="D8" i="188"/>
  <c r="C8" i="188"/>
  <c r="B8" i="188"/>
  <c r="J6" i="188"/>
  <c r="I6" i="188"/>
  <c r="H6" i="188"/>
  <c r="G6" i="188"/>
  <c r="F6" i="188"/>
  <c r="E6" i="188"/>
  <c r="D6" i="188"/>
  <c r="C6" i="188"/>
  <c r="B6" i="188"/>
  <c r="J4" i="188"/>
  <c r="I4" i="188"/>
  <c r="H4" i="188"/>
  <c r="G4" i="188"/>
  <c r="F4" i="188"/>
  <c r="E4" i="188"/>
  <c r="D4" i="188"/>
  <c r="C4" i="188"/>
  <c r="B4" i="188"/>
  <c r="J32" i="187"/>
  <c r="I32" i="187"/>
  <c r="H32" i="187"/>
  <c r="G32" i="187"/>
  <c r="F32" i="187"/>
  <c r="E32" i="187"/>
  <c r="D32" i="187"/>
  <c r="C32" i="187"/>
  <c r="B32" i="187"/>
  <c r="J30" i="187"/>
  <c r="I30" i="187"/>
  <c r="H30" i="187"/>
  <c r="G30" i="187"/>
  <c r="F30" i="187"/>
  <c r="E30" i="187"/>
  <c r="D30" i="187"/>
  <c r="C30" i="187"/>
  <c r="B30" i="187"/>
  <c r="J28" i="187"/>
  <c r="I28" i="187"/>
  <c r="H28" i="187"/>
  <c r="G28" i="187"/>
  <c r="F28" i="187"/>
  <c r="E28" i="187"/>
  <c r="D28" i="187"/>
  <c r="C28" i="187"/>
  <c r="B28" i="187"/>
  <c r="J26" i="187"/>
  <c r="I26" i="187"/>
  <c r="H26" i="187"/>
  <c r="G26" i="187"/>
  <c r="F26" i="187"/>
  <c r="E26" i="187"/>
  <c r="D26" i="187"/>
  <c r="C26" i="187"/>
  <c r="B26" i="187"/>
  <c r="J24" i="187"/>
  <c r="I24" i="187"/>
  <c r="H24" i="187"/>
  <c r="G24" i="187"/>
  <c r="F24" i="187"/>
  <c r="E24" i="187"/>
  <c r="D24" i="187"/>
  <c r="C24" i="187"/>
  <c r="B24" i="187"/>
  <c r="J22" i="187"/>
  <c r="I22" i="187"/>
  <c r="H22" i="187"/>
  <c r="G22" i="187"/>
  <c r="F22" i="187"/>
  <c r="E22" i="187"/>
  <c r="D22" i="187"/>
  <c r="C22" i="187"/>
  <c r="B22" i="187"/>
  <c r="J20" i="187"/>
  <c r="I20" i="187"/>
  <c r="H20" i="187"/>
  <c r="G20" i="187"/>
  <c r="F20" i="187"/>
  <c r="E20" i="187"/>
  <c r="D20" i="187"/>
  <c r="C20" i="187"/>
  <c r="B20" i="187"/>
  <c r="J18" i="187"/>
  <c r="I18" i="187"/>
  <c r="H18" i="187"/>
  <c r="G18" i="187"/>
  <c r="F18" i="187"/>
  <c r="E18" i="187"/>
  <c r="D18" i="187"/>
  <c r="C18" i="187"/>
  <c r="B18" i="187"/>
  <c r="J16" i="187"/>
  <c r="I16" i="187"/>
  <c r="H16" i="187"/>
  <c r="G16" i="187"/>
  <c r="F16" i="187"/>
  <c r="E16" i="187"/>
  <c r="D16" i="187"/>
  <c r="C16" i="187"/>
  <c r="B16" i="187"/>
  <c r="J14" i="187"/>
  <c r="I14" i="187"/>
  <c r="H14" i="187"/>
  <c r="G14" i="187"/>
  <c r="F14" i="187"/>
  <c r="E14" i="187"/>
  <c r="D14" i="187"/>
  <c r="C14" i="187"/>
  <c r="B14" i="187"/>
  <c r="J12" i="187"/>
  <c r="I12" i="187"/>
  <c r="H12" i="187"/>
  <c r="G12" i="187"/>
  <c r="F12" i="187"/>
  <c r="E12" i="187"/>
  <c r="D12" i="187"/>
  <c r="C12" i="187"/>
  <c r="B12" i="187"/>
  <c r="J10" i="187"/>
  <c r="I10" i="187"/>
  <c r="H10" i="187"/>
  <c r="G10" i="187"/>
  <c r="F10" i="187"/>
  <c r="E10" i="187"/>
  <c r="D10" i="187"/>
  <c r="C10" i="187"/>
  <c r="B10" i="187"/>
  <c r="J8" i="187"/>
  <c r="J4" i="187" s="1"/>
  <c r="I8" i="187"/>
  <c r="H8" i="187"/>
  <c r="G8" i="187"/>
  <c r="F8" i="187"/>
  <c r="E8" i="187"/>
  <c r="D8" i="187"/>
  <c r="C8" i="187"/>
  <c r="B8" i="187"/>
  <c r="J6" i="187"/>
  <c r="I6" i="187"/>
  <c r="H6" i="187"/>
  <c r="G6" i="187"/>
  <c r="G4" i="187" s="1"/>
  <c r="F6" i="187"/>
  <c r="E6" i="187"/>
  <c r="D6" i="187"/>
  <c r="C6" i="187"/>
  <c r="B6" i="187"/>
  <c r="J12" i="186"/>
  <c r="I12" i="186"/>
  <c r="H12" i="186"/>
  <c r="G12" i="186"/>
  <c r="F12" i="186"/>
  <c r="E12" i="186"/>
  <c r="D12" i="186"/>
  <c r="C12" i="186"/>
  <c r="B12" i="186"/>
  <c r="J10" i="186"/>
  <c r="I10" i="186"/>
  <c r="H10" i="186"/>
  <c r="G10" i="186"/>
  <c r="F10" i="186"/>
  <c r="E10" i="186"/>
  <c r="D10" i="186"/>
  <c r="C10" i="186"/>
  <c r="B10" i="186"/>
  <c r="J8" i="186"/>
  <c r="I8" i="186"/>
  <c r="H8" i="186"/>
  <c r="G8" i="186"/>
  <c r="F8" i="186"/>
  <c r="E8" i="186"/>
  <c r="D8" i="186"/>
  <c r="C8" i="186"/>
  <c r="B8" i="186"/>
  <c r="J6" i="186"/>
  <c r="I6" i="186"/>
  <c r="H6" i="186"/>
  <c r="G6" i="186"/>
  <c r="F6" i="186"/>
  <c r="E6" i="186"/>
  <c r="D6" i="186"/>
  <c r="C6" i="186"/>
  <c r="B6" i="186"/>
  <c r="J4" i="186"/>
  <c r="I4" i="186"/>
  <c r="H4" i="186"/>
  <c r="G4" i="186"/>
  <c r="F4" i="186"/>
  <c r="E4" i="186"/>
  <c r="D4" i="186"/>
  <c r="C4" i="186"/>
  <c r="B4" i="186"/>
  <c r="K30" i="185"/>
  <c r="J28" i="185"/>
  <c r="I28" i="185"/>
  <c r="H28" i="185"/>
  <c r="G28" i="185"/>
  <c r="F28" i="185"/>
  <c r="E28" i="185"/>
  <c r="D28" i="185"/>
  <c r="C28" i="185"/>
  <c r="B28" i="185"/>
  <c r="J26" i="185"/>
  <c r="I26" i="185"/>
  <c r="H26" i="185"/>
  <c r="G26" i="185"/>
  <c r="F26" i="185"/>
  <c r="E26" i="185"/>
  <c r="D26" i="185"/>
  <c r="C26" i="185"/>
  <c r="B26" i="185"/>
  <c r="K22" i="185"/>
  <c r="J20" i="185"/>
  <c r="I20" i="185"/>
  <c r="H20" i="185"/>
  <c r="G20" i="185"/>
  <c r="F20" i="185"/>
  <c r="E20" i="185"/>
  <c r="D20" i="185"/>
  <c r="C20" i="185"/>
  <c r="B20" i="185"/>
  <c r="J18" i="185"/>
  <c r="I18" i="185"/>
  <c r="H18" i="185"/>
  <c r="G18" i="185"/>
  <c r="F18" i="185"/>
  <c r="E18" i="185"/>
  <c r="D18" i="185"/>
  <c r="C18" i="185"/>
  <c r="B18" i="185"/>
  <c r="J16" i="185"/>
  <c r="I16" i="185"/>
  <c r="H16" i="185"/>
  <c r="G16" i="185"/>
  <c r="F16" i="185"/>
  <c r="E16" i="185"/>
  <c r="D16" i="185"/>
  <c r="C16" i="185"/>
  <c r="B16" i="185"/>
  <c r="J14" i="185"/>
  <c r="I14" i="185"/>
  <c r="H14" i="185"/>
  <c r="G14" i="185"/>
  <c r="F14" i="185"/>
  <c r="E14" i="185"/>
  <c r="D14" i="185"/>
  <c r="C14" i="185"/>
  <c r="B14" i="185"/>
  <c r="J12" i="185"/>
  <c r="I12" i="185"/>
  <c r="H12" i="185"/>
  <c r="G12" i="185"/>
  <c r="F12" i="185"/>
  <c r="E12" i="185"/>
  <c r="D12" i="185"/>
  <c r="C12" i="185"/>
  <c r="B12" i="185"/>
  <c r="J10" i="185"/>
  <c r="I10" i="185"/>
  <c r="H10" i="185"/>
  <c r="G10" i="185"/>
  <c r="F10" i="185"/>
  <c r="E10" i="185"/>
  <c r="D10" i="185"/>
  <c r="C10" i="185"/>
  <c r="B10" i="185"/>
  <c r="J8" i="185"/>
  <c r="I8" i="185"/>
  <c r="H8" i="185"/>
  <c r="G8" i="185"/>
  <c r="F8" i="185"/>
  <c r="E8" i="185"/>
  <c r="D8" i="185"/>
  <c r="C8" i="185"/>
  <c r="B8" i="185"/>
  <c r="J6" i="185"/>
  <c r="I6" i="185"/>
  <c r="H6" i="185"/>
  <c r="G6" i="185"/>
  <c r="F6" i="185"/>
  <c r="E6" i="185"/>
  <c r="D6" i="185"/>
  <c r="C6" i="185"/>
  <c r="B6" i="185"/>
  <c r="J4" i="185"/>
  <c r="I4" i="185"/>
  <c r="H4" i="185"/>
  <c r="G4" i="185"/>
  <c r="F4" i="185"/>
  <c r="E4" i="185"/>
  <c r="D4" i="185"/>
  <c r="C4" i="185"/>
  <c r="B4" i="185"/>
  <c r="I62" i="184"/>
  <c r="H62" i="184"/>
  <c r="G62" i="184"/>
  <c r="F62" i="184"/>
  <c r="E62" i="184"/>
  <c r="D62" i="184"/>
  <c r="C62" i="184"/>
  <c r="B62" i="184"/>
  <c r="I60" i="184"/>
  <c r="H60" i="184"/>
  <c r="G60" i="184"/>
  <c r="F60" i="184"/>
  <c r="E60" i="184"/>
  <c r="D60" i="184"/>
  <c r="C60" i="184"/>
  <c r="B60" i="184"/>
  <c r="I58" i="184"/>
  <c r="H58" i="184"/>
  <c r="G58" i="184"/>
  <c r="F58" i="184"/>
  <c r="E58" i="184"/>
  <c r="D58" i="184"/>
  <c r="C58" i="184"/>
  <c r="B58" i="184"/>
  <c r="I56" i="184"/>
  <c r="H56" i="184"/>
  <c r="G56" i="184"/>
  <c r="F56" i="184"/>
  <c r="E56" i="184"/>
  <c r="D56" i="184"/>
  <c r="C56" i="184"/>
  <c r="B56" i="184"/>
  <c r="I54" i="184"/>
  <c r="H54" i="184"/>
  <c r="G54" i="184"/>
  <c r="F54" i="184"/>
  <c r="E54" i="184"/>
  <c r="D54" i="184"/>
  <c r="C54" i="184"/>
  <c r="B54" i="184"/>
  <c r="I52" i="184"/>
  <c r="H52" i="184"/>
  <c r="G52" i="184"/>
  <c r="F52" i="184"/>
  <c r="E52" i="184"/>
  <c r="D52" i="184"/>
  <c r="C52" i="184"/>
  <c r="B52" i="184"/>
  <c r="I50" i="184"/>
  <c r="H50" i="184"/>
  <c r="G50" i="184"/>
  <c r="F50" i="184"/>
  <c r="E50" i="184"/>
  <c r="D50" i="184"/>
  <c r="C50" i="184"/>
  <c r="B50" i="184"/>
  <c r="I48" i="184"/>
  <c r="H48" i="184"/>
  <c r="G48" i="184"/>
  <c r="F48" i="184"/>
  <c r="E48" i="184"/>
  <c r="D48" i="184"/>
  <c r="C48" i="184"/>
  <c r="B48" i="184"/>
  <c r="I46" i="184"/>
  <c r="H46" i="184"/>
  <c r="G46" i="184"/>
  <c r="F46" i="184"/>
  <c r="E46" i="184"/>
  <c r="D46" i="184"/>
  <c r="C46" i="184"/>
  <c r="B46" i="184"/>
  <c r="I44" i="184"/>
  <c r="H44" i="184"/>
  <c r="G44" i="184"/>
  <c r="F44" i="184"/>
  <c r="E44" i="184"/>
  <c r="D44" i="184"/>
  <c r="C44" i="184"/>
  <c r="B44" i="184"/>
  <c r="I42" i="184"/>
  <c r="H42" i="184"/>
  <c r="G42" i="184"/>
  <c r="F42" i="184"/>
  <c r="E42" i="184"/>
  <c r="D42" i="184"/>
  <c r="C42" i="184"/>
  <c r="B42" i="184"/>
  <c r="I40" i="184"/>
  <c r="H40" i="184"/>
  <c r="G40" i="184"/>
  <c r="F40" i="184"/>
  <c r="E40" i="184"/>
  <c r="D40" i="184"/>
  <c r="C40" i="184"/>
  <c r="B40" i="184"/>
  <c r="I38" i="184"/>
  <c r="H38" i="184"/>
  <c r="G38" i="184"/>
  <c r="F38" i="184"/>
  <c r="E38" i="184"/>
  <c r="D38" i="184"/>
  <c r="C38" i="184"/>
  <c r="B38" i="184"/>
  <c r="I36" i="184"/>
  <c r="H36" i="184"/>
  <c r="G36" i="184"/>
  <c r="F36" i="184"/>
  <c r="E36" i="184"/>
  <c r="D36" i="184"/>
  <c r="C36" i="184"/>
  <c r="B36" i="184"/>
  <c r="I34" i="184"/>
  <c r="H34" i="184"/>
  <c r="G34" i="184"/>
  <c r="F34" i="184"/>
  <c r="E34" i="184"/>
  <c r="D34" i="184"/>
  <c r="C34" i="184"/>
  <c r="B34" i="184"/>
  <c r="I32" i="184"/>
  <c r="H32" i="184"/>
  <c r="G32" i="184"/>
  <c r="F32" i="184"/>
  <c r="E32" i="184"/>
  <c r="D32" i="184"/>
  <c r="C32" i="184"/>
  <c r="B32" i="184"/>
  <c r="I30" i="184"/>
  <c r="H30" i="184"/>
  <c r="G30" i="184"/>
  <c r="F30" i="184"/>
  <c r="E30" i="184"/>
  <c r="D30" i="184"/>
  <c r="C30" i="184"/>
  <c r="B30" i="184"/>
  <c r="I28" i="184"/>
  <c r="H28" i="184"/>
  <c r="G28" i="184"/>
  <c r="F28" i="184"/>
  <c r="E28" i="184"/>
  <c r="D28" i="184"/>
  <c r="C28" i="184"/>
  <c r="B28" i="184"/>
  <c r="I26" i="184"/>
  <c r="H26" i="184"/>
  <c r="G26" i="184"/>
  <c r="F26" i="184"/>
  <c r="E26" i="184"/>
  <c r="D26" i="184"/>
  <c r="C26" i="184"/>
  <c r="B26" i="184"/>
  <c r="I24" i="184"/>
  <c r="H24" i="184"/>
  <c r="G24" i="184"/>
  <c r="F24" i="184"/>
  <c r="E24" i="184"/>
  <c r="D24" i="184"/>
  <c r="C24" i="184"/>
  <c r="B24" i="184"/>
  <c r="I16" i="184"/>
  <c r="H16" i="184"/>
  <c r="G16" i="184"/>
  <c r="F16" i="184"/>
  <c r="E16" i="184"/>
  <c r="D16" i="184"/>
  <c r="C16" i="184"/>
  <c r="B16" i="184"/>
  <c r="I14" i="184"/>
  <c r="I18" i="184" s="1"/>
  <c r="H14" i="184"/>
  <c r="G14" i="184"/>
  <c r="G27" i="184" s="1"/>
  <c r="F14" i="184"/>
  <c r="E14" i="184"/>
  <c r="E29" i="184" s="1"/>
  <c r="D14" i="184"/>
  <c r="D18" i="184" s="1"/>
  <c r="C14" i="184"/>
  <c r="C18" i="184" s="1"/>
  <c r="B14" i="184"/>
  <c r="B18" i="184" s="1"/>
  <c r="I8" i="184"/>
  <c r="H8" i="184"/>
  <c r="G8" i="184"/>
  <c r="F8" i="184"/>
  <c r="E8" i="184"/>
  <c r="D8" i="184"/>
  <c r="C8" i="184"/>
  <c r="B8" i="184"/>
  <c r="I6" i="184"/>
  <c r="H6" i="184"/>
  <c r="G6" i="184"/>
  <c r="F6" i="184"/>
  <c r="E6" i="184"/>
  <c r="D6" i="184"/>
  <c r="C6" i="184"/>
  <c r="B6" i="184"/>
  <c r="I4" i="184"/>
  <c r="I10" i="184" s="1"/>
  <c r="H4" i="184"/>
  <c r="G4" i="184"/>
  <c r="G10" i="184" s="1"/>
  <c r="G5" i="184" s="1"/>
  <c r="F4" i="184"/>
  <c r="E4" i="184"/>
  <c r="D4" i="184"/>
  <c r="C4" i="184"/>
  <c r="C10" i="184" s="1"/>
  <c r="C9" i="184" s="1"/>
  <c r="B4" i="184"/>
  <c r="I34" i="183"/>
  <c r="H34" i="183"/>
  <c r="G34" i="183"/>
  <c r="F34" i="183"/>
  <c r="E34" i="183"/>
  <c r="D34" i="183"/>
  <c r="C34" i="183"/>
  <c r="B34" i="183"/>
  <c r="I32" i="183"/>
  <c r="I44" i="183" s="1"/>
  <c r="H32" i="183"/>
  <c r="G32" i="183"/>
  <c r="F32" i="183"/>
  <c r="E32" i="183"/>
  <c r="D32" i="183"/>
  <c r="C32" i="183"/>
  <c r="B32" i="183"/>
  <c r="B44" i="183" s="1"/>
  <c r="I30" i="183"/>
  <c r="H30" i="183"/>
  <c r="G30" i="183"/>
  <c r="F30" i="183"/>
  <c r="E30" i="183"/>
  <c r="D30" i="183"/>
  <c r="C30" i="183"/>
  <c r="B30" i="183"/>
  <c r="I28" i="183"/>
  <c r="H28" i="183"/>
  <c r="G28" i="183"/>
  <c r="F28" i="183"/>
  <c r="E28" i="183"/>
  <c r="D28" i="183"/>
  <c r="C28" i="183"/>
  <c r="B28" i="183"/>
  <c r="I26" i="183"/>
  <c r="H26" i="183"/>
  <c r="G26" i="183"/>
  <c r="F26" i="183"/>
  <c r="E26" i="183"/>
  <c r="D26" i="183"/>
  <c r="C26" i="183"/>
  <c r="B26" i="183"/>
  <c r="I24" i="183"/>
  <c r="H24" i="183"/>
  <c r="G24" i="183"/>
  <c r="F24" i="183"/>
  <c r="E24" i="183"/>
  <c r="D24" i="183"/>
  <c r="C24" i="183"/>
  <c r="B24" i="183"/>
  <c r="I22" i="183"/>
  <c r="H22" i="183"/>
  <c r="H42" i="183" s="1"/>
  <c r="G22" i="183"/>
  <c r="G42" i="183" s="1"/>
  <c r="F22" i="183"/>
  <c r="E22" i="183"/>
  <c r="D22" i="183"/>
  <c r="D42" i="183" s="1"/>
  <c r="C22" i="183"/>
  <c r="B22" i="183"/>
  <c r="I20" i="183"/>
  <c r="H20" i="183"/>
  <c r="G20" i="183"/>
  <c r="F20" i="183"/>
  <c r="E20" i="183"/>
  <c r="D20" i="183"/>
  <c r="C20" i="183"/>
  <c r="B20" i="183"/>
  <c r="I18" i="183"/>
  <c r="H18" i="183"/>
  <c r="G18" i="183"/>
  <c r="F18" i="183"/>
  <c r="E18" i="183"/>
  <c r="D18" i="183"/>
  <c r="C18" i="183"/>
  <c r="B18" i="183"/>
  <c r="I16" i="183"/>
  <c r="H16" i="183"/>
  <c r="G16" i="183"/>
  <c r="F16" i="183"/>
  <c r="E16" i="183"/>
  <c r="D16" i="183"/>
  <c r="C16" i="183"/>
  <c r="B16" i="183"/>
  <c r="I14" i="183"/>
  <c r="H14" i="183"/>
  <c r="G14" i="183"/>
  <c r="F14" i="183"/>
  <c r="E14" i="183"/>
  <c r="D14" i="183"/>
  <c r="C14" i="183"/>
  <c r="B14" i="183"/>
  <c r="I12" i="183"/>
  <c r="H12" i="183"/>
  <c r="H40" i="183" s="1"/>
  <c r="G12" i="183"/>
  <c r="F12" i="183"/>
  <c r="E12" i="183"/>
  <c r="D12" i="183"/>
  <c r="C12" i="183"/>
  <c r="C40" i="183" s="1"/>
  <c r="B12" i="183"/>
  <c r="I10" i="183"/>
  <c r="H10" i="183"/>
  <c r="G10" i="183"/>
  <c r="F10" i="183"/>
  <c r="E10" i="183"/>
  <c r="D10" i="183"/>
  <c r="C10" i="183"/>
  <c r="B10" i="183"/>
  <c r="I8" i="183"/>
  <c r="H8" i="183"/>
  <c r="G8" i="183"/>
  <c r="F8" i="183"/>
  <c r="E8" i="183"/>
  <c r="D8" i="183"/>
  <c r="C8" i="183"/>
  <c r="B8" i="183"/>
  <c r="I6" i="183"/>
  <c r="H6" i="183"/>
  <c r="G6" i="183"/>
  <c r="F6" i="183"/>
  <c r="E6" i="183"/>
  <c r="D6" i="183"/>
  <c r="C6" i="183"/>
  <c r="B6" i="183"/>
  <c r="I4" i="183"/>
  <c r="H4" i="183"/>
  <c r="G4" i="183"/>
  <c r="G38" i="183" s="1"/>
  <c r="F4" i="183"/>
  <c r="E4" i="183"/>
  <c r="E38" i="183" s="1"/>
  <c r="D4" i="183"/>
  <c r="D38" i="183" s="1"/>
  <c r="C4" i="183"/>
  <c r="C38" i="183" s="1"/>
  <c r="B4" i="183"/>
  <c r="I32" i="182"/>
  <c r="H32" i="182"/>
  <c r="G32" i="182"/>
  <c r="F32" i="182"/>
  <c r="E32" i="182"/>
  <c r="D32" i="182"/>
  <c r="C32" i="182"/>
  <c r="B32" i="182"/>
  <c r="I30" i="182"/>
  <c r="H30" i="182"/>
  <c r="G30" i="182"/>
  <c r="F30" i="182"/>
  <c r="E30" i="182"/>
  <c r="D30" i="182"/>
  <c r="C30" i="182"/>
  <c r="B30" i="182"/>
  <c r="I28" i="182"/>
  <c r="H28" i="182"/>
  <c r="G28" i="182"/>
  <c r="F28" i="182"/>
  <c r="E28" i="182"/>
  <c r="D28" i="182"/>
  <c r="C28" i="182"/>
  <c r="B28" i="182"/>
  <c r="I26" i="182"/>
  <c r="H26" i="182"/>
  <c r="G26" i="182"/>
  <c r="F26" i="182"/>
  <c r="E26" i="182"/>
  <c r="D26" i="182"/>
  <c r="C26" i="182"/>
  <c r="B26" i="182"/>
  <c r="I24" i="182"/>
  <c r="H24" i="182"/>
  <c r="G24" i="182"/>
  <c r="F24" i="182"/>
  <c r="E24" i="182"/>
  <c r="D24" i="182"/>
  <c r="C24" i="182"/>
  <c r="B24" i="182"/>
  <c r="I22" i="182"/>
  <c r="H22" i="182"/>
  <c r="G22" i="182"/>
  <c r="F22" i="182"/>
  <c r="E22" i="182"/>
  <c r="D22" i="182"/>
  <c r="C22" i="182"/>
  <c r="B22" i="182"/>
  <c r="I20" i="182"/>
  <c r="H20" i="182"/>
  <c r="G20" i="182"/>
  <c r="F20" i="182"/>
  <c r="E20" i="182"/>
  <c r="D20" i="182"/>
  <c r="C20" i="182"/>
  <c r="B20" i="182"/>
  <c r="I18" i="182"/>
  <c r="H18" i="182"/>
  <c r="G18" i="182"/>
  <c r="F18" i="182"/>
  <c r="E18" i="182"/>
  <c r="D18" i="182"/>
  <c r="C18" i="182"/>
  <c r="B18" i="182"/>
  <c r="I16" i="182"/>
  <c r="H16" i="182"/>
  <c r="G16" i="182"/>
  <c r="F16" i="182"/>
  <c r="E16" i="182"/>
  <c r="D16" i="182"/>
  <c r="C16" i="182"/>
  <c r="B16" i="182"/>
  <c r="I14" i="182"/>
  <c r="H14" i="182"/>
  <c r="G14" i="182"/>
  <c r="F14" i="182"/>
  <c r="E14" i="182"/>
  <c r="D14" i="182"/>
  <c r="C14" i="182"/>
  <c r="B14" i="182"/>
  <c r="I12" i="182"/>
  <c r="H12" i="182"/>
  <c r="G12" i="182"/>
  <c r="F12" i="182"/>
  <c r="E12" i="182"/>
  <c r="D12" i="182"/>
  <c r="C12" i="182"/>
  <c r="B12" i="182"/>
  <c r="I10" i="182"/>
  <c r="H10" i="182"/>
  <c r="G10" i="182"/>
  <c r="F10" i="182"/>
  <c r="E10" i="182"/>
  <c r="D10" i="182"/>
  <c r="C10" i="182"/>
  <c r="B10" i="182"/>
  <c r="I8" i="182"/>
  <c r="H8" i="182"/>
  <c r="G8" i="182"/>
  <c r="F8" i="182"/>
  <c r="E8" i="182"/>
  <c r="D8" i="182"/>
  <c r="C8" i="182"/>
  <c r="B8" i="182"/>
  <c r="I6" i="182"/>
  <c r="I4" i="182" s="1"/>
  <c r="I34" i="182" s="1"/>
  <c r="H6" i="182"/>
  <c r="G6" i="182"/>
  <c r="F6" i="182"/>
  <c r="E6" i="182"/>
  <c r="D6" i="182"/>
  <c r="D4" i="182" s="1"/>
  <c r="C6" i="182"/>
  <c r="C4" i="182" s="1"/>
  <c r="C34" i="182" s="1"/>
  <c r="C21" i="182" s="1"/>
  <c r="B6" i="182"/>
  <c r="B4" i="182" s="1"/>
  <c r="I12" i="181"/>
  <c r="H12" i="181"/>
  <c r="G12" i="181"/>
  <c r="F12" i="181"/>
  <c r="E12" i="181"/>
  <c r="D12" i="181"/>
  <c r="C12" i="181"/>
  <c r="B12" i="181"/>
  <c r="I10" i="181"/>
  <c r="H10" i="181"/>
  <c r="G10" i="181"/>
  <c r="E10" i="181"/>
  <c r="D10" i="181"/>
  <c r="C10" i="181"/>
  <c r="B10" i="181"/>
  <c r="I8" i="181"/>
  <c r="H8" i="181"/>
  <c r="G8" i="181"/>
  <c r="F8" i="181"/>
  <c r="E8" i="181"/>
  <c r="D8" i="181"/>
  <c r="C8" i="181"/>
  <c r="B8" i="181"/>
  <c r="I6" i="181"/>
  <c r="H6" i="181"/>
  <c r="G6" i="181"/>
  <c r="F6" i="181"/>
  <c r="E6" i="181"/>
  <c r="D6" i="181"/>
  <c r="C6" i="181"/>
  <c r="B6" i="181"/>
  <c r="I4" i="181"/>
  <c r="H4" i="181"/>
  <c r="H14" i="181" s="1"/>
  <c r="G4" i="181"/>
  <c r="F4" i="181"/>
  <c r="E4" i="181"/>
  <c r="D4" i="181"/>
  <c r="C4" i="181"/>
  <c r="B4" i="181"/>
  <c r="J30" i="180"/>
  <c r="I28" i="180"/>
  <c r="H28" i="180"/>
  <c r="G28" i="180"/>
  <c r="F28" i="180"/>
  <c r="E28" i="180"/>
  <c r="D28" i="180"/>
  <c r="C28" i="180"/>
  <c r="B28" i="180"/>
  <c r="I26" i="180"/>
  <c r="H26" i="180"/>
  <c r="G26" i="180"/>
  <c r="F26" i="180"/>
  <c r="E26" i="180"/>
  <c r="D26" i="180"/>
  <c r="C26" i="180"/>
  <c r="B26" i="180"/>
  <c r="C24" i="180"/>
  <c r="C31" i="180" s="1"/>
  <c r="B24" i="180"/>
  <c r="J22" i="180"/>
  <c r="I20" i="180"/>
  <c r="H20" i="180"/>
  <c r="G20" i="180"/>
  <c r="F20" i="180"/>
  <c r="E20" i="180"/>
  <c r="D20" i="180"/>
  <c r="C20" i="180"/>
  <c r="B20" i="180"/>
  <c r="I18" i="180"/>
  <c r="H18" i="180"/>
  <c r="G18" i="180"/>
  <c r="F18" i="180"/>
  <c r="E18" i="180"/>
  <c r="D18" i="180"/>
  <c r="C18" i="180"/>
  <c r="B18" i="180"/>
  <c r="I16" i="180"/>
  <c r="H16" i="180"/>
  <c r="G16" i="180"/>
  <c r="F16" i="180"/>
  <c r="E16" i="180"/>
  <c r="D16" i="180"/>
  <c r="C16" i="180"/>
  <c r="B16" i="180"/>
  <c r="I14" i="180"/>
  <c r="H14" i="180"/>
  <c r="G14" i="180"/>
  <c r="F14" i="180"/>
  <c r="E14" i="180"/>
  <c r="D14" i="180"/>
  <c r="C14" i="180"/>
  <c r="B14" i="180"/>
  <c r="I24" i="180"/>
  <c r="F24" i="180"/>
  <c r="E24" i="180"/>
  <c r="D24" i="180"/>
  <c r="I12" i="180"/>
  <c r="H12" i="180"/>
  <c r="G12" i="180"/>
  <c r="E12" i="180"/>
  <c r="D12" i="180"/>
  <c r="C12" i="180"/>
  <c r="B12" i="180"/>
  <c r="I10" i="180"/>
  <c r="H10" i="180"/>
  <c r="G10" i="180"/>
  <c r="F10" i="180"/>
  <c r="E10" i="180"/>
  <c r="D10" i="180"/>
  <c r="C10" i="180"/>
  <c r="B10" i="180"/>
  <c r="I8" i="180"/>
  <c r="H8" i="180"/>
  <c r="G8" i="180"/>
  <c r="F8" i="180"/>
  <c r="E8" i="180"/>
  <c r="D8" i="180"/>
  <c r="C8" i="180"/>
  <c r="B8" i="180"/>
  <c r="I6" i="180"/>
  <c r="H6" i="180"/>
  <c r="G6" i="180"/>
  <c r="F6" i="180"/>
  <c r="E6" i="180"/>
  <c r="D6" i="180"/>
  <c r="C6" i="180"/>
  <c r="B6" i="180"/>
  <c r="I4" i="180"/>
  <c r="H4" i="180"/>
  <c r="G4" i="180"/>
  <c r="F4" i="180"/>
  <c r="E4" i="180"/>
  <c r="D4" i="180"/>
  <c r="C4" i="180"/>
  <c r="B4" i="180"/>
  <c r="P33" i="151"/>
  <c r="P32" i="151"/>
  <c r="P31" i="151"/>
  <c r="P30" i="151"/>
  <c r="P29" i="151"/>
  <c r="P28" i="151"/>
  <c r="P27" i="151"/>
  <c r="P26" i="151"/>
  <c r="P25" i="151"/>
  <c r="O25" i="151"/>
  <c r="O33" i="151"/>
  <c r="O32" i="151"/>
  <c r="O31" i="151"/>
  <c r="O30" i="151"/>
  <c r="O29" i="151"/>
  <c r="O28" i="151"/>
  <c r="O27" i="151"/>
  <c r="O26" i="151"/>
  <c r="N33" i="151"/>
  <c r="N32" i="151"/>
  <c r="N31" i="151"/>
  <c r="N30" i="151"/>
  <c r="N29" i="151"/>
  <c r="N28" i="151"/>
  <c r="N27" i="151"/>
  <c r="N26" i="151"/>
  <c r="N25" i="151"/>
  <c r="P13" i="151"/>
  <c r="P12" i="151"/>
  <c r="P11" i="151"/>
  <c r="P10" i="151"/>
  <c r="P9" i="151"/>
  <c r="P8" i="151"/>
  <c r="P7" i="151"/>
  <c r="P6" i="151"/>
  <c r="P5" i="151"/>
  <c r="O13" i="151"/>
  <c r="O12" i="151"/>
  <c r="O11" i="151"/>
  <c r="O10" i="151"/>
  <c r="O9" i="151"/>
  <c r="O8" i="151"/>
  <c r="O7" i="151"/>
  <c r="O6" i="151"/>
  <c r="O5" i="151"/>
  <c r="N13" i="151"/>
  <c r="N12" i="151"/>
  <c r="N11" i="151"/>
  <c r="N10" i="151"/>
  <c r="N9" i="151"/>
  <c r="N8" i="151"/>
  <c r="N7" i="151"/>
  <c r="N6" i="151"/>
  <c r="N5" i="151"/>
  <c r="Q87" i="191" l="1"/>
  <c r="Q42" i="191"/>
  <c r="Q44" i="191"/>
  <c r="B28" i="190"/>
  <c r="J28" i="190"/>
  <c r="H30" i="190"/>
  <c r="G34" i="190"/>
  <c r="C36" i="190"/>
  <c r="I38" i="190"/>
  <c r="B11" i="190"/>
  <c r="I13" i="190"/>
  <c r="J9" i="190"/>
  <c r="G11" i="190"/>
  <c r="H24" i="185"/>
  <c r="F38" i="183"/>
  <c r="G44" i="183"/>
  <c r="H44" i="183"/>
  <c r="D44" i="183"/>
  <c r="Q89" i="191"/>
  <c r="I91" i="191"/>
  <c r="E28" i="190"/>
  <c r="J32" i="190"/>
  <c r="F34" i="190"/>
  <c r="E30" i="190"/>
  <c r="G30" i="190"/>
  <c r="B34" i="190"/>
  <c r="J34" i="190"/>
  <c r="F36" i="190"/>
  <c r="I30" i="190"/>
  <c r="C34" i="190"/>
  <c r="G36" i="190"/>
  <c r="D38" i="190"/>
  <c r="G5" i="190"/>
  <c r="D7" i="190"/>
  <c r="H13" i="190"/>
  <c r="B13" i="190"/>
  <c r="J13" i="190"/>
  <c r="C7" i="190"/>
  <c r="K32" i="189"/>
  <c r="E41" i="189"/>
  <c r="I35" i="189"/>
  <c r="J18" i="189"/>
  <c r="J17" i="189" s="1"/>
  <c r="F47" i="189"/>
  <c r="I38" i="188"/>
  <c r="Q76" i="191"/>
  <c r="Q40" i="191"/>
  <c r="Q9" i="191"/>
  <c r="Q13" i="191"/>
  <c r="Q17" i="191"/>
  <c r="Q21" i="191"/>
  <c r="Q25" i="191"/>
  <c r="Q29" i="191"/>
  <c r="Q33" i="191"/>
  <c r="Q37" i="191"/>
  <c r="Q41" i="191"/>
  <c r="AV33" i="190"/>
  <c r="H36" i="190"/>
  <c r="AV32" i="190"/>
  <c r="E34" i="190"/>
  <c r="B38" i="190"/>
  <c r="H28" i="190"/>
  <c r="F30" i="190"/>
  <c r="E32" i="190"/>
  <c r="H34" i="190"/>
  <c r="G38" i="190"/>
  <c r="I28" i="190"/>
  <c r="AV36" i="190"/>
  <c r="I34" i="190"/>
  <c r="D36" i="190"/>
  <c r="G7" i="190"/>
  <c r="H7" i="190"/>
  <c r="H11" i="190"/>
  <c r="F15" i="190"/>
  <c r="J7" i="190"/>
  <c r="E7" i="190"/>
  <c r="F13" i="190"/>
  <c r="F7" i="190"/>
  <c r="C11" i="190"/>
  <c r="J15" i="190"/>
  <c r="K40" i="189"/>
  <c r="F25" i="189"/>
  <c r="G45" i="189"/>
  <c r="J33" i="189"/>
  <c r="J43" i="189"/>
  <c r="C25" i="189"/>
  <c r="G29" i="189"/>
  <c r="E33" i="189"/>
  <c r="E51" i="189"/>
  <c r="C55" i="189"/>
  <c r="B55" i="189"/>
  <c r="G61" i="189"/>
  <c r="C27" i="189"/>
  <c r="J37" i="189"/>
  <c r="C45" i="189"/>
  <c r="F51" i="189"/>
  <c r="J57" i="189"/>
  <c r="I59" i="189"/>
  <c r="G63" i="189"/>
  <c r="G27" i="189"/>
  <c r="C37" i="189"/>
  <c r="F37" i="189"/>
  <c r="E43" i="189"/>
  <c r="J47" i="189"/>
  <c r="G51" i="189"/>
  <c r="E55" i="189"/>
  <c r="B25" i="189"/>
  <c r="F43" i="189"/>
  <c r="F55" i="189"/>
  <c r="G25" i="189"/>
  <c r="F27" i="189"/>
  <c r="J41" i="189"/>
  <c r="G43" i="189"/>
  <c r="E47" i="189"/>
  <c r="C49" i="189"/>
  <c r="F49" i="189"/>
  <c r="J63" i="189"/>
  <c r="C18" i="189"/>
  <c r="C17" i="189" s="1"/>
  <c r="G33" i="189"/>
  <c r="G37" i="189"/>
  <c r="F41" i="189"/>
  <c r="G47" i="189"/>
  <c r="C51" i="189"/>
  <c r="E61" i="189"/>
  <c r="C42" i="188"/>
  <c r="E36" i="188"/>
  <c r="E27" i="188" s="1"/>
  <c r="E42" i="188"/>
  <c r="I44" i="188"/>
  <c r="H4" i="187"/>
  <c r="C34" i="187"/>
  <c r="C33" i="187" s="1"/>
  <c r="K8" i="187"/>
  <c r="I4" i="187"/>
  <c r="K10" i="186"/>
  <c r="H14" i="186"/>
  <c r="H9" i="186" s="1"/>
  <c r="I24" i="185"/>
  <c r="I7" i="185" s="1"/>
  <c r="I19" i="185"/>
  <c r="I15" i="185"/>
  <c r="B31" i="180"/>
  <c r="J24" i="180"/>
  <c r="J23" i="180" s="1"/>
  <c r="J32" i="184"/>
  <c r="H10" i="184"/>
  <c r="H9" i="184" s="1"/>
  <c r="E31" i="184"/>
  <c r="E43" i="184"/>
  <c r="E57" i="184"/>
  <c r="E59" i="184"/>
  <c r="F27" i="184"/>
  <c r="F29" i="184"/>
  <c r="F31" i="184"/>
  <c r="F41" i="184"/>
  <c r="F43" i="184"/>
  <c r="F55" i="184"/>
  <c r="F57" i="184"/>
  <c r="F59" i="184"/>
  <c r="H25" i="184"/>
  <c r="G29" i="184"/>
  <c r="G31" i="184"/>
  <c r="G35" i="184"/>
  <c r="G39" i="184"/>
  <c r="G41" i="184"/>
  <c r="G51" i="184"/>
  <c r="G53" i="184"/>
  <c r="G55" i="184"/>
  <c r="G57" i="184"/>
  <c r="E18" i="184"/>
  <c r="E17" i="184" s="1"/>
  <c r="H27" i="184"/>
  <c r="H29" i="184"/>
  <c r="H31" i="184"/>
  <c r="H37" i="184"/>
  <c r="H39" i="184"/>
  <c r="H41" i="184"/>
  <c r="H43" i="184"/>
  <c r="H53" i="184"/>
  <c r="H55" i="184"/>
  <c r="H57" i="184"/>
  <c r="H59" i="184"/>
  <c r="B25" i="184"/>
  <c r="I25" i="184"/>
  <c r="I27" i="184"/>
  <c r="I29" i="184"/>
  <c r="I33" i="184"/>
  <c r="I35" i="184"/>
  <c r="I37" i="184"/>
  <c r="I39" i="184"/>
  <c r="I49" i="184"/>
  <c r="I51" i="184"/>
  <c r="I53" i="184"/>
  <c r="I55" i="184"/>
  <c r="B27" i="184"/>
  <c r="B35" i="184"/>
  <c r="B37" i="184"/>
  <c r="B39" i="184"/>
  <c r="B41" i="184"/>
  <c r="B47" i="184"/>
  <c r="B49" i="184"/>
  <c r="B51" i="184"/>
  <c r="B53" i="184"/>
  <c r="B55" i="184"/>
  <c r="B63" i="184"/>
  <c r="C63" i="184"/>
  <c r="G18" i="184"/>
  <c r="G15" i="184" s="1"/>
  <c r="D31" i="184"/>
  <c r="D43" i="184"/>
  <c r="D59" i="184"/>
  <c r="C42" i="183"/>
  <c r="B13" i="180"/>
  <c r="B9" i="180"/>
  <c r="B7" i="180"/>
  <c r="J20" i="180"/>
  <c r="J18" i="180"/>
  <c r="J16" i="180"/>
  <c r="J14" i="180"/>
  <c r="J26" i="180"/>
  <c r="J4" i="180"/>
  <c r="J10" i="180"/>
  <c r="G14" i="181"/>
  <c r="G11" i="181" s="1"/>
  <c r="F5" i="180"/>
  <c r="P83" i="191"/>
  <c r="Q75" i="191"/>
  <c r="Q79" i="191"/>
  <c r="Q80" i="191"/>
  <c r="P74" i="191"/>
  <c r="Q77" i="191"/>
  <c r="Q78" i="191"/>
  <c r="Q82" i="191"/>
  <c r="Q81" i="191"/>
  <c r="I48" i="191"/>
  <c r="Q45" i="191"/>
  <c r="Q15" i="191"/>
  <c r="Q31" i="191"/>
  <c r="Q39" i="191"/>
  <c r="Q7" i="191"/>
  <c r="Q23" i="191"/>
  <c r="B32" i="190"/>
  <c r="C28" i="190"/>
  <c r="H38" i="190"/>
  <c r="F28" i="190"/>
  <c r="AV38" i="190"/>
  <c r="AV39" i="190"/>
  <c r="AV44" i="190"/>
  <c r="E38" i="190"/>
  <c r="I32" i="190"/>
  <c r="F32" i="190"/>
  <c r="C38" i="190"/>
  <c r="AV43" i="190"/>
  <c r="J38" i="190"/>
  <c r="D5" i="190"/>
  <c r="C9" i="190"/>
  <c r="E9" i="190"/>
  <c r="E5" i="190"/>
  <c r="H5" i="190"/>
  <c r="D9" i="190"/>
  <c r="B9" i="190"/>
  <c r="F5" i="190"/>
  <c r="J11" i="190"/>
  <c r="D13" i="190"/>
  <c r="H15" i="190"/>
  <c r="I9" i="190"/>
  <c r="E13" i="190"/>
  <c r="B7" i="190"/>
  <c r="C13" i="190"/>
  <c r="I57" i="189"/>
  <c r="B51" i="189"/>
  <c r="K30" i="189"/>
  <c r="C41" i="189"/>
  <c r="K34" i="189"/>
  <c r="H35" i="189"/>
  <c r="H49" i="189"/>
  <c r="H39" i="189"/>
  <c r="I49" i="189"/>
  <c r="H61" i="189"/>
  <c r="H29" i="189"/>
  <c r="B31" i="189"/>
  <c r="B45" i="189"/>
  <c r="B49" i="189"/>
  <c r="J51" i="189"/>
  <c r="I53" i="189"/>
  <c r="J55" i="189"/>
  <c r="B59" i="189"/>
  <c r="I61" i="189"/>
  <c r="H63" i="189"/>
  <c r="H25" i="189"/>
  <c r="J27" i="189"/>
  <c r="I29" i="189"/>
  <c r="C31" i="189"/>
  <c r="B35" i="189"/>
  <c r="B53" i="189"/>
  <c r="B57" i="189"/>
  <c r="C59" i="189"/>
  <c r="J61" i="189"/>
  <c r="I63" i="189"/>
  <c r="I25" i="189"/>
  <c r="H27" i="189"/>
  <c r="J29" i="189"/>
  <c r="E31" i="189"/>
  <c r="J31" i="189"/>
  <c r="I33" i="189"/>
  <c r="C35" i="189"/>
  <c r="B39" i="189"/>
  <c r="G41" i="189"/>
  <c r="I43" i="189"/>
  <c r="J45" i="189"/>
  <c r="I47" i="189"/>
  <c r="G49" i="189"/>
  <c r="C53" i="189"/>
  <c r="F53" i="189"/>
  <c r="G55" i="189"/>
  <c r="C57" i="189"/>
  <c r="F57" i="189"/>
  <c r="E59" i="189"/>
  <c r="F59" i="189"/>
  <c r="I45" i="189"/>
  <c r="E18" i="189"/>
  <c r="E15" i="189" s="1"/>
  <c r="J25" i="189"/>
  <c r="I27" i="189"/>
  <c r="B29" i="189"/>
  <c r="F31" i="189"/>
  <c r="E35" i="189"/>
  <c r="F35" i="189"/>
  <c r="C39" i="189"/>
  <c r="E49" i="189"/>
  <c r="J49" i="189"/>
  <c r="I51" i="189"/>
  <c r="G53" i="189"/>
  <c r="H55" i="189"/>
  <c r="G57" i="189"/>
  <c r="J59" i="189"/>
  <c r="B63" i="189"/>
  <c r="H47" i="189"/>
  <c r="C29" i="189"/>
  <c r="G31" i="189"/>
  <c r="B33" i="189"/>
  <c r="G35" i="189"/>
  <c r="E39" i="189"/>
  <c r="G39" i="189"/>
  <c r="H41" i="189"/>
  <c r="B43" i="189"/>
  <c r="B47" i="189"/>
  <c r="E53" i="189"/>
  <c r="J53" i="189"/>
  <c r="I55" i="189"/>
  <c r="E57" i="189"/>
  <c r="H57" i="189"/>
  <c r="G59" i="189"/>
  <c r="B61" i="189"/>
  <c r="C63" i="189"/>
  <c r="G18" i="189"/>
  <c r="G17" i="189" s="1"/>
  <c r="B27" i="189"/>
  <c r="E29" i="189"/>
  <c r="F29" i="189"/>
  <c r="F33" i="189"/>
  <c r="J35" i="189"/>
  <c r="I37" i="189"/>
  <c r="F39" i="189"/>
  <c r="J39" i="189"/>
  <c r="I41" i="189"/>
  <c r="D43" i="189"/>
  <c r="C43" i="189"/>
  <c r="H45" i="189"/>
  <c r="C47" i="189"/>
  <c r="H59" i="189"/>
  <c r="C61" i="189"/>
  <c r="F61" i="189"/>
  <c r="E63" i="189"/>
  <c r="F63" i="189"/>
  <c r="B7" i="189"/>
  <c r="B9" i="189"/>
  <c r="K6" i="189"/>
  <c r="F10" i="189"/>
  <c r="F7" i="189" s="1"/>
  <c r="G10" i="189"/>
  <c r="G7" i="189" s="1"/>
  <c r="J5" i="189"/>
  <c r="J7" i="189"/>
  <c r="D10" i="189"/>
  <c r="D7" i="189" s="1"/>
  <c r="H36" i="188"/>
  <c r="H35" i="188" s="1"/>
  <c r="K14" i="188"/>
  <c r="K30" i="188"/>
  <c r="E40" i="188"/>
  <c r="F36" i="188"/>
  <c r="F35" i="188" s="1"/>
  <c r="B38" i="188"/>
  <c r="J38" i="188"/>
  <c r="F40" i="188"/>
  <c r="I42" i="188"/>
  <c r="G40" i="188"/>
  <c r="B42" i="188"/>
  <c r="J42" i="188"/>
  <c r="K6" i="188"/>
  <c r="F44" i="188"/>
  <c r="D34" i="187"/>
  <c r="D21" i="187" s="1"/>
  <c r="B4" i="187"/>
  <c r="E34" i="187"/>
  <c r="E33" i="187" s="1"/>
  <c r="D25" i="187"/>
  <c r="C4" i="187"/>
  <c r="D4" i="187"/>
  <c r="K6" i="186"/>
  <c r="I14" i="186"/>
  <c r="I13" i="186" s="1"/>
  <c r="B14" i="186"/>
  <c r="B5" i="186" s="1"/>
  <c r="J14" i="186"/>
  <c r="J13" i="186" s="1"/>
  <c r="C14" i="186"/>
  <c r="C13" i="186" s="1"/>
  <c r="K26" i="185"/>
  <c r="I23" i="185"/>
  <c r="I11" i="185"/>
  <c r="I17" i="185"/>
  <c r="H13" i="185"/>
  <c r="H29" i="185"/>
  <c r="I13" i="185"/>
  <c r="I29" i="185"/>
  <c r="E24" i="185"/>
  <c r="E7" i="185" s="1"/>
  <c r="E27" i="185"/>
  <c r="F24" i="185"/>
  <c r="F17" i="185" s="1"/>
  <c r="D24" i="185"/>
  <c r="D31" i="185" s="1"/>
  <c r="H9" i="185"/>
  <c r="B24" i="185"/>
  <c r="B15" i="185" s="1"/>
  <c r="I9" i="185"/>
  <c r="H21" i="185"/>
  <c r="H5" i="185"/>
  <c r="K14" i="185"/>
  <c r="I21" i="185"/>
  <c r="H27" i="185"/>
  <c r="I5" i="185"/>
  <c r="I25" i="185" s="1"/>
  <c r="J24" i="185"/>
  <c r="J7" i="185" s="1"/>
  <c r="I27" i="185"/>
  <c r="J40" i="184"/>
  <c r="J50" i="184"/>
  <c r="J42" i="184"/>
  <c r="J24" i="184"/>
  <c r="J58" i="184"/>
  <c r="C61" i="184"/>
  <c r="C49" i="184"/>
  <c r="D35" i="184"/>
  <c r="C39" i="184"/>
  <c r="G61" i="184"/>
  <c r="E25" i="184"/>
  <c r="C27" i="184"/>
  <c r="B29" i="184"/>
  <c r="I31" i="184"/>
  <c r="H33" i="184"/>
  <c r="F35" i="184"/>
  <c r="D39" i="184"/>
  <c r="C41" i="184"/>
  <c r="I41" i="184"/>
  <c r="I43" i="184"/>
  <c r="H45" i="184"/>
  <c r="G47" i="184"/>
  <c r="F49" i="184"/>
  <c r="E51" i="184"/>
  <c r="D53" i="184"/>
  <c r="B57" i="184"/>
  <c r="I57" i="184"/>
  <c r="I59" i="184"/>
  <c r="H61" i="184"/>
  <c r="G63" i="184"/>
  <c r="C45" i="184"/>
  <c r="D17" i="184"/>
  <c r="D33" i="184"/>
  <c r="D45" i="184"/>
  <c r="D61" i="184"/>
  <c r="E33" i="184"/>
  <c r="E37" i="184"/>
  <c r="D63" i="184"/>
  <c r="F33" i="184"/>
  <c r="E47" i="184"/>
  <c r="D49" i="184"/>
  <c r="C51" i="184"/>
  <c r="E53" i="184"/>
  <c r="F61" i="184"/>
  <c r="E35" i="184"/>
  <c r="F25" i="184"/>
  <c r="D27" i="184"/>
  <c r="C29" i="184"/>
  <c r="B31" i="184"/>
  <c r="C31" i="184"/>
  <c r="F37" i="184"/>
  <c r="E39" i="184"/>
  <c r="D41" i="184"/>
  <c r="G43" i="184"/>
  <c r="I45" i="184"/>
  <c r="H47" i="184"/>
  <c r="G49" i="184"/>
  <c r="F51" i="184"/>
  <c r="D55" i="184"/>
  <c r="C57" i="184"/>
  <c r="G59" i="184"/>
  <c r="I61" i="184"/>
  <c r="H63" i="184"/>
  <c r="C33" i="184"/>
  <c r="C47" i="184"/>
  <c r="D15" i="184"/>
  <c r="C35" i="184"/>
  <c r="D47" i="184"/>
  <c r="C25" i="184"/>
  <c r="C37" i="184"/>
  <c r="F45" i="184"/>
  <c r="E63" i="184"/>
  <c r="D25" i="184"/>
  <c r="G33" i="184"/>
  <c r="D37" i="184"/>
  <c r="G45" i="184"/>
  <c r="F47" i="184"/>
  <c r="E49" i="184"/>
  <c r="D51" i="184"/>
  <c r="C53" i="184"/>
  <c r="C55" i="184"/>
  <c r="F63" i="184"/>
  <c r="G25" i="184"/>
  <c r="E27" i="184"/>
  <c r="D29" i="184"/>
  <c r="B33" i="184"/>
  <c r="H35" i="184"/>
  <c r="G37" i="184"/>
  <c r="F39" i="184"/>
  <c r="E41" i="184"/>
  <c r="C43" i="184"/>
  <c r="B45" i="184"/>
  <c r="E45" i="184"/>
  <c r="I47" i="184"/>
  <c r="H49" i="184"/>
  <c r="F53" i="184"/>
  <c r="E55" i="184"/>
  <c r="D57" i="184"/>
  <c r="C59" i="184"/>
  <c r="B61" i="184"/>
  <c r="E61" i="184"/>
  <c r="I63" i="184"/>
  <c r="C7" i="184"/>
  <c r="D10" i="184"/>
  <c r="D9" i="184" s="1"/>
  <c r="C5" i="184"/>
  <c r="B10" i="184"/>
  <c r="B5" i="184" s="1"/>
  <c r="E42" i="183"/>
  <c r="F44" i="183"/>
  <c r="I38" i="183"/>
  <c r="I40" i="183"/>
  <c r="B38" i="183"/>
  <c r="J10" i="183"/>
  <c r="B40" i="183"/>
  <c r="J14" i="183"/>
  <c r="I42" i="183"/>
  <c r="C36" i="183"/>
  <c r="C23" i="183" s="1"/>
  <c r="J18" i="183"/>
  <c r="J24" i="183"/>
  <c r="F42" i="183"/>
  <c r="J12" i="182"/>
  <c r="E4" i="182"/>
  <c r="E34" i="182" s="1"/>
  <c r="E23" i="182" s="1"/>
  <c r="B14" i="181"/>
  <c r="B7" i="181" s="1"/>
  <c r="J12" i="181"/>
  <c r="C14" i="181"/>
  <c r="C5" i="181" s="1"/>
  <c r="D14" i="181"/>
  <c r="D7" i="181" s="1"/>
  <c r="J10" i="181"/>
  <c r="C11" i="180"/>
  <c r="D11" i="180"/>
  <c r="D13" i="180"/>
  <c r="D29" i="180"/>
  <c r="C9" i="180"/>
  <c r="G5" i="180"/>
  <c r="C13" i="180"/>
  <c r="B29" i="180"/>
  <c r="E9" i="180"/>
  <c r="G15" i="180"/>
  <c r="G17" i="180"/>
  <c r="G21" i="180"/>
  <c r="C27" i="180"/>
  <c r="C29" i="180"/>
  <c r="G7" i="180"/>
  <c r="F9" i="180"/>
  <c r="F11" i="180"/>
  <c r="F13" i="180"/>
  <c r="G13" i="180"/>
  <c r="C5" i="180"/>
  <c r="C7" i="180"/>
  <c r="C15" i="180"/>
  <c r="C17" i="180"/>
  <c r="C19" i="180"/>
  <c r="C21" i="180"/>
  <c r="C23" i="180"/>
  <c r="B11" i="180"/>
  <c r="Q5" i="191"/>
  <c r="I83" i="191"/>
  <c r="I74" i="191"/>
  <c r="Q74" i="191" s="1"/>
  <c r="Q85" i="191"/>
  <c r="K19" i="190"/>
  <c r="C30" i="190"/>
  <c r="D11" i="190"/>
  <c r="I11" i="190"/>
  <c r="I7" i="190"/>
  <c r="AV31" i="190"/>
  <c r="AV35" i="190"/>
  <c r="AV37" i="190"/>
  <c r="G28" i="190"/>
  <c r="D30" i="190"/>
  <c r="G32" i="190"/>
  <c r="D34" i="190"/>
  <c r="E11" i="190"/>
  <c r="B15" i="190"/>
  <c r="AV30" i="190"/>
  <c r="H32" i="190"/>
  <c r="I5" i="190"/>
  <c r="G9" i="190"/>
  <c r="C15" i="190"/>
  <c r="AV29" i="190"/>
  <c r="AV34" i="190"/>
  <c r="AV41" i="190"/>
  <c r="H9" i="190"/>
  <c r="D15" i="190"/>
  <c r="K40" i="190"/>
  <c r="B5" i="190"/>
  <c r="J5" i="190"/>
  <c r="E15" i="190"/>
  <c r="K17" i="190"/>
  <c r="AV28" i="190"/>
  <c r="C32" i="190"/>
  <c r="F38" i="190"/>
  <c r="D28" i="190"/>
  <c r="D32" i="190"/>
  <c r="AV40" i="190"/>
  <c r="AV42" i="190"/>
  <c r="F9" i="190"/>
  <c r="AV46" i="190"/>
  <c r="AV47" i="190"/>
  <c r="D33" i="189"/>
  <c r="K46" i="189"/>
  <c r="J15" i="189"/>
  <c r="J19" i="189" s="1"/>
  <c r="K28" i="189"/>
  <c r="C33" i="189"/>
  <c r="D35" i="189"/>
  <c r="H37" i="189"/>
  <c r="D51" i="189"/>
  <c r="E10" i="189"/>
  <c r="E7" i="189" s="1"/>
  <c r="D31" i="189"/>
  <c r="K44" i="189"/>
  <c r="D47" i="189"/>
  <c r="B17" i="189"/>
  <c r="H18" i="189"/>
  <c r="H17" i="189" s="1"/>
  <c r="K24" i="189"/>
  <c r="D29" i="189"/>
  <c r="K42" i="189"/>
  <c r="D45" i="189"/>
  <c r="D63" i="189"/>
  <c r="C10" i="189"/>
  <c r="C7" i="189" s="1"/>
  <c r="K16" i="189"/>
  <c r="I18" i="189"/>
  <c r="I17" i="189" s="1"/>
  <c r="D27" i="189"/>
  <c r="H33" i="189"/>
  <c r="H51" i="189"/>
  <c r="D18" i="189"/>
  <c r="D15" i="189" s="1"/>
  <c r="D39" i="189"/>
  <c r="D55" i="189"/>
  <c r="H10" i="189"/>
  <c r="H9" i="189" s="1"/>
  <c r="K8" i="189"/>
  <c r="K14" i="189"/>
  <c r="I10" i="189"/>
  <c r="I5" i="189" s="1"/>
  <c r="B37" i="189"/>
  <c r="K36" i="189"/>
  <c r="D41" i="189"/>
  <c r="D25" i="189"/>
  <c r="K26" i="189"/>
  <c r="I39" i="189"/>
  <c r="E45" i="189"/>
  <c r="K50" i="189"/>
  <c r="K54" i="189"/>
  <c r="K58" i="189"/>
  <c r="K62" i="189"/>
  <c r="K4" i="189"/>
  <c r="E25" i="189"/>
  <c r="H31" i="189"/>
  <c r="D37" i="189"/>
  <c r="K38" i="189"/>
  <c r="F45" i="189"/>
  <c r="K48" i="189"/>
  <c r="K52" i="189"/>
  <c r="K56" i="189"/>
  <c r="K60" i="189"/>
  <c r="F18" i="189"/>
  <c r="F17" i="189" s="1"/>
  <c r="I31" i="189"/>
  <c r="E37" i="189"/>
  <c r="H43" i="189"/>
  <c r="D49" i="189"/>
  <c r="D53" i="189"/>
  <c r="D57" i="189"/>
  <c r="D61" i="189"/>
  <c r="B18" i="189"/>
  <c r="B15" i="189" s="1"/>
  <c r="F23" i="188"/>
  <c r="H21" i="188"/>
  <c r="F33" i="188"/>
  <c r="F29" i="188"/>
  <c r="F25" i="188"/>
  <c r="F11" i="188"/>
  <c r="F17" i="188"/>
  <c r="F5" i="188"/>
  <c r="F21" i="188"/>
  <c r="F27" i="188"/>
  <c r="D33" i="188"/>
  <c r="H11" i="188"/>
  <c r="F15" i="188"/>
  <c r="F31" i="188"/>
  <c r="K10" i="188"/>
  <c r="K22" i="188"/>
  <c r="G36" i="188"/>
  <c r="G19" i="188" s="1"/>
  <c r="G44" i="188"/>
  <c r="D38" i="188"/>
  <c r="H40" i="188"/>
  <c r="H41" i="188" s="1"/>
  <c r="D42" i="188"/>
  <c r="E38" i="188"/>
  <c r="B36" i="188"/>
  <c r="B33" i="188" s="1"/>
  <c r="J36" i="188"/>
  <c r="J25" i="188" s="1"/>
  <c r="F38" i="188"/>
  <c r="B40" i="188"/>
  <c r="J40" i="188"/>
  <c r="F42" i="188"/>
  <c r="F43" i="188" s="1"/>
  <c r="B44" i="188"/>
  <c r="J44" i="188"/>
  <c r="K18" i="188"/>
  <c r="K26" i="188"/>
  <c r="C38" i="188"/>
  <c r="I36" i="188"/>
  <c r="I5" i="188" s="1"/>
  <c r="I40" i="188"/>
  <c r="K4" i="188"/>
  <c r="K8" i="188"/>
  <c r="K12" i="188"/>
  <c r="K16" i="188"/>
  <c r="K20" i="188"/>
  <c r="E23" i="188"/>
  <c r="K24" i="188"/>
  <c r="K28" i="188"/>
  <c r="K32" i="188"/>
  <c r="C36" i="188"/>
  <c r="C23" i="188" s="1"/>
  <c r="G38" i="188"/>
  <c r="C40" i="188"/>
  <c r="G42" i="188"/>
  <c r="C44" i="188"/>
  <c r="D36" i="188"/>
  <c r="D25" i="188" s="1"/>
  <c r="H38" i="188"/>
  <c r="D40" i="188"/>
  <c r="H42" i="188"/>
  <c r="D44" i="188"/>
  <c r="K34" i="188"/>
  <c r="C19" i="187"/>
  <c r="C11" i="187"/>
  <c r="C7" i="187"/>
  <c r="D27" i="187"/>
  <c r="D11" i="187"/>
  <c r="E15" i="187"/>
  <c r="E31" i="187"/>
  <c r="C29" i="187"/>
  <c r="F34" i="187"/>
  <c r="F9" i="187" s="1"/>
  <c r="K12" i="187"/>
  <c r="K16" i="187"/>
  <c r="K20" i="187"/>
  <c r="K24" i="187"/>
  <c r="K28" i="187"/>
  <c r="K32" i="187"/>
  <c r="G34" i="187"/>
  <c r="G15" i="187" s="1"/>
  <c r="E4" i="187"/>
  <c r="F4" i="187"/>
  <c r="B34" i="187"/>
  <c r="B7" i="187" s="1"/>
  <c r="J34" i="187"/>
  <c r="J7" i="187" s="1"/>
  <c r="H34" i="187"/>
  <c r="H11" i="187" s="1"/>
  <c r="I34" i="187"/>
  <c r="I23" i="187" s="1"/>
  <c r="K6" i="187"/>
  <c r="K10" i="187"/>
  <c r="K14" i="187"/>
  <c r="K18" i="187"/>
  <c r="K22" i="187"/>
  <c r="K26" i="187"/>
  <c r="K30" i="187"/>
  <c r="H7" i="186"/>
  <c r="D14" i="186"/>
  <c r="D11" i="186" s="1"/>
  <c r="E14" i="186"/>
  <c r="E7" i="186" s="1"/>
  <c r="F14" i="186"/>
  <c r="F7" i="186" s="1"/>
  <c r="K4" i="186"/>
  <c r="K8" i="186"/>
  <c r="K12" i="186"/>
  <c r="G14" i="186"/>
  <c r="G7" i="186" s="1"/>
  <c r="D23" i="185"/>
  <c r="G24" i="185"/>
  <c r="G5" i="185" s="1"/>
  <c r="K8" i="185"/>
  <c r="K18" i="185"/>
  <c r="F23" i="185"/>
  <c r="F31" i="185"/>
  <c r="G21" i="185"/>
  <c r="K10" i="185"/>
  <c r="H19" i="185"/>
  <c r="H15" i="185"/>
  <c r="H11" i="185"/>
  <c r="H25" i="185" s="1"/>
  <c r="H7" i="185"/>
  <c r="H23" i="185"/>
  <c r="H31" i="185"/>
  <c r="E23" i="185"/>
  <c r="C24" i="185"/>
  <c r="C29" i="185" s="1"/>
  <c r="K6" i="185"/>
  <c r="E15" i="185"/>
  <c r="H17" i="185"/>
  <c r="D29" i="185"/>
  <c r="K4" i="185"/>
  <c r="K12" i="185"/>
  <c r="K16" i="185"/>
  <c r="K20" i="185"/>
  <c r="I31" i="185"/>
  <c r="K28" i="185"/>
  <c r="B17" i="184"/>
  <c r="C17" i="184"/>
  <c r="G7" i="184"/>
  <c r="G9" i="184"/>
  <c r="I7" i="184"/>
  <c r="I9" i="184"/>
  <c r="I17" i="184"/>
  <c r="F18" i="184"/>
  <c r="F15" i="184" s="1"/>
  <c r="J26" i="184"/>
  <c r="E10" i="184"/>
  <c r="E7" i="184" s="1"/>
  <c r="B15" i="184"/>
  <c r="B43" i="184"/>
  <c r="B59" i="184"/>
  <c r="J6" i="184"/>
  <c r="F10" i="184"/>
  <c r="F7" i="184" s="1"/>
  <c r="C15" i="184"/>
  <c r="J16" i="184"/>
  <c r="H18" i="184"/>
  <c r="H15" i="184" s="1"/>
  <c r="J28" i="184"/>
  <c r="J36" i="184"/>
  <c r="J44" i="184"/>
  <c r="J52" i="184"/>
  <c r="J60" i="184"/>
  <c r="J48" i="184"/>
  <c r="J56" i="184"/>
  <c r="H51" i="184"/>
  <c r="J4" i="184"/>
  <c r="I15" i="184"/>
  <c r="J34" i="184"/>
  <c r="I5" i="184"/>
  <c r="J14" i="184"/>
  <c r="J8" i="184"/>
  <c r="J30" i="184"/>
  <c r="J38" i="184"/>
  <c r="J46" i="184"/>
  <c r="J54" i="184"/>
  <c r="J62" i="184"/>
  <c r="I46" i="183"/>
  <c r="C9" i="183"/>
  <c r="J16" i="183"/>
  <c r="J30" i="183"/>
  <c r="H38" i="183"/>
  <c r="H36" i="183"/>
  <c r="H41" i="183" s="1"/>
  <c r="J6" i="183"/>
  <c r="J28" i="183"/>
  <c r="D40" i="183"/>
  <c r="E40" i="183"/>
  <c r="D36" i="183"/>
  <c r="D17" i="183" s="1"/>
  <c r="G40" i="183"/>
  <c r="G46" i="183" s="1"/>
  <c r="C19" i="183"/>
  <c r="E44" i="183"/>
  <c r="F40" i="183"/>
  <c r="E36" i="183"/>
  <c r="D25" i="183"/>
  <c r="C44" i="183"/>
  <c r="J12" i="183"/>
  <c r="J8" i="183"/>
  <c r="B36" i="183"/>
  <c r="B11" i="183" s="1"/>
  <c r="B42" i="183"/>
  <c r="J22" i="183"/>
  <c r="B35" i="183"/>
  <c r="F36" i="183"/>
  <c r="F11" i="183" s="1"/>
  <c r="J20" i="183"/>
  <c r="J32" i="183"/>
  <c r="G36" i="183"/>
  <c r="J26" i="183"/>
  <c r="J34" i="183"/>
  <c r="I36" i="183"/>
  <c r="I17" i="183" s="1"/>
  <c r="J4" i="183"/>
  <c r="C19" i="182"/>
  <c r="I31" i="182"/>
  <c r="I15" i="182"/>
  <c r="C13" i="182"/>
  <c r="C27" i="182"/>
  <c r="I29" i="182"/>
  <c r="I7" i="182"/>
  <c r="I9" i="182"/>
  <c r="J14" i="182"/>
  <c r="J28" i="182"/>
  <c r="B34" i="182"/>
  <c r="B23" i="182" s="1"/>
  <c r="C15" i="182"/>
  <c r="C29" i="182"/>
  <c r="J30" i="182"/>
  <c r="C9" i="182"/>
  <c r="I21" i="182"/>
  <c r="C31" i="182"/>
  <c r="I23" i="182"/>
  <c r="I25" i="182"/>
  <c r="C5" i="182"/>
  <c r="I19" i="182"/>
  <c r="G4" i="182"/>
  <c r="C11" i="182"/>
  <c r="I13" i="182"/>
  <c r="J18" i="182"/>
  <c r="C25" i="182"/>
  <c r="I5" i="182"/>
  <c r="H4" i="182"/>
  <c r="D34" i="182"/>
  <c r="D19" i="182" s="1"/>
  <c r="J6" i="182"/>
  <c r="I11" i="182"/>
  <c r="I17" i="182"/>
  <c r="J22" i="182"/>
  <c r="I27" i="182"/>
  <c r="I33" i="182"/>
  <c r="C7" i="182"/>
  <c r="F4" i="182"/>
  <c r="J10" i="182"/>
  <c r="C23" i="182"/>
  <c r="J26" i="182"/>
  <c r="C17" i="182"/>
  <c r="J20" i="182"/>
  <c r="C33" i="182"/>
  <c r="J8" i="182"/>
  <c r="J16" i="182"/>
  <c r="J24" i="182"/>
  <c r="J32" i="182"/>
  <c r="H7" i="181"/>
  <c r="H9" i="181"/>
  <c r="H13" i="181"/>
  <c r="H5" i="181"/>
  <c r="J4" i="181"/>
  <c r="I14" i="181"/>
  <c r="I9" i="181" s="1"/>
  <c r="J8" i="181"/>
  <c r="H11" i="181"/>
  <c r="E14" i="181"/>
  <c r="E7" i="181" s="1"/>
  <c r="F14" i="181"/>
  <c r="F5" i="181" s="1"/>
  <c r="J6" i="181"/>
  <c r="H17" i="180"/>
  <c r="H15" i="180"/>
  <c r="H23" i="180"/>
  <c r="H31" i="180"/>
  <c r="H21" i="180"/>
  <c r="H13" i="180"/>
  <c r="H5" i="180"/>
  <c r="E13" i="180"/>
  <c r="E5" i="180"/>
  <c r="E11" i="180"/>
  <c r="E21" i="180"/>
  <c r="E31" i="180"/>
  <c r="E23" i="180"/>
  <c r="I15" i="180"/>
  <c r="H19" i="180"/>
  <c r="H7" i="180"/>
  <c r="I19" i="180"/>
  <c r="I21" i="180"/>
  <c r="E29" i="180"/>
  <c r="H9" i="180"/>
  <c r="D27" i="180"/>
  <c r="D19" i="180"/>
  <c r="D9" i="180"/>
  <c r="D17" i="180"/>
  <c r="D23" i="180"/>
  <c r="D31" i="180"/>
  <c r="D15" i="180"/>
  <c r="G29" i="180"/>
  <c r="I9" i="180"/>
  <c r="I17" i="180"/>
  <c r="I31" i="180"/>
  <c r="I23" i="180"/>
  <c r="I7" i="180"/>
  <c r="I5" i="180"/>
  <c r="E27" i="180"/>
  <c r="H11" i="180"/>
  <c r="F17" i="180"/>
  <c r="F23" i="180"/>
  <c r="F15" i="180"/>
  <c r="F31" i="180"/>
  <c r="F7" i="180"/>
  <c r="F29" i="180"/>
  <c r="G9" i="180"/>
  <c r="G11" i="180"/>
  <c r="G27" i="180"/>
  <c r="G31" i="180"/>
  <c r="G23" i="180"/>
  <c r="G19" i="180"/>
  <c r="D21" i="180"/>
  <c r="H29" i="180"/>
  <c r="F27" i="180"/>
  <c r="I11" i="180"/>
  <c r="D5" i="180"/>
  <c r="I13" i="180"/>
  <c r="E15" i="180"/>
  <c r="H27" i="180"/>
  <c r="D7" i="180"/>
  <c r="E17" i="180"/>
  <c r="E19" i="180"/>
  <c r="I27" i="180"/>
  <c r="I29" i="180"/>
  <c r="E7" i="180"/>
  <c r="F19" i="180"/>
  <c r="F21" i="180"/>
  <c r="J12" i="180"/>
  <c r="B17" i="180"/>
  <c r="B5" i="180"/>
  <c r="J6" i="180"/>
  <c r="B19" i="180"/>
  <c r="B27" i="180"/>
  <c r="J28" i="180"/>
  <c r="J8" i="180"/>
  <c r="B21" i="180"/>
  <c r="B15" i="180"/>
  <c r="B23" i="180"/>
  <c r="I28" i="120"/>
  <c r="G28" i="120"/>
  <c r="E28" i="120"/>
  <c r="C28" i="120"/>
  <c r="I27" i="120"/>
  <c r="G27" i="120"/>
  <c r="E27" i="120"/>
  <c r="C27" i="120"/>
  <c r="I26" i="120"/>
  <c r="G26" i="120"/>
  <c r="E26" i="120"/>
  <c r="C26" i="120"/>
  <c r="I25" i="120"/>
  <c r="G25" i="120"/>
  <c r="E25" i="120"/>
  <c r="C25" i="120"/>
  <c r="I24" i="120"/>
  <c r="G24" i="120"/>
  <c r="E24" i="120"/>
  <c r="C24" i="120"/>
  <c r="I23" i="120"/>
  <c r="G23" i="120"/>
  <c r="E23" i="120"/>
  <c r="C23" i="120"/>
  <c r="I22" i="120"/>
  <c r="G22" i="120"/>
  <c r="E22" i="120"/>
  <c r="C22" i="120"/>
  <c r="I21" i="120"/>
  <c r="G21" i="120"/>
  <c r="E21" i="120"/>
  <c r="C21" i="120"/>
  <c r="I20" i="120"/>
  <c r="G20" i="120"/>
  <c r="E20" i="120"/>
  <c r="I12" i="120"/>
  <c r="G12" i="120"/>
  <c r="E12" i="120"/>
  <c r="C12" i="120"/>
  <c r="I11" i="120"/>
  <c r="G11" i="120"/>
  <c r="E11" i="120"/>
  <c r="C11" i="120"/>
  <c r="I10" i="120"/>
  <c r="G10" i="120"/>
  <c r="E10" i="120"/>
  <c r="C10" i="120"/>
  <c r="I9" i="120"/>
  <c r="G9" i="120"/>
  <c r="E9" i="120"/>
  <c r="C9" i="120"/>
  <c r="I8" i="120"/>
  <c r="G8" i="120"/>
  <c r="E8" i="120"/>
  <c r="C8" i="120"/>
  <c r="I7" i="120"/>
  <c r="G7" i="120"/>
  <c r="E7" i="120"/>
  <c r="C7" i="120"/>
  <c r="I6" i="120"/>
  <c r="G6" i="120"/>
  <c r="E6" i="120"/>
  <c r="C6" i="120"/>
  <c r="I5" i="120"/>
  <c r="G5" i="120"/>
  <c r="E5" i="120"/>
  <c r="I4" i="120"/>
  <c r="G4" i="120"/>
  <c r="E4" i="120"/>
  <c r="C14" i="120"/>
  <c r="C4" i="120"/>
  <c r="E14" i="120"/>
  <c r="G14" i="120"/>
  <c r="I14" i="120"/>
  <c r="C15" i="120"/>
  <c r="E15" i="120"/>
  <c r="G15" i="120"/>
  <c r="I15" i="120"/>
  <c r="C30" i="120"/>
  <c r="E30" i="120"/>
  <c r="G30" i="120"/>
  <c r="I30" i="120"/>
  <c r="C31" i="120"/>
  <c r="E31" i="120"/>
  <c r="G31" i="120"/>
  <c r="I31" i="120"/>
  <c r="Q83" i="191" l="1"/>
  <c r="K36" i="190"/>
  <c r="K34" i="190"/>
  <c r="K7" i="190"/>
  <c r="D17" i="189"/>
  <c r="E17" i="189"/>
  <c r="E33" i="188"/>
  <c r="H17" i="188"/>
  <c r="E5" i="188"/>
  <c r="E31" i="188"/>
  <c r="E9" i="188"/>
  <c r="E7" i="188"/>
  <c r="H43" i="188"/>
  <c r="H33" i="188"/>
  <c r="E15" i="188"/>
  <c r="F9" i="188"/>
  <c r="E29" i="188"/>
  <c r="E43" i="188"/>
  <c r="E35" i="188"/>
  <c r="H25" i="188"/>
  <c r="H31" i="188"/>
  <c r="E11" i="188"/>
  <c r="E37" i="188" s="1"/>
  <c r="H19" i="188"/>
  <c r="D41" i="188"/>
  <c r="H5" i="188"/>
  <c r="F13" i="188"/>
  <c r="E17" i="188"/>
  <c r="H15" i="188"/>
  <c r="E45" i="188"/>
  <c r="E41" i="188"/>
  <c r="E21" i="188"/>
  <c r="H29" i="188"/>
  <c r="H7" i="188"/>
  <c r="E25" i="188"/>
  <c r="E19" i="188"/>
  <c r="C9" i="187"/>
  <c r="E5" i="187"/>
  <c r="D31" i="187"/>
  <c r="C21" i="187"/>
  <c r="E19" i="187"/>
  <c r="H5" i="186"/>
  <c r="B9" i="185"/>
  <c r="B13" i="185"/>
  <c r="E31" i="185"/>
  <c r="E19" i="185"/>
  <c r="B5" i="185"/>
  <c r="H7" i="184"/>
  <c r="H5" i="184"/>
  <c r="D9" i="181"/>
  <c r="I44" i="190"/>
  <c r="I39" i="190" s="1"/>
  <c r="E44" i="190"/>
  <c r="E29" i="190" s="1"/>
  <c r="K30" i="190"/>
  <c r="H44" i="190"/>
  <c r="H29" i="190" s="1"/>
  <c r="J44" i="190"/>
  <c r="J43" i="190" s="1"/>
  <c r="K35" i="189"/>
  <c r="C19" i="189"/>
  <c r="C15" i="189"/>
  <c r="D9" i="189"/>
  <c r="D15" i="188"/>
  <c r="E9" i="187"/>
  <c r="C27" i="187"/>
  <c r="C17" i="187"/>
  <c r="C31" i="187"/>
  <c r="D5" i="187"/>
  <c r="E27" i="187"/>
  <c r="E17" i="187"/>
  <c r="C5" i="187"/>
  <c r="C25" i="187"/>
  <c r="C15" i="187"/>
  <c r="C13" i="187"/>
  <c r="D7" i="187"/>
  <c r="C23" i="187"/>
  <c r="E29" i="187"/>
  <c r="E11" i="185"/>
  <c r="G11" i="185"/>
  <c r="B17" i="185"/>
  <c r="B29" i="185"/>
  <c r="B21" i="185"/>
  <c r="C45" i="183"/>
  <c r="C31" i="183"/>
  <c r="C37" i="183" s="1"/>
  <c r="C33" i="183"/>
  <c r="C29" i="183"/>
  <c r="C27" i="183"/>
  <c r="C17" i="183"/>
  <c r="C7" i="183"/>
  <c r="C39" i="183"/>
  <c r="C35" i="183"/>
  <c r="C41" i="183"/>
  <c r="B46" i="183"/>
  <c r="C11" i="183"/>
  <c r="C5" i="183"/>
  <c r="C43" i="183"/>
  <c r="C13" i="183"/>
  <c r="C15" i="183"/>
  <c r="B33" i="182"/>
  <c r="C13" i="181"/>
  <c r="H39" i="190"/>
  <c r="K13" i="190"/>
  <c r="I15" i="189"/>
  <c r="I19" i="189" s="1"/>
  <c r="K61" i="189"/>
  <c r="D5" i="189"/>
  <c r="D11" i="189" s="1"/>
  <c r="H7" i="189"/>
  <c r="G9" i="189"/>
  <c r="G5" i="189"/>
  <c r="B11" i="189"/>
  <c r="J11" i="189"/>
  <c r="H45" i="188"/>
  <c r="G9" i="188"/>
  <c r="G11" i="188"/>
  <c r="G29" i="188"/>
  <c r="D21" i="188"/>
  <c r="H27" i="188"/>
  <c r="H23" i="188"/>
  <c r="F7" i="188"/>
  <c r="E13" i="188"/>
  <c r="H13" i="188"/>
  <c r="H9" i="188"/>
  <c r="F19" i="188"/>
  <c r="D19" i="187"/>
  <c r="D33" i="187"/>
  <c r="D9" i="187"/>
  <c r="D23" i="187"/>
  <c r="D17" i="187"/>
  <c r="D15" i="187"/>
  <c r="G7" i="187"/>
  <c r="F15" i="187"/>
  <c r="I7" i="187"/>
  <c r="F23" i="187"/>
  <c r="F27" i="187"/>
  <c r="H31" i="187"/>
  <c r="J33" i="187"/>
  <c r="H7" i="187"/>
  <c r="G19" i="187"/>
  <c r="E21" i="187"/>
  <c r="F31" i="187"/>
  <c r="G23" i="187"/>
  <c r="F25" i="187"/>
  <c r="I15" i="187"/>
  <c r="H27" i="187"/>
  <c r="D29" i="187"/>
  <c r="I11" i="186"/>
  <c r="J9" i="186"/>
  <c r="H13" i="186"/>
  <c r="H11" i="186"/>
  <c r="H15" i="186" s="1"/>
  <c r="I7" i="186"/>
  <c r="I9" i="186"/>
  <c r="J7" i="186"/>
  <c r="I5" i="186"/>
  <c r="I15" i="186" s="1"/>
  <c r="B7" i="186"/>
  <c r="B11" i="186"/>
  <c r="J11" i="186"/>
  <c r="E13" i="186"/>
  <c r="B13" i="186"/>
  <c r="B9" i="186"/>
  <c r="G27" i="185"/>
  <c r="G15" i="185"/>
  <c r="B19" i="185"/>
  <c r="D19" i="184"/>
  <c r="H45" i="183"/>
  <c r="J38" i="183"/>
  <c r="C25" i="183"/>
  <c r="H21" i="183"/>
  <c r="C21" i="183"/>
  <c r="F13" i="183"/>
  <c r="B29" i="182"/>
  <c r="B21" i="182"/>
  <c r="B7" i="182"/>
  <c r="B31" i="182"/>
  <c r="B15" i="182"/>
  <c r="G5" i="181"/>
  <c r="G15" i="181" s="1"/>
  <c r="G13" i="181"/>
  <c r="G9" i="181"/>
  <c r="G7" i="181"/>
  <c r="D13" i="181"/>
  <c r="D29" i="182"/>
  <c r="D27" i="182"/>
  <c r="D7" i="182"/>
  <c r="J51" i="184"/>
  <c r="B7" i="184"/>
  <c r="E15" i="184"/>
  <c r="E19" i="184" s="1"/>
  <c r="I19" i="184"/>
  <c r="B9" i="184"/>
  <c r="C11" i="184"/>
  <c r="G11" i="184"/>
  <c r="E9" i="184"/>
  <c r="B19" i="184"/>
  <c r="G17" i="184"/>
  <c r="G19" i="184" s="1"/>
  <c r="F9" i="184"/>
  <c r="E5" i="184"/>
  <c r="F5" i="184"/>
  <c r="F11" i="184" s="1"/>
  <c r="H29" i="183"/>
  <c r="D15" i="183"/>
  <c r="H19" i="183"/>
  <c r="E46" i="183"/>
  <c r="D29" i="183"/>
  <c r="H13" i="183"/>
  <c r="D41" i="183"/>
  <c r="H43" i="183"/>
  <c r="D13" i="182"/>
  <c r="D23" i="182"/>
  <c r="B9" i="182"/>
  <c r="D5" i="182"/>
  <c r="D15" i="182"/>
  <c r="D11" i="181"/>
  <c r="B13" i="181"/>
  <c r="B5" i="181"/>
  <c r="C25" i="180"/>
  <c r="F25" i="180"/>
  <c r="C11" i="181"/>
  <c r="C7" i="181"/>
  <c r="B11" i="181"/>
  <c r="D5" i="181"/>
  <c r="B9" i="181"/>
  <c r="C9" i="181"/>
  <c r="F9" i="181"/>
  <c r="E9" i="181"/>
  <c r="E43" i="190"/>
  <c r="H37" i="190"/>
  <c r="H35" i="190"/>
  <c r="H41" i="190"/>
  <c r="H43" i="190"/>
  <c r="I41" i="190"/>
  <c r="I31" i="190"/>
  <c r="I29" i="190"/>
  <c r="I35" i="190"/>
  <c r="I37" i="190"/>
  <c r="F21" i="190"/>
  <c r="F20" i="190" s="1"/>
  <c r="K53" i="189"/>
  <c r="K27" i="189"/>
  <c r="K31" i="189"/>
  <c r="K49" i="189"/>
  <c r="K63" i="189"/>
  <c r="K43" i="189"/>
  <c r="K47" i="189"/>
  <c r="G15" i="189"/>
  <c r="G19" i="189" s="1"/>
  <c r="K45" i="189"/>
  <c r="K39" i="189"/>
  <c r="K59" i="189"/>
  <c r="K55" i="189"/>
  <c r="K37" i="189"/>
  <c r="K57" i="189"/>
  <c r="K41" i="189"/>
  <c r="I9" i="189"/>
  <c r="I7" i="189"/>
  <c r="I11" i="189" s="1"/>
  <c r="F5" i="189"/>
  <c r="F9" i="189"/>
  <c r="D17" i="188"/>
  <c r="D27" i="188"/>
  <c r="G45" i="188"/>
  <c r="D19" i="188"/>
  <c r="G31" i="188"/>
  <c r="D9" i="188"/>
  <c r="F45" i="188"/>
  <c r="D31" i="188"/>
  <c r="G15" i="188"/>
  <c r="F41" i="188"/>
  <c r="B33" i="187"/>
  <c r="I27" i="187"/>
  <c r="F29" i="187"/>
  <c r="I19" i="187"/>
  <c r="E13" i="187"/>
  <c r="B15" i="187"/>
  <c r="F7" i="187"/>
  <c r="F19" i="187"/>
  <c r="B9" i="187"/>
  <c r="I31" i="187"/>
  <c r="E11" i="187"/>
  <c r="F17" i="187"/>
  <c r="G27" i="187"/>
  <c r="E7" i="187"/>
  <c r="E25" i="187"/>
  <c r="F21" i="187"/>
  <c r="E23" i="187"/>
  <c r="I11" i="187"/>
  <c r="D13" i="187"/>
  <c r="C5" i="186"/>
  <c r="J5" i="186"/>
  <c r="C7" i="186"/>
  <c r="C11" i="186"/>
  <c r="C9" i="186"/>
  <c r="G11" i="186"/>
  <c r="D7" i="186"/>
  <c r="D5" i="185"/>
  <c r="J21" i="185"/>
  <c r="J9" i="185"/>
  <c r="J19" i="185"/>
  <c r="F19" i="185"/>
  <c r="F25" i="185" s="1"/>
  <c r="F21" i="185"/>
  <c r="D9" i="185"/>
  <c r="J29" i="185"/>
  <c r="D27" i="185"/>
  <c r="D13" i="185"/>
  <c r="J17" i="185"/>
  <c r="C15" i="185"/>
  <c r="G13" i="185"/>
  <c r="F29" i="185"/>
  <c r="F9" i="185"/>
  <c r="G19" i="185"/>
  <c r="D21" i="185"/>
  <c r="E29" i="185"/>
  <c r="J13" i="185"/>
  <c r="D11" i="185"/>
  <c r="F27" i="185"/>
  <c r="G17" i="185"/>
  <c r="F13" i="185"/>
  <c r="F15" i="185"/>
  <c r="B31" i="185"/>
  <c r="B23" i="185"/>
  <c r="B27" i="185"/>
  <c r="B11" i="185"/>
  <c r="E9" i="185"/>
  <c r="E13" i="185"/>
  <c r="E17" i="185"/>
  <c r="E5" i="185"/>
  <c r="E21" i="185"/>
  <c r="J31" i="185"/>
  <c r="J23" i="185"/>
  <c r="J27" i="185"/>
  <c r="J11" i="185"/>
  <c r="J15" i="185"/>
  <c r="F7" i="185"/>
  <c r="D19" i="185"/>
  <c r="F11" i="185"/>
  <c r="F5" i="185"/>
  <c r="D17" i="185"/>
  <c r="K24" i="185"/>
  <c r="K27" i="185" s="1"/>
  <c r="D7" i="185"/>
  <c r="D15" i="185"/>
  <c r="J5" i="185"/>
  <c r="B7" i="185"/>
  <c r="J25" i="184"/>
  <c r="J43" i="184"/>
  <c r="J45" i="184"/>
  <c r="J47" i="184"/>
  <c r="J37" i="184"/>
  <c r="F17" i="184"/>
  <c r="F19" i="184" s="1"/>
  <c r="J39" i="184"/>
  <c r="J29" i="184"/>
  <c r="J31" i="184"/>
  <c r="D5" i="184"/>
  <c r="D7" i="184"/>
  <c r="D5" i="183"/>
  <c r="D43" i="183"/>
  <c r="D21" i="183"/>
  <c r="D33" i="183"/>
  <c r="D39" i="183"/>
  <c r="D23" i="183"/>
  <c r="H11" i="183"/>
  <c r="D45" i="183"/>
  <c r="B25" i="182"/>
  <c r="D21" i="182"/>
  <c r="B5" i="182"/>
  <c r="B17" i="182"/>
  <c r="F13" i="181"/>
  <c r="F11" i="181"/>
  <c r="J7" i="180"/>
  <c r="J17" i="180"/>
  <c r="G25" i="180"/>
  <c r="J15" i="180"/>
  <c r="J5" i="180"/>
  <c r="J21" i="180"/>
  <c r="J19" i="180"/>
  <c r="J11" i="180"/>
  <c r="D44" i="190"/>
  <c r="D33" i="190" s="1"/>
  <c r="J41" i="190"/>
  <c r="J33" i="190"/>
  <c r="J29" i="190"/>
  <c r="J39" i="190"/>
  <c r="K32" i="190"/>
  <c r="J35" i="190"/>
  <c r="K42" i="190"/>
  <c r="F39" i="190"/>
  <c r="K15" i="190"/>
  <c r="I21" i="190"/>
  <c r="I12" i="190" s="1"/>
  <c r="G44" i="190"/>
  <c r="G29" i="190" s="1"/>
  <c r="K9" i="190"/>
  <c r="D21" i="190"/>
  <c r="D12" i="190" s="1"/>
  <c r="B44" i="190"/>
  <c r="B43" i="190" s="1"/>
  <c r="F44" i="190"/>
  <c r="J21" i="190"/>
  <c r="J6" i="190" s="1"/>
  <c r="K38" i="190"/>
  <c r="K28" i="190"/>
  <c r="G21" i="190"/>
  <c r="G10" i="190" s="1"/>
  <c r="C44" i="190"/>
  <c r="C31" i="190" s="1"/>
  <c r="K5" i="190"/>
  <c r="B21" i="190"/>
  <c r="B16" i="190" s="1"/>
  <c r="H33" i="190"/>
  <c r="H31" i="190"/>
  <c r="J37" i="190"/>
  <c r="C21" i="190"/>
  <c r="C16" i="190" s="1"/>
  <c r="H21" i="190"/>
  <c r="H10" i="190" s="1"/>
  <c r="E21" i="190"/>
  <c r="E12" i="190" s="1"/>
  <c r="K11" i="190"/>
  <c r="D19" i="189"/>
  <c r="E19" i="189"/>
  <c r="K18" i="189"/>
  <c r="K17" i="189" s="1"/>
  <c r="K15" i="189"/>
  <c r="C9" i="189"/>
  <c r="C5" i="189"/>
  <c r="K25" i="189"/>
  <c r="E5" i="189"/>
  <c r="K29" i="189"/>
  <c r="K10" i="189"/>
  <c r="K7" i="189" s="1"/>
  <c r="E9" i="189"/>
  <c r="B19" i="189"/>
  <c r="H15" i="189"/>
  <c r="H19" i="189" s="1"/>
  <c r="F15" i="189"/>
  <c r="F19" i="189" s="1"/>
  <c r="H5" i="189"/>
  <c r="K51" i="189"/>
  <c r="K33" i="189"/>
  <c r="D46" i="188"/>
  <c r="D39" i="188"/>
  <c r="J17" i="188"/>
  <c r="J33" i="188"/>
  <c r="B17" i="188"/>
  <c r="D5" i="188"/>
  <c r="I41" i="188"/>
  <c r="B45" i="188"/>
  <c r="K44" i="188"/>
  <c r="G41" i="188"/>
  <c r="G27" i="188"/>
  <c r="J39" i="188"/>
  <c r="C25" i="188"/>
  <c r="G21" i="188"/>
  <c r="G33" i="188"/>
  <c r="G35" i="188"/>
  <c r="C11" i="188"/>
  <c r="J45" i="188"/>
  <c r="C45" i="188"/>
  <c r="I19" i="188"/>
  <c r="I35" i="188"/>
  <c r="I31" i="188"/>
  <c r="I23" i="188"/>
  <c r="I15" i="188"/>
  <c r="I11" i="188"/>
  <c r="I27" i="188"/>
  <c r="I7" i="188"/>
  <c r="E39" i="188"/>
  <c r="E46" i="188"/>
  <c r="I25" i="188"/>
  <c r="I43" i="188"/>
  <c r="J46" i="188"/>
  <c r="G25" i="188"/>
  <c r="I39" i="188"/>
  <c r="I13" i="188"/>
  <c r="D13" i="188"/>
  <c r="I17" i="188"/>
  <c r="I29" i="188"/>
  <c r="J29" i="188"/>
  <c r="C35" i="188"/>
  <c r="B23" i="188"/>
  <c r="B9" i="188"/>
  <c r="B5" i="188"/>
  <c r="K36" i="188"/>
  <c r="K23" i="188" s="1"/>
  <c r="B35" i="188"/>
  <c r="B15" i="188"/>
  <c r="B31" i="188"/>
  <c r="B27" i="188"/>
  <c r="B19" i="188"/>
  <c r="B11" i="188"/>
  <c r="B7" i="188"/>
  <c r="C33" i="188"/>
  <c r="G43" i="188"/>
  <c r="C31" i="188"/>
  <c r="J41" i="188"/>
  <c r="C15" i="188"/>
  <c r="J43" i="188"/>
  <c r="I9" i="188"/>
  <c r="J21" i="188"/>
  <c r="K38" i="188"/>
  <c r="I46" i="188"/>
  <c r="C9" i="188"/>
  <c r="D29" i="188"/>
  <c r="C13" i="188"/>
  <c r="D23" i="188"/>
  <c r="B29" i="188"/>
  <c r="H39" i="188"/>
  <c r="H46" i="188"/>
  <c r="C41" i="188"/>
  <c r="C7" i="188"/>
  <c r="B41" i="188"/>
  <c r="K40" i="188"/>
  <c r="G13" i="188"/>
  <c r="I45" i="188"/>
  <c r="K42" i="188"/>
  <c r="C5" i="188"/>
  <c r="B21" i="188"/>
  <c r="B39" i="188"/>
  <c r="I21" i="188"/>
  <c r="D11" i="188"/>
  <c r="G7" i="188"/>
  <c r="G5" i="188"/>
  <c r="G17" i="188"/>
  <c r="C27" i="188"/>
  <c r="J31" i="188"/>
  <c r="J27" i="188"/>
  <c r="J15" i="188"/>
  <c r="J11" i="188"/>
  <c r="J9" i="188"/>
  <c r="J5" i="188"/>
  <c r="J19" i="188"/>
  <c r="J7" i="188"/>
  <c r="J35" i="188"/>
  <c r="J23" i="188"/>
  <c r="D45" i="188"/>
  <c r="G39" i="188"/>
  <c r="G46" i="188"/>
  <c r="C46" i="188"/>
  <c r="C39" i="188"/>
  <c r="F39" i="188"/>
  <c r="F46" i="188"/>
  <c r="D43" i="188"/>
  <c r="D35" i="188"/>
  <c r="B43" i="188"/>
  <c r="C43" i="188"/>
  <c r="C19" i="188"/>
  <c r="B46" i="188"/>
  <c r="C17" i="188"/>
  <c r="B13" i="188"/>
  <c r="B25" i="188"/>
  <c r="G23" i="188"/>
  <c r="I33" i="188"/>
  <c r="D7" i="188"/>
  <c r="C21" i="188"/>
  <c r="C29" i="188"/>
  <c r="J13" i="188"/>
  <c r="J25" i="187"/>
  <c r="K34" i="187"/>
  <c r="K9" i="187" s="1"/>
  <c r="B31" i="187"/>
  <c r="B25" i="187"/>
  <c r="J23" i="187"/>
  <c r="J13" i="187"/>
  <c r="H15" i="187"/>
  <c r="B23" i="187"/>
  <c r="H23" i="187"/>
  <c r="F5" i="187"/>
  <c r="B13" i="187"/>
  <c r="B5" i="187"/>
  <c r="J11" i="187"/>
  <c r="J21" i="187"/>
  <c r="J19" i="187"/>
  <c r="J17" i="187"/>
  <c r="K13" i="187"/>
  <c r="B11" i="187"/>
  <c r="B21" i="187"/>
  <c r="B19" i="187"/>
  <c r="B17" i="187"/>
  <c r="I13" i="187"/>
  <c r="I9" i="187"/>
  <c r="I5" i="187"/>
  <c r="I33" i="187"/>
  <c r="I29" i="187"/>
  <c r="I25" i="187"/>
  <c r="I21" i="187"/>
  <c r="I17" i="187"/>
  <c r="K4" i="187"/>
  <c r="H19" i="187"/>
  <c r="J29" i="187"/>
  <c r="J27" i="187"/>
  <c r="F33" i="187"/>
  <c r="J9" i="187"/>
  <c r="F13" i="187"/>
  <c r="F11" i="187"/>
  <c r="C35" i="187"/>
  <c r="J31" i="187"/>
  <c r="J5" i="187"/>
  <c r="K19" i="187"/>
  <c r="H33" i="187"/>
  <c r="H29" i="187"/>
  <c r="H25" i="187"/>
  <c r="H13" i="187"/>
  <c r="H9" i="187"/>
  <c r="H21" i="187"/>
  <c r="H17" i="187"/>
  <c r="G33" i="187"/>
  <c r="G29" i="187"/>
  <c r="G25" i="187"/>
  <c r="G21" i="187"/>
  <c r="G17" i="187"/>
  <c r="G13" i="187"/>
  <c r="G9" i="187"/>
  <c r="J15" i="187"/>
  <c r="B29" i="187"/>
  <c r="B27" i="187"/>
  <c r="G31" i="187"/>
  <c r="G11" i="187"/>
  <c r="H5" i="187"/>
  <c r="G5" i="187"/>
  <c r="E11" i="186"/>
  <c r="E9" i="186"/>
  <c r="D9" i="186"/>
  <c r="D5" i="186"/>
  <c r="F13" i="186"/>
  <c r="F9" i="186"/>
  <c r="F5" i="186"/>
  <c r="F11" i="186"/>
  <c r="E5" i="186"/>
  <c r="G13" i="186"/>
  <c r="G9" i="186"/>
  <c r="G5" i="186"/>
  <c r="D13" i="186"/>
  <c r="K14" i="186"/>
  <c r="K5" i="186" s="1"/>
  <c r="C5" i="185"/>
  <c r="C13" i="185"/>
  <c r="C21" i="185"/>
  <c r="C7" i="185"/>
  <c r="G7" i="185"/>
  <c r="C27" i="185"/>
  <c r="C23" i="185"/>
  <c r="C31" i="185"/>
  <c r="C19" i="185"/>
  <c r="G23" i="185"/>
  <c r="G31" i="185"/>
  <c r="G29" i="185"/>
  <c r="C9" i="185"/>
  <c r="C17" i="185"/>
  <c r="C11" i="185"/>
  <c r="G9" i="185"/>
  <c r="J18" i="184"/>
  <c r="J17" i="184" s="1"/>
  <c r="J57" i="184"/>
  <c r="J27" i="184"/>
  <c r="H17" i="184"/>
  <c r="H19" i="184" s="1"/>
  <c r="I11" i="184"/>
  <c r="J49" i="184"/>
  <c r="J63" i="184"/>
  <c r="J61" i="184"/>
  <c r="H11" i="184"/>
  <c r="J41" i="184"/>
  <c r="J33" i="184"/>
  <c r="J10" i="184"/>
  <c r="J7" i="184" s="1"/>
  <c r="C19" i="184"/>
  <c r="J55" i="184"/>
  <c r="J35" i="184"/>
  <c r="J53" i="184"/>
  <c r="J59" i="184"/>
  <c r="E7" i="183"/>
  <c r="E19" i="183"/>
  <c r="I27" i="183"/>
  <c r="I23" i="183"/>
  <c r="F7" i="183"/>
  <c r="F41" i="183"/>
  <c r="F15" i="183"/>
  <c r="E29" i="183"/>
  <c r="I19" i="183"/>
  <c r="E9" i="183"/>
  <c r="E13" i="183"/>
  <c r="E25" i="183"/>
  <c r="G5" i="183"/>
  <c r="G35" i="183"/>
  <c r="G25" i="183"/>
  <c r="G27" i="183"/>
  <c r="G33" i="183"/>
  <c r="I45" i="183"/>
  <c r="B25" i="183"/>
  <c r="B23" i="183"/>
  <c r="B21" i="183"/>
  <c r="B5" i="183"/>
  <c r="B29" i="183"/>
  <c r="B33" i="183"/>
  <c r="B13" i="183"/>
  <c r="B19" i="183"/>
  <c r="I31" i="183"/>
  <c r="E31" i="183"/>
  <c r="C46" i="183"/>
  <c r="E41" i="183"/>
  <c r="E23" i="183"/>
  <c r="B15" i="183"/>
  <c r="E43" i="183"/>
  <c r="B39" i="183"/>
  <c r="E15" i="183"/>
  <c r="B41" i="183"/>
  <c r="G21" i="183"/>
  <c r="G7" i="183"/>
  <c r="I13" i="183"/>
  <c r="G31" i="183"/>
  <c r="G41" i="183"/>
  <c r="D9" i="183"/>
  <c r="H7" i="183"/>
  <c r="H27" i="183"/>
  <c r="H15" i="183"/>
  <c r="H23" i="183"/>
  <c r="H31" i="183"/>
  <c r="H33" i="183"/>
  <c r="H35" i="183"/>
  <c r="H25" i="183"/>
  <c r="F43" i="183"/>
  <c r="E21" i="183"/>
  <c r="E11" i="183"/>
  <c r="J40" i="183"/>
  <c r="G19" i="183"/>
  <c r="E33" i="183"/>
  <c r="F29" i="183"/>
  <c r="F5" i="183"/>
  <c r="B27" i="183"/>
  <c r="B7" i="183"/>
  <c r="D35" i="183"/>
  <c r="D11" i="183"/>
  <c r="D27" i="183"/>
  <c r="D7" i="183"/>
  <c r="D19" i="183"/>
  <c r="H5" i="183"/>
  <c r="G13" i="183"/>
  <c r="H17" i="183"/>
  <c r="E5" i="183"/>
  <c r="B31" i="183"/>
  <c r="B9" i="183"/>
  <c r="G17" i="183"/>
  <c r="I25" i="183"/>
  <c r="I11" i="183"/>
  <c r="I9" i="183"/>
  <c r="I7" i="183"/>
  <c r="I15" i="183"/>
  <c r="E39" i="183"/>
  <c r="E35" i="183"/>
  <c r="I39" i="183"/>
  <c r="F27" i="183"/>
  <c r="F21" i="183"/>
  <c r="F33" i="183"/>
  <c r="F9" i="183"/>
  <c r="F19" i="183"/>
  <c r="F35" i="183"/>
  <c r="F25" i="183"/>
  <c r="F17" i="183"/>
  <c r="I35" i="183"/>
  <c r="I29" i="183"/>
  <c r="E17" i="183"/>
  <c r="F45" i="183"/>
  <c r="E27" i="183"/>
  <c r="J44" i="183"/>
  <c r="F46" i="183"/>
  <c r="B43" i="183"/>
  <c r="J42" i="183"/>
  <c r="G39" i="183"/>
  <c r="E45" i="183"/>
  <c r="I33" i="183"/>
  <c r="G23" i="183"/>
  <c r="H46" i="183"/>
  <c r="H39" i="183"/>
  <c r="G11" i="183"/>
  <c r="B45" i="183"/>
  <c r="G45" i="183"/>
  <c r="J36" i="183"/>
  <c r="J9" i="183" s="1"/>
  <c r="J5" i="183"/>
  <c r="G29" i="183"/>
  <c r="F39" i="183"/>
  <c r="I21" i="183"/>
  <c r="D46" i="183"/>
  <c r="G15" i="183"/>
  <c r="F23" i="183"/>
  <c r="F31" i="183"/>
  <c r="D13" i="183"/>
  <c r="I5" i="183"/>
  <c r="G9" i="183"/>
  <c r="G43" i="183"/>
  <c r="B17" i="183"/>
  <c r="D31" i="183"/>
  <c r="I43" i="183"/>
  <c r="I41" i="183"/>
  <c r="H9" i="183"/>
  <c r="G34" i="182"/>
  <c r="G5" i="182" s="1"/>
  <c r="H34" i="182"/>
  <c r="H5" i="182" s="1"/>
  <c r="E25" i="182"/>
  <c r="E9" i="182"/>
  <c r="E21" i="182"/>
  <c r="E5" i="182"/>
  <c r="E31" i="182"/>
  <c r="E15" i="182"/>
  <c r="I35" i="182"/>
  <c r="E13" i="182"/>
  <c r="E11" i="182"/>
  <c r="J4" i="182"/>
  <c r="E33" i="182"/>
  <c r="E7" i="182"/>
  <c r="E19" i="182"/>
  <c r="F34" i="182"/>
  <c r="D33" i="182"/>
  <c r="D17" i="182"/>
  <c r="D25" i="182"/>
  <c r="D9" i="182"/>
  <c r="D31" i="182"/>
  <c r="B27" i="182"/>
  <c r="B11" i="182"/>
  <c r="B19" i="182"/>
  <c r="B13" i="182"/>
  <c r="E29" i="182"/>
  <c r="C35" i="182"/>
  <c r="D11" i="182"/>
  <c r="E17" i="182"/>
  <c r="E27" i="182"/>
  <c r="J14" i="181"/>
  <c r="F7" i="181"/>
  <c r="I13" i="181"/>
  <c r="H15" i="181"/>
  <c r="I11" i="181"/>
  <c r="I7" i="181"/>
  <c r="E5" i="181"/>
  <c r="E13" i="181"/>
  <c r="E11" i="181"/>
  <c r="I5" i="181"/>
  <c r="J9" i="180"/>
  <c r="J13" i="180"/>
  <c r="D25" i="180"/>
  <c r="I25" i="180"/>
  <c r="H25" i="180"/>
  <c r="J31" i="180"/>
  <c r="J29" i="180"/>
  <c r="J27" i="180"/>
  <c r="B25" i="180"/>
  <c r="E25" i="180"/>
  <c r="K22" i="120"/>
  <c r="I29" i="120"/>
  <c r="J31" i="120" s="1"/>
  <c r="K28" i="120"/>
  <c r="K7" i="120"/>
  <c r="K9" i="120"/>
  <c r="K11" i="120"/>
  <c r="K6" i="120"/>
  <c r="K8" i="120"/>
  <c r="K10" i="120"/>
  <c r="K12" i="120"/>
  <c r="K31" i="120"/>
  <c r="K30" i="120"/>
  <c r="G29" i="120"/>
  <c r="H23" i="120" s="1"/>
  <c r="E29" i="120"/>
  <c r="F27" i="120" s="1"/>
  <c r="K24" i="120"/>
  <c r="K26" i="120"/>
  <c r="K21" i="120"/>
  <c r="K23" i="120"/>
  <c r="K25" i="120"/>
  <c r="K27" i="120"/>
  <c r="K15" i="120"/>
  <c r="I13" i="120"/>
  <c r="J12" i="120" s="1"/>
  <c r="G13" i="120"/>
  <c r="H6" i="120" s="1"/>
  <c r="C29" i="120"/>
  <c r="D22" i="120" s="1"/>
  <c r="K20" i="120"/>
  <c r="E13" i="120"/>
  <c r="K4" i="120"/>
  <c r="K14" i="120"/>
  <c r="H45" i="190" l="1"/>
  <c r="I45" i="190"/>
  <c r="J31" i="190"/>
  <c r="B6" i="190"/>
  <c r="H11" i="189"/>
  <c r="F37" i="188"/>
  <c r="H37" i="188"/>
  <c r="D35" i="187"/>
  <c r="D25" i="185"/>
  <c r="B25" i="185"/>
  <c r="D11" i="184"/>
  <c r="B11" i="184"/>
  <c r="D15" i="181"/>
  <c r="E41" i="190"/>
  <c r="E39" i="190"/>
  <c r="E33" i="190"/>
  <c r="E45" i="190" s="1"/>
  <c r="I43" i="190"/>
  <c r="E31" i="190"/>
  <c r="I33" i="190"/>
  <c r="E35" i="190"/>
  <c r="E37" i="190"/>
  <c r="I8" i="190"/>
  <c r="F12" i="190"/>
  <c r="F16" i="190"/>
  <c r="C11" i="189"/>
  <c r="F11" i="189"/>
  <c r="G11" i="189"/>
  <c r="K29" i="188"/>
  <c r="K41" i="188"/>
  <c r="I37" i="188"/>
  <c r="K19" i="188"/>
  <c r="K21" i="188"/>
  <c r="D37" i="188"/>
  <c r="K39" i="188"/>
  <c r="I35" i="187"/>
  <c r="G35" i="187"/>
  <c r="E35" i="187"/>
  <c r="H35" i="187"/>
  <c r="B35" i="187"/>
  <c r="K25" i="187"/>
  <c r="J35" i="187"/>
  <c r="G15" i="186"/>
  <c r="B15" i="186"/>
  <c r="C15" i="186"/>
  <c r="D15" i="186"/>
  <c r="E15" i="186"/>
  <c r="G25" i="185"/>
  <c r="E25" i="185"/>
  <c r="B15" i="181"/>
  <c r="C15" i="181"/>
  <c r="B35" i="182"/>
  <c r="E11" i="184"/>
  <c r="J15" i="184"/>
  <c r="J9" i="184"/>
  <c r="J5" i="184"/>
  <c r="J11" i="184" s="1"/>
  <c r="D37" i="183"/>
  <c r="D35" i="182"/>
  <c r="I15" i="181"/>
  <c r="F15" i="181"/>
  <c r="J25" i="180"/>
  <c r="D29" i="190"/>
  <c r="F14" i="190"/>
  <c r="D16" i="190"/>
  <c r="F18" i="190"/>
  <c r="F8" i="190"/>
  <c r="F10" i="190"/>
  <c r="F6" i="190"/>
  <c r="K27" i="188"/>
  <c r="K5" i="188"/>
  <c r="K17" i="188"/>
  <c r="F35" i="187"/>
  <c r="K5" i="185"/>
  <c r="K19" i="185"/>
  <c r="K21" i="185"/>
  <c r="K15" i="185"/>
  <c r="K31" i="185"/>
  <c r="K23" i="185"/>
  <c r="K13" i="185"/>
  <c r="K9" i="185"/>
  <c r="J25" i="185"/>
  <c r="K17" i="185"/>
  <c r="K7" i="185"/>
  <c r="K29" i="185"/>
  <c r="K11" i="185"/>
  <c r="J33" i="183"/>
  <c r="B41" i="190"/>
  <c r="B39" i="190"/>
  <c r="B33" i="190"/>
  <c r="B37" i="190"/>
  <c r="B35" i="190"/>
  <c r="B29" i="190"/>
  <c r="B31" i="190"/>
  <c r="D39" i="190"/>
  <c r="D37" i="190"/>
  <c r="D41" i="190"/>
  <c r="D43" i="190"/>
  <c r="K44" i="190"/>
  <c r="K39" i="190" s="1"/>
  <c r="K29" i="190"/>
  <c r="C20" i="190"/>
  <c r="C14" i="190"/>
  <c r="C6" i="190"/>
  <c r="C18" i="190"/>
  <c r="C12" i="190"/>
  <c r="C8" i="190"/>
  <c r="C10" i="190"/>
  <c r="B14" i="190"/>
  <c r="B18" i="190"/>
  <c r="B12" i="190"/>
  <c r="B20" i="190"/>
  <c r="B10" i="190"/>
  <c r="B8" i="190"/>
  <c r="I20" i="190"/>
  <c r="I14" i="190"/>
  <c r="I10" i="190"/>
  <c r="I16" i="190"/>
  <c r="I18" i="190"/>
  <c r="J45" i="190"/>
  <c r="E18" i="190"/>
  <c r="E8" i="190"/>
  <c r="E10" i="190"/>
  <c r="E6" i="190"/>
  <c r="E20" i="190"/>
  <c r="E14" i="190"/>
  <c r="K21" i="190"/>
  <c r="K6" i="190" s="1"/>
  <c r="J14" i="190"/>
  <c r="J12" i="190"/>
  <c r="J16" i="190"/>
  <c r="J20" i="190"/>
  <c r="J10" i="190"/>
  <c r="J8" i="190"/>
  <c r="J18" i="190"/>
  <c r="I6" i="190"/>
  <c r="E16" i="190"/>
  <c r="C37" i="190"/>
  <c r="C43" i="190"/>
  <c r="C41" i="190"/>
  <c r="C39" i="190"/>
  <c r="C29" i="190"/>
  <c r="C35" i="190"/>
  <c r="D18" i="190"/>
  <c r="D10" i="190"/>
  <c r="D14" i="190"/>
  <c r="D8" i="190"/>
  <c r="D6" i="190"/>
  <c r="D20" i="190"/>
  <c r="H18" i="190"/>
  <c r="H8" i="190"/>
  <c r="H12" i="190"/>
  <c r="H16" i="190"/>
  <c r="H6" i="190"/>
  <c r="H14" i="190"/>
  <c r="H20" i="190"/>
  <c r="F31" i="190"/>
  <c r="F29" i="190"/>
  <c r="F43" i="190"/>
  <c r="F37" i="190"/>
  <c r="F33" i="190"/>
  <c r="F35" i="190"/>
  <c r="F41" i="190"/>
  <c r="C33" i="190"/>
  <c r="G18" i="190"/>
  <c r="G12" i="190"/>
  <c r="G20" i="190"/>
  <c r="G6" i="190"/>
  <c r="G16" i="190"/>
  <c r="G8" i="190"/>
  <c r="G14" i="190"/>
  <c r="D35" i="190"/>
  <c r="G39" i="190"/>
  <c r="G31" i="190"/>
  <c r="G35" i="190"/>
  <c r="G41" i="190"/>
  <c r="G37" i="190"/>
  <c r="G43" i="190"/>
  <c r="D31" i="190"/>
  <c r="G33" i="190"/>
  <c r="K19" i="189"/>
  <c r="K5" i="189"/>
  <c r="E11" i="189"/>
  <c r="K9" i="189"/>
  <c r="K45" i="188"/>
  <c r="K7" i="188"/>
  <c r="K31" i="188"/>
  <c r="K15" i="188"/>
  <c r="K11" i="188"/>
  <c r="B37" i="188"/>
  <c r="K13" i="188"/>
  <c r="C37" i="188"/>
  <c r="K25" i="188"/>
  <c r="J37" i="188"/>
  <c r="G37" i="188"/>
  <c r="K43" i="188"/>
  <c r="K35" i="188"/>
  <c r="K9" i="188"/>
  <c r="K33" i="188"/>
  <c r="K33" i="187"/>
  <c r="K7" i="187"/>
  <c r="K17" i="187"/>
  <c r="K21" i="187"/>
  <c r="K27" i="187"/>
  <c r="K5" i="187"/>
  <c r="K29" i="187"/>
  <c r="K11" i="187"/>
  <c r="K15" i="187"/>
  <c r="K23" i="187"/>
  <c r="K31" i="187"/>
  <c r="K11" i="186"/>
  <c r="K7" i="186"/>
  <c r="K13" i="186"/>
  <c r="F15" i="186"/>
  <c r="K9" i="186"/>
  <c r="C25" i="185"/>
  <c r="J19" i="184"/>
  <c r="J35" i="183"/>
  <c r="J29" i="183"/>
  <c r="E37" i="183"/>
  <c r="J27" i="183"/>
  <c r="J13" i="183"/>
  <c r="J43" i="183"/>
  <c r="J21" i="183"/>
  <c r="J41" i="183"/>
  <c r="J19" i="183"/>
  <c r="J25" i="183"/>
  <c r="J11" i="183"/>
  <c r="J15" i="183"/>
  <c r="J17" i="183"/>
  <c r="J31" i="183"/>
  <c r="I37" i="183"/>
  <c r="H37" i="183"/>
  <c r="J23" i="183"/>
  <c r="B37" i="183"/>
  <c r="J7" i="183"/>
  <c r="J45" i="183"/>
  <c r="F37" i="183"/>
  <c r="G37" i="183"/>
  <c r="J39" i="183"/>
  <c r="F23" i="182"/>
  <c r="F7" i="182"/>
  <c r="F25" i="182"/>
  <c r="F9" i="182"/>
  <c r="F31" i="182"/>
  <c r="F15" i="182"/>
  <c r="F33" i="182"/>
  <c r="F29" i="182"/>
  <c r="F17" i="182"/>
  <c r="F27" i="182"/>
  <c r="F13" i="182"/>
  <c r="F21" i="182"/>
  <c r="F19" i="182"/>
  <c r="F11" i="182"/>
  <c r="F5" i="182"/>
  <c r="H29" i="182"/>
  <c r="H13" i="182"/>
  <c r="H31" i="182"/>
  <c r="H15" i="182"/>
  <c r="H21" i="182"/>
  <c r="H27" i="182"/>
  <c r="H9" i="182"/>
  <c r="H11" i="182"/>
  <c r="H33" i="182"/>
  <c r="H19" i="182"/>
  <c r="H17" i="182"/>
  <c r="H23" i="182"/>
  <c r="H7" i="182"/>
  <c r="H25" i="182"/>
  <c r="J34" i="182"/>
  <c r="J5" i="182" s="1"/>
  <c r="G25" i="182"/>
  <c r="G9" i="182"/>
  <c r="G31" i="182"/>
  <c r="G15" i="182"/>
  <c r="G27" i="182"/>
  <c r="G7" i="182"/>
  <c r="G29" i="182"/>
  <c r="G17" i="182"/>
  <c r="G33" i="182"/>
  <c r="G21" i="182"/>
  <c r="G23" i="182"/>
  <c r="G13" i="182"/>
  <c r="G11" i="182"/>
  <c r="G19" i="182"/>
  <c r="E35" i="182"/>
  <c r="E15" i="181"/>
  <c r="J11" i="181"/>
  <c r="J13" i="181"/>
  <c r="J5" i="181"/>
  <c r="J7" i="181"/>
  <c r="J9" i="181"/>
  <c r="F21" i="120"/>
  <c r="J27" i="120"/>
  <c r="J24" i="120"/>
  <c r="J26" i="120"/>
  <c r="J23" i="120"/>
  <c r="H20" i="120"/>
  <c r="J30" i="120"/>
  <c r="J22" i="120"/>
  <c r="J20" i="120"/>
  <c r="J25" i="120"/>
  <c r="J28" i="120"/>
  <c r="J21" i="120"/>
  <c r="H27" i="120"/>
  <c r="H26" i="120"/>
  <c r="F22" i="120"/>
  <c r="H31" i="120"/>
  <c r="F26" i="120"/>
  <c r="F31" i="120"/>
  <c r="F24" i="120"/>
  <c r="H21" i="120"/>
  <c r="H24" i="120"/>
  <c r="F20" i="120"/>
  <c r="H25" i="120"/>
  <c r="H28" i="120"/>
  <c r="H30" i="120"/>
  <c r="H22" i="120"/>
  <c r="F30" i="120"/>
  <c r="F28" i="120"/>
  <c r="F23" i="120"/>
  <c r="J9" i="120"/>
  <c r="J4" i="120"/>
  <c r="J7" i="120"/>
  <c r="H12" i="120"/>
  <c r="H15" i="120"/>
  <c r="J15" i="120"/>
  <c r="H5" i="120"/>
  <c r="J5" i="120"/>
  <c r="J10" i="120"/>
  <c r="J11" i="120"/>
  <c r="J6" i="120"/>
  <c r="J14" i="120"/>
  <c r="J8" i="120"/>
  <c r="H9" i="120"/>
  <c r="H7" i="120"/>
  <c r="H10" i="120"/>
  <c r="H4" i="120"/>
  <c r="H14" i="120"/>
  <c r="K13" i="120"/>
  <c r="L4" i="120" s="1"/>
  <c r="F25" i="120"/>
  <c r="H11" i="120"/>
  <c r="H8" i="120"/>
  <c r="D30" i="120"/>
  <c r="D31" i="120"/>
  <c r="D27" i="120"/>
  <c r="D21" i="120"/>
  <c r="D23" i="120"/>
  <c r="D26" i="120"/>
  <c r="D28" i="120"/>
  <c r="D20" i="120"/>
  <c r="D24" i="120"/>
  <c r="D25" i="120"/>
  <c r="C13" i="120"/>
  <c r="D4" i="120" s="1"/>
  <c r="K29" i="120"/>
  <c r="L20" i="120" s="1"/>
  <c r="F4" i="120"/>
  <c r="F14" i="120"/>
  <c r="F10" i="120"/>
  <c r="F12" i="120"/>
  <c r="F6" i="120"/>
  <c r="F8" i="120"/>
  <c r="F11" i="120"/>
  <c r="F15" i="120"/>
  <c r="F9" i="120"/>
  <c r="F7" i="120"/>
  <c r="F5" i="120"/>
  <c r="D45" i="190" l="1"/>
  <c r="I22" i="190"/>
  <c r="K37" i="188"/>
  <c r="G45" i="190"/>
  <c r="J22" i="190"/>
  <c r="F22" i="190"/>
  <c r="B22" i="190"/>
  <c r="K15" i="186"/>
  <c r="K25" i="185"/>
  <c r="J37" i="183"/>
  <c r="K8" i="190"/>
  <c r="K20" i="190"/>
  <c r="K14" i="190"/>
  <c r="K18" i="190"/>
  <c r="B45" i="190"/>
  <c r="F45" i="190"/>
  <c r="E22" i="190"/>
  <c r="K12" i="190"/>
  <c r="K35" i="190"/>
  <c r="K37" i="190"/>
  <c r="K41" i="190"/>
  <c r="K31" i="190"/>
  <c r="D22" i="190"/>
  <c r="G22" i="190"/>
  <c r="C22" i="190"/>
  <c r="C45" i="190"/>
  <c r="K10" i="190"/>
  <c r="H22" i="190"/>
  <c r="K16" i="190"/>
  <c r="K43" i="190"/>
  <c r="K33" i="190"/>
  <c r="K11" i="189"/>
  <c r="K35" i="187"/>
  <c r="J13" i="182"/>
  <c r="J7" i="182"/>
  <c r="J25" i="182"/>
  <c r="J11" i="182"/>
  <c r="J29" i="182"/>
  <c r="J19" i="182"/>
  <c r="J31" i="182"/>
  <c r="J21" i="182"/>
  <c r="J33" i="182"/>
  <c r="J15" i="182"/>
  <c r="J23" i="182"/>
  <c r="J9" i="182"/>
  <c r="J27" i="182"/>
  <c r="J17" i="182"/>
  <c r="G35" i="182"/>
  <c r="H35" i="182"/>
  <c r="F35" i="182"/>
  <c r="J15" i="181"/>
  <c r="J29" i="120"/>
  <c r="H29" i="120"/>
  <c r="F29" i="120"/>
  <c r="H13" i="120"/>
  <c r="J13" i="120"/>
  <c r="L15" i="120"/>
  <c r="L14" i="120"/>
  <c r="L6" i="120"/>
  <c r="L11" i="120"/>
  <c r="L9" i="120"/>
  <c r="L12" i="120"/>
  <c r="L5" i="120"/>
  <c r="L7" i="120"/>
  <c r="L8" i="120"/>
  <c r="L10" i="120"/>
  <c r="D14" i="120"/>
  <c r="D10" i="120"/>
  <c r="D8" i="120"/>
  <c r="D12" i="120"/>
  <c r="F13" i="120"/>
  <c r="D15" i="120"/>
  <c r="D7" i="120"/>
  <c r="D9" i="120"/>
  <c r="D6" i="120"/>
  <c r="D11" i="120"/>
  <c r="D5" i="120"/>
  <c r="D29" i="120"/>
  <c r="L28" i="120"/>
  <c r="L23" i="120"/>
  <c r="L27" i="120"/>
  <c r="L22" i="120"/>
  <c r="L26" i="120"/>
  <c r="L21" i="120"/>
  <c r="L30" i="120"/>
  <c r="L25" i="120"/>
  <c r="L24" i="120"/>
  <c r="L31" i="120"/>
  <c r="K45" i="190" l="1"/>
  <c r="K22" i="190"/>
  <c r="J35" i="182"/>
  <c r="L13" i="120"/>
  <c r="D13" i="120"/>
  <c r="L29" i="120"/>
  <c r="C14" i="85" l="1"/>
  <c r="C7" i="85"/>
  <c r="C40" i="85"/>
  <c r="C39" i="85"/>
  <c r="C38" i="85"/>
  <c r="C37" i="85"/>
  <c r="C36" i="85"/>
  <c r="C35" i="85"/>
  <c r="C34" i="85"/>
  <c r="C33" i="85"/>
  <c r="C32" i="85"/>
  <c r="C31" i="85"/>
  <c r="C30" i="85"/>
  <c r="C29" i="85"/>
  <c r="C28" i="85"/>
  <c r="C27" i="85"/>
  <c r="C26" i="85"/>
  <c r="C25" i="85"/>
  <c r="C24" i="85"/>
  <c r="C23" i="85"/>
  <c r="C22" i="85"/>
  <c r="C21" i="85"/>
  <c r="AJ5" i="176"/>
  <c r="AJ26" i="176"/>
  <c r="C4" i="150"/>
  <c r="C38" i="150"/>
  <c r="E4" i="150"/>
  <c r="C5" i="150"/>
  <c r="E5" i="150"/>
  <c r="C6" i="150"/>
  <c r="E6" i="150"/>
  <c r="C10" i="150"/>
  <c r="E10" i="150"/>
  <c r="C11" i="150"/>
  <c r="E11" i="150"/>
  <c r="C14" i="150"/>
  <c r="E14" i="150"/>
  <c r="C15" i="150"/>
  <c r="E15" i="150"/>
  <c r="C16" i="150"/>
  <c r="E16" i="150"/>
  <c r="C17" i="150"/>
  <c r="E17" i="150"/>
  <c r="C18" i="150"/>
  <c r="E18" i="150"/>
  <c r="C19" i="150"/>
  <c r="E19" i="150"/>
  <c r="C20" i="150"/>
  <c r="E20" i="150"/>
  <c r="C21" i="150"/>
  <c r="E21" i="150"/>
  <c r="C22" i="150"/>
  <c r="E22" i="150"/>
  <c r="C23" i="150"/>
  <c r="E23" i="150"/>
  <c r="C24" i="150"/>
  <c r="E24" i="150"/>
  <c r="C25" i="150"/>
  <c r="E25" i="150"/>
  <c r="C26" i="150"/>
  <c r="E26" i="150"/>
  <c r="C27" i="150"/>
  <c r="E27" i="150"/>
  <c r="C28" i="150"/>
  <c r="E28" i="150"/>
  <c r="C29" i="150"/>
  <c r="E29" i="150"/>
  <c r="C30" i="150"/>
  <c r="E30" i="150"/>
  <c r="C31" i="150"/>
  <c r="E31" i="150"/>
  <c r="C32" i="150"/>
  <c r="E32" i="150"/>
  <c r="C33" i="150"/>
  <c r="E33" i="150"/>
  <c r="E38" i="150"/>
  <c r="C39" i="150"/>
  <c r="E39" i="150"/>
  <c r="C40" i="150"/>
  <c r="E40" i="150"/>
  <c r="C44" i="150"/>
  <c r="E44" i="150"/>
  <c r="C45" i="150"/>
  <c r="E45" i="150"/>
  <c r="C48" i="150"/>
  <c r="E48" i="150"/>
  <c r="C49" i="150"/>
  <c r="E49" i="150"/>
  <c r="C50" i="150"/>
  <c r="E50" i="150"/>
  <c r="C51" i="150"/>
  <c r="E51" i="150"/>
  <c r="C52" i="150"/>
  <c r="E52" i="150"/>
  <c r="C53" i="150"/>
  <c r="E53" i="150"/>
  <c r="C54" i="150"/>
  <c r="E54" i="150"/>
  <c r="C55" i="150"/>
  <c r="E55" i="150"/>
  <c r="C56" i="150"/>
  <c r="E56" i="150"/>
  <c r="C57" i="150"/>
  <c r="E57" i="150"/>
  <c r="C58" i="150"/>
  <c r="E58" i="150"/>
  <c r="C59" i="150"/>
  <c r="E59" i="150"/>
  <c r="C60" i="150"/>
  <c r="E60" i="150"/>
  <c r="C61" i="150"/>
  <c r="E61" i="150"/>
  <c r="C62" i="150"/>
  <c r="E62" i="150"/>
  <c r="C63" i="150"/>
  <c r="E63" i="150"/>
  <c r="C64" i="150"/>
  <c r="E64" i="150"/>
  <c r="C65" i="150"/>
  <c r="E65" i="150"/>
  <c r="C66" i="150"/>
  <c r="E66" i="150"/>
  <c r="C67" i="150"/>
  <c r="E67" i="150"/>
  <c r="F11" i="150" l="1"/>
  <c r="D65" i="150"/>
  <c r="F61" i="150"/>
  <c r="D56" i="150"/>
  <c r="D54" i="150"/>
  <c r="D50" i="150"/>
  <c r="D59" i="150"/>
  <c r="F56" i="150"/>
  <c r="F65" i="150"/>
  <c r="F18" i="150"/>
  <c r="D30" i="150"/>
  <c r="F30" i="150"/>
  <c r="D28" i="150"/>
  <c r="F33" i="150"/>
  <c r="D21" i="150"/>
  <c r="F21" i="150"/>
  <c r="D10" i="150"/>
  <c r="D11" i="150"/>
  <c r="F10" i="150"/>
  <c r="F52" i="150"/>
  <c r="D48" i="150"/>
  <c r="F63" i="150"/>
  <c r="F60" i="150"/>
  <c r="D52" i="150"/>
  <c r="D49" i="150"/>
  <c r="D63" i="150"/>
  <c r="F67" i="150"/>
  <c r="D61" i="150"/>
  <c r="F58" i="150"/>
  <c r="F49" i="150"/>
  <c r="D66" i="150"/>
  <c r="F54" i="150"/>
  <c r="F51" i="150"/>
  <c r="D45" i="150"/>
  <c r="D67" i="150"/>
  <c r="F62" i="150"/>
  <c r="D58" i="150"/>
  <c r="F53" i="150"/>
  <c r="D51" i="150"/>
  <c r="F64" i="150"/>
  <c r="D60" i="150"/>
  <c r="F55" i="150"/>
  <c r="D53" i="150"/>
  <c r="F48" i="150"/>
  <c r="F66" i="150"/>
  <c r="D62" i="150"/>
  <c r="F57" i="150"/>
  <c r="D55" i="150"/>
  <c r="F50" i="150"/>
  <c r="D64" i="150"/>
  <c r="F59" i="150"/>
  <c r="D57" i="150"/>
  <c r="E41" i="150"/>
  <c r="F40" i="150" s="1"/>
  <c r="D44" i="150"/>
  <c r="C41" i="150"/>
  <c r="D38" i="150" s="1"/>
  <c r="F45" i="150"/>
  <c r="F44" i="150"/>
  <c r="D19" i="150"/>
  <c r="F27" i="150"/>
  <c r="F32" i="150"/>
  <c r="F23" i="150"/>
  <c r="F14" i="150"/>
  <c r="F29" i="150"/>
  <c r="F26" i="150"/>
  <c r="D23" i="150"/>
  <c r="F20" i="150"/>
  <c r="F17" i="150"/>
  <c r="D14" i="150"/>
  <c r="F28" i="150"/>
  <c r="F22" i="150"/>
  <c r="F16" i="150"/>
  <c r="F25" i="150"/>
  <c r="D32" i="150"/>
  <c r="D25" i="150"/>
  <c r="D16" i="150"/>
  <c r="F31" i="150"/>
  <c r="D29" i="150"/>
  <c r="F24" i="150"/>
  <c r="D20" i="150"/>
  <c r="F15" i="150"/>
  <c r="D18" i="150"/>
  <c r="D33" i="150"/>
  <c r="D24" i="150"/>
  <c r="F19" i="150"/>
  <c r="D17" i="150"/>
  <c r="D27" i="150"/>
  <c r="D31" i="150"/>
  <c r="D22" i="150"/>
  <c r="D15" i="150"/>
  <c r="D26" i="150"/>
  <c r="C7" i="150"/>
  <c r="D4" i="150" s="1"/>
  <c r="E7" i="150"/>
  <c r="F5" i="150" s="1"/>
  <c r="F39" i="150" l="1"/>
  <c r="F38" i="150"/>
  <c r="D40" i="150"/>
  <c r="D5" i="150"/>
  <c r="D39" i="150"/>
  <c r="F4" i="150"/>
  <c r="F6" i="150"/>
  <c r="D6" i="150"/>
  <c r="F41" i="150" l="1"/>
  <c r="D41" i="150"/>
  <c r="F7" i="150"/>
  <c r="D7" i="150"/>
  <c r="I40" i="85" l="1"/>
  <c r="I39" i="85"/>
  <c r="I38" i="85"/>
  <c r="I37" i="85"/>
  <c r="I36" i="85"/>
  <c r="I35" i="85"/>
  <c r="I34" i="85"/>
  <c r="I33" i="85"/>
  <c r="I32" i="85"/>
  <c r="I31" i="85"/>
  <c r="I30" i="85"/>
  <c r="I29" i="85"/>
  <c r="I28" i="85"/>
  <c r="I27" i="85"/>
  <c r="I26" i="85"/>
  <c r="I25" i="85"/>
  <c r="I24" i="85"/>
  <c r="I23" i="85"/>
  <c r="I22" i="85"/>
  <c r="I21" i="85"/>
  <c r="I14" i="85"/>
  <c r="I7" i="85"/>
  <c r="C6" i="85"/>
  <c r="D7" i="82"/>
  <c r="D8" i="82"/>
  <c r="D9" i="82"/>
  <c r="D10" i="82"/>
  <c r="D11" i="82"/>
  <c r="D12" i="82"/>
  <c r="D13" i="82"/>
  <c r="D14" i="82"/>
  <c r="D15" i="82"/>
  <c r="D16" i="82"/>
  <c r="D17" i="82"/>
  <c r="D18" i="82"/>
  <c r="D19" i="82"/>
  <c r="D20" i="82"/>
  <c r="D21" i="82"/>
  <c r="D6" i="82"/>
  <c r="B7" i="82"/>
  <c r="B8" i="82"/>
  <c r="B9" i="82"/>
  <c r="B10" i="82"/>
  <c r="B11" i="82"/>
  <c r="B12" i="82"/>
  <c r="B13" i="82"/>
  <c r="B14" i="82"/>
  <c r="B15" i="82"/>
  <c r="B16" i="82"/>
  <c r="B17" i="82"/>
  <c r="B18" i="82"/>
  <c r="B19" i="82"/>
  <c r="B20" i="82"/>
  <c r="B21" i="82"/>
  <c r="B6" i="82"/>
  <c r="C13" i="85" l="1"/>
  <c r="C15" i="85" s="1"/>
  <c r="C5" i="85"/>
  <c r="C8" i="85" s="1"/>
  <c r="I13" i="85"/>
  <c r="I15" i="85" s="1"/>
  <c r="I6" i="85"/>
  <c r="I5" i="85"/>
  <c r="B20" i="80"/>
  <c r="B19" i="80"/>
  <c r="B18" i="80"/>
  <c r="B17" i="80"/>
  <c r="B16" i="80"/>
  <c r="B9" i="80"/>
  <c r="B8" i="80"/>
  <c r="B7" i="80"/>
  <c r="B6" i="80"/>
  <c r="B5" i="80"/>
  <c r="I16" i="100"/>
  <c r="H16" i="100"/>
  <c r="C16" i="100"/>
  <c r="I15" i="100"/>
  <c r="H15" i="100"/>
  <c r="C15" i="100"/>
  <c r="I14" i="100"/>
  <c r="H14" i="100"/>
  <c r="C14" i="100"/>
  <c r="I13" i="100"/>
  <c r="H13" i="100"/>
  <c r="C13" i="100"/>
  <c r="I12" i="100"/>
  <c r="H12" i="100"/>
  <c r="C12" i="100"/>
  <c r="I11" i="100"/>
  <c r="H11" i="100"/>
  <c r="C11" i="100"/>
  <c r="I10" i="100"/>
  <c r="H10" i="100"/>
  <c r="C10" i="100"/>
  <c r="I9" i="100"/>
  <c r="H9" i="100"/>
  <c r="C9" i="100"/>
  <c r="I8" i="100"/>
  <c r="H8" i="100"/>
  <c r="C8" i="100"/>
  <c r="I7" i="100"/>
  <c r="H7" i="100"/>
  <c r="C7" i="100"/>
  <c r="I6" i="100"/>
  <c r="H6" i="100"/>
  <c r="C6" i="100"/>
  <c r="I20" i="100"/>
  <c r="H20" i="100"/>
  <c r="C20" i="100"/>
  <c r="I19" i="100"/>
  <c r="H19" i="100"/>
  <c r="C19" i="100"/>
  <c r="I18" i="100"/>
  <c r="H18" i="100"/>
  <c r="C18" i="100"/>
  <c r="I17" i="100"/>
  <c r="H17" i="100"/>
  <c r="C17" i="100"/>
  <c r="C20" i="99"/>
  <c r="C19" i="99"/>
  <c r="C18" i="99"/>
  <c r="C17" i="99"/>
  <c r="C16" i="99"/>
  <c r="B20" i="99"/>
  <c r="B19" i="99"/>
  <c r="B18" i="99"/>
  <c r="B17" i="99"/>
  <c r="B16" i="99"/>
  <c r="B5" i="99"/>
  <c r="I8" i="85" l="1"/>
  <c r="B21" i="80"/>
  <c r="J16" i="100"/>
  <c r="J15" i="100"/>
  <c r="J14" i="100"/>
  <c r="J13" i="100"/>
  <c r="J12" i="100"/>
  <c r="J11" i="100"/>
  <c r="J10" i="100"/>
  <c r="J9" i="100"/>
  <c r="J8" i="100"/>
  <c r="I5" i="100"/>
  <c r="J7" i="100"/>
  <c r="H5" i="100"/>
  <c r="C5" i="100"/>
  <c r="J6" i="100"/>
  <c r="J20" i="100"/>
  <c r="J19" i="100"/>
  <c r="J18" i="100"/>
  <c r="I21" i="100"/>
  <c r="J17" i="100"/>
  <c r="H21" i="100"/>
  <c r="C21" i="100"/>
  <c r="D17" i="100" s="1"/>
  <c r="G16" i="98"/>
  <c r="F16" i="98"/>
  <c r="G13" i="98"/>
  <c r="G12" i="98"/>
  <c r="G11" i="98"/>
  <c r="G10" i="98"/>
  <c r="G9" i="98"/>
  <c r="G8" i="98"/>
  <c r="G7" i="98"/>
  <c r="G6" i="98"/>
  <c r="G5" i="98"/>
  <c r="F13" i="98"/>
  <c r="F12" i="98"/>
  <c r="F11" i="98"/>
  <c r="F10" i="98"/>
  <c r="F9" i="98"/>
  <c r="F8" i="98"/>
  <c r="F7" i="98"/>
  <c r="F6" i="98"/>
  <c r="F5" i="98"/>
  <c r="B16" i="98"/>
  <c r="B13" i="98"/>
  <c r="B12" i="98"/>
  <c r="B11" i="98"/>
  <c r="B10" i="98"/>
  <c r="B9" i="98"/>
  <c r="B8" i="98"/>
  <c r="B7" i="98"/>
  <c r="B6" i="98"/>
  <c r="B5" i="98"/>
  <c r="J5" i="100" l="1"/>
  <c r="J21" i="100"/>
  <c r="K19" i="100" s="1"/>
  <c r="D7" i="100"/>
  <c r="D19" i="100"/>
  <c r="D6" i="100"/>
  <c r="D14" i="100"/>
  <c r="D13" i="100"/>
  <c r="D9" i="100"/>
  <c r="D10" i="100"/>
  <c r="D8" i="100"/>
  <c r="D12" i="100"/>
  <c r="D20" i="100"/>
  <c r="D11" i="100"/>
  <c r="D16" i="100"/>
  <c r="D18" i="100"/>
  <c r="D15" i="100"/>
  <c r="K12" i="100" l="1"/>
  <c r="K16" i="100"/>
  <c r="K11" i="100"/>
  <c r="K10" i="100"/>
  <c r="K15" i="100"/>
  <c r="K6" i="100"/>
  <c r="K5" i="100"/>
  <c r="K20" i="100"/>
  <c r="K7" i="100"/>
  <c r="K14" i="100"/>
  <c r="K13" i="100"/>
  <c r="K8" i="100"/>
  <c r="K9" i="100"/>
  <c r="K18" i="100"/>
  <c r="K17" i="100"/>
  <c r="D5" i="100"/>
  <c r="D21" i="100"/>
  <c r="G17" i="88"/>
  <c r="F17" i="88"/>
  <c r="B17" i="88"/>
  <c r="K21" i="100" l="1"/>
  <c r="B5" i="88"/>
  <c r="F5" i="88"/>
  <c r="G5" i="88"/>
  <c r="B6" i="88"/>
  <c r="F6" i="88"/>
  <c r="G6" i="88"/>
  <c r="B7" i="88"/>
  <c r="F7" i="88"/>
  <c r="G7" i="88"/>
  <c r="B8" i="88"/>
  <c r="F8" i="88"/>
  <c r="G8" i="88"/>
  <c r="B9" i="88"/>
  <c r="F9" i="88"/>
  <c r="G9" i="88"/>
  <c r="B10" i="88"/>
  <c r="F10" i="88"/>
  <c r="G10" i="88"/>
  <c r="B11" i="88"/>
  <c r="F11" i="88"/>
  <c r="G11" i="88"/>
  <c r="B12" i="88"/>
  <c r="F12" i="88"/>
  <c r="G12" i="88"/>
  <c r="B13" i="88"/>
  <c r="F13" i="88"/>
  <c r="G13" i="88"/>
  <c r="H14" i="88"/>
  <c r="H17" i="88"/>
  <c r="H18" i="88"/>
  <c r="H8" i="88" l="1"/>
  <c r="H9" i="88"/>
  <c r="H6" i="88"/>
  <c r="H10" i="88"/>
  <c r="H12" i="88"/>
  <c r="H13" i="88"/>
  <c r="H11" i="88"/>
  <c r="G15" i="88"/>
  <c r="G16" i="88" s="1"/>
  <c r="H5" i="88"/>
  <c r="H7" i="88"/>
  <c r="B15" i="88"/>
  <c r="C9" i="88" s="1"/>
  <c r="F15" i="88"/>
  <c r="F16" i="88" s="1"/>
  <c r="C8" i="88" l="1"/>
  <c r="H15" i="88"/>
  <c r="I11" i="88" s="1"/>
  <c r="C10" i="88"/>
  <c r="C17" i="88"/>
  <c r="C14" i="88"/>
  <c r="C13" i="88"/>
  <c r="C11" i="88"/>
  <c r="C7" i="88"/>
  <c r="C5" i="88"/>
  <c r="C18" i="88"/>
  <c r="C6" i="88"/>
  <c r="B16" i="88"/>
  <c r="C16" i="88" s="1"/>
  <c r="C12" i="88"/>
  <c r="H16" i="88"/>
  <c r="I5" i="88" l="1"/>
  <c r="I16" i="88"/>
  <c r="I7" i="88"/>
  <c r="I13" i="88"/>
  <c r="I9" i="88"/>
  <c r="I17" i="88"/>
  <c r="I14" i="88"/>
  <c r="I10" i="88"/>
  <c r="I6" i="88"/>
  <c r="I18" i="88"/>
  <c r="I12" i="88"/>
  <c r="I8" i="88"/>
  <c r="C15" i="88"/>
  <c r="K12" i="179"/>
  <c r="B13" i="179" s="1"/>
  <c r="L12" i="179"/>
  <c r="M12" i="179"/>
  <c r="P43" i="179"/>
  <c r="B28" i="179" s="1"/>
  <c r="P44" i="179"/>
  <c r="B29" i="179" s="1"/>
  <c r="P45" i="179"/>
  <c r="B30" i="179" s="1"/>
  <c r="P46" i="179"/>
  <c r="B31" i="179" s="1"/>
  <c r="P47" i="179"/>
  <c r="B32" i="179" s="1"/>
  <c r="P48" i="179"/>
  <c r="B33" i="179" s="1"/>
  <c r="K86" i="179"/>
  <c r="L86" i="179"/>
  <c r="M86" i="179"/>
  <c r="K87" i="179"/>
  <c r="L87" i="179"/>
  <c r="M87" i="179"/>
  <c r="K88" i="179"/>
  <c r="L88" i="179"/>
  <c r="M88" i="179"/>
  <c r="K89" i="179"/>
  <c r="L89" i="179"/>
  <c r="M89" i="179"/>
  <c r="K90" i="179"/>
  <c r="L90" i="179"/>
  <c r="M90" i="179"/>
  <c r="K91" i="179"/>
  <c r="L91" i="179"/>
  <c r="M91" i="179"/>
  <c r="K92" i="179"/>
  <c r="L92" i="179"/>
  <c r="M92" i="179"/>
  <c r="K93" i="179"/>
  <c r="L93" i="179"/>
  <c r="M93" i="179"/>
  <c r="K94" i="179"/>
  <c r="L94" i="179"/>
  <c r="M94" i="179"/>
  <c r="K95" i="179"/>
  <c r="L95" i="179"/>
  <c r="M95" i="179"/>
  <c r="K96" i="179"/>
  <c r="L96" i="179"/>
  <c r="M96" i="179"/>
  <c r="K97" i="179"/>
  <c r="L97" i="179"/>
  <c r="M97" i="179"/>
  <c r="K98" i="179"/>
  <c r="L98" i="179"/>
  <c r="M98" i="179"/>
  <c r="K99" i="179"/>
  <c r="L99" i="179"/>
  <c r="M99" i="179"/>
  <c r="K100" i="179"/>
  <c r="L100" i="179"/>
  <c r="M100" i="179"/>
  <c r="K101" i="179"/>
  <c r="L101" i="179"/>
  <c r="M101" i="179"/>
  <c r="K102" i="179"/>
  <c r="L102" i="179"/>
  <c r="M102" i="179"/>
  <c r="P105" i="179"/>
  <c r="B55" i="179" s="1"/>
  <c r="P106" i="179"/>
  <c r="B56" i="179" s="1"/>
  <c r="P107" i="179"/>
  <c r="B57" i="179" s="1"/>
  <c r="P108" i="179"/>
  <c r="B58" i="179" s="1"/>
  <c r="P109" i="179"/>
  <c r="B59" i="179" s="1"/>
  <c r="P110" i="179"/>
  <c r="B60" i="179" s="1"/>
  <c r="K12" i="178"/>
  <c r="B13" i="178" s="1"/>
  <c r="L12" i="178"/>
  <c r="M12" i="178"/>
  <c r="P43" i="178"/>
  <c r="B28" i="178" s="1"/>
  <c r="P44" i="178"/>
  <c r="B29" i="178" s="1"/>
  <c r="P45" i="178"/>
  <c r="B30" i="178" s="1"/>
  <c r="P46" i="178"/>
  <c r="B31" i="178" s="1"/>
  <c r="P47" i="178"/>
  <c r="B32" i="178" s="1"/>
  <c r="P48" i="178"/>
  <c r="B33" i="178" s="1"/>
  <c r="K86" i="178"/>
  <c r="L86" i="178"/>
  <c r="M86" i="178"/>
  <c r="K87" i="178"/>
  <c r="L87" i="178"/>
  <c r="M87" i="178"/>
  <c r="K88" i="178"/>
  <c r="L88" i="178"/>
  <c r="M88" i="178"/>
  <c r="K89" i="178"/>
  <c r="L89" i="178"/>
  <c r="M89" i="178"/>
  <c r="K90" i="178"/>
  <c r="L90" i="178"/>
  <c r="M90" i="178"/>
  <c r="K91" i="178"/>
  <c r="L91" i="178"/>
  <c r="M91" i="178"/>
  <c r="K92" i="178"/>
  <c r="L92" i="178"/>
  <c r="M92" i="178"/>
  <c r="K93" i="178"/>
  <c r="L93" i="178"/>
  <c r="M93" i="178"/>
  <c r="K94" i="178"/>
  <c r="L94" i="178"/>
  <c r="M94" i="178"/>
  <c r="K95" i="178"/>
  <c r="L95" i="178"/>
  <c r="M95" i="178"/>
  <c r="K96" i="178"/>
  <c r="L96" i="178"/>
  <c r="M96" i="178"/>
  <c r="K97" i="178"/>
  <c r="L97" i="178"/>
  <c r="M97" i="178"/>
  <c r="K98" i="178"/>
  <c r="L98" i="178"/>
  <c r="M98" i="178"/>
  <c r="K99" i="178"/>
  <c r="L99" i="178"/>
  <c r="M99" i="178"/>
  <c r="K100" i="178"/>
  <c r="L100" i="178"/>
  <c r="M100" i="178"/>
  <c r="K101" i="178"/>
  <c r="L101" i="178"/>
  <c r="M101" i="178"/>
  <c r="K102" i="178"/>
  <c r="L102" i="178"/>
  <c r="M102" i="178"/>
  <c r="P105" i="178"/>
  <c r="B55" i="178" s="1"/>
  <c r="P106" i="178"/>
  <c r="B56" i="178" s="1"/>
  <c r="P107" i="178"/>
  <c r="B57" i="178" s="1"/>
  <c r="P108" i="178"/>
  <c r="B58" i="178" s="1"/>
  <c r="P109" i="178"/>
  <c r="B59" i="178" s="1"/>
  <c r="P110" i="178"/>
  <c r="B60" i="178" s="1"/>
  <c r="AT31" i="177"/>
  <c r="J35" i="177" s="1"/>
  <c r="AS31" i="177"/>
  <c r="I35" i="177" s="1"/>
  <c r="AR31" i="177"/>
  <c r="H35" i="177" s="1"/>
  <c r="AQ31" i="177"/>
  <c r="G35" i="177" s="1"/>
  <c r="AP31" i="177"/>
  <c r="F35" i="177" s="1"/>
  <c r="AO31" i="177"/>
  <c r="E35" i="177" s="1"/>
  <c r="AN31" i="177"/>
  <c r="D35" i="177" s="1"/>
  <c r="AM31" i="177"/>
  <c r="C35" i="177" s="1"/>
  <c r="AL31" i="177"/>
  <c r="B35" i="177" s="1"/>
  <c r="AT30" i="177"/>
  <c r="J33" i="177" s="1"/>
  <c r="AS30" i="177"/>
  <c r="I33" i="177" s="1"/>
  <c r="AR30" i="177"/>
  <c r="H33" i="177" s="1"/>
  <c r="AQ30" i="177"/>
  <c r="G33" i="177" s="1"/>
  <c r="AP30" i="177"/>
  <c r="F33" i="177" s="1"/>
  <c r="AO30" i="177"/>
  <c r="E33" i="177" s="1"/>
  <c r="AN30" i="177"/>
  <c r="D33" i="177" s="1"/>
  <c r="AM30" i="177"/>
  <c r="C33" i="177" s="1"/>
  <c r="AL30" i="177"/>
  <c r="B33" i="177" s="1"/>
  <c r="AT29" i="177"/>
  <c r="J31" i="177" s="1"/>
  <c r="AS29" i="177"/>
  <c r="I31" i="177" s="1"/>
  <c r="AR29" i="177"/>
  <c r="H31" i="177" s="1"/>
  <c r="AQ29" i="177"/>
  <c r="G31" i="177" s="1"/>
  <c r="AP29" i="177"/>
  <c r="F31" i="177" s="1"/>
  <c r="AO29" i="177"/>
  <c r="E31" i="177" s="1"/>
  <c r="AN29" i="177"/>
  <c r="D31" i="177" s="1"/>
  <c r="AM29" i="177"/>
  <c r="C31" i="177" s="1"/>
  <c r="AL29" i="177"/>
  <c r="B31" i="177" s="1"/>
  <c r="AT28" i="177"/>
  <c r="J29" i="177" s="1"/>
  <c r="AS28" i="177"/>
  <c r="I29" i="177" s="1"/>
  <c r="AR28" i="177"/>
  <c r="H29" i="177" s="1"/>
  <c r="AQ28" i="177"/>
  <c r="G29" i="177" s="1"/>
  <c r="AP28" i="177"/>
  <c r="F29" i="177" s="1"/>
  <c r="AO28" i="177"/>
  <c r="E29" i="177" s="1"/>
  <c r="AN28" i="177"/>
  <c r="D29" i="177" s="1"/>
  <c r="AM28" i="177"/>
  <c r="C29" i="177" s="1"/>
  <c r="AL28" i="177"/>
  <c r="B29" i="177" s="1"/>
  <c r="AT27" i="177"/>
  <c r="J27" i="177" s="1"/>
  <c r="AS27" i="177"/>
  <c r="I27" i="177" s="1"/>
  <c r="R93" i="178" s="1"/>
  <c r="AR27" i="177"/>
  <c r="H27" i="177" s="1"/>
  <c r="R92" i="178" s="1"/>
  <c r="AQ27" i="177"/>
  <c r="G27" i="177" s="1"/>
  <c r="R91" i="178" s="1"/>
  <c r="AP27" i="177"/>
  <c r="F27" i="177" s="1"/>
  <c r="R90" i="178" s="1"/>
  <c r="AO27" i="177"/>
  <c r="E27" i="177" s="1"/>
  <c r="R89" i="178" s="1"/>
  <c r="AN27" i="177"/>
  <c r="D27" i="177" s="1"/>
  <c r="R88" i="178" s="1"/>
  <c r="AM27" i="177"/>
  <c r="C27" i="177" s="1"/>
  <c r="R87" i="178" s="1"/>
  <c r="AL27" i="177"/>
  <c r="B27" i="177" s="1"/>
  <c r="R86" i="178" s="1"/>
  <c r="AT26" i="177"/>
  <c r="J25" i="177" s="1"/>
  <c r="Q94" i="178" s="1"/>
  <c r="AS26" i="177"/>
  <c r="I25" i="177" s="1"/>
  <c r="Q93" i="178" s="1"/>
  <c r="AR26" i="177"/>
  <c r="H25" i="177" s="1"/>
  <c r="Q92" i="178" s="1"/>
  <c r="AQ26" i="177"/>
  <c r="G25" i="177" s="1"/>
  <c r="Q91" i="178" s="1"/>
  <c r="AP26" i="177"/>
  <c r="F25" i="177" s="1"/>
  <c r="Q90" i="178" s="1"/>
  <c r="AO26" i="177"/>
  <c r="E25" i="177" s="1"/>
  <c r="Q89" i="178" s="1"/>
  <c r="AN26" i="177"/>
  <c r="D25" i="177" s="1"/>
  <c r="Q88" i="178" s="1"/>
  <c r="AM26" i="177"/>
  <c r="C25" i="177" s="1"/>
  <c r="Q87" i="178" s="1"/>
  <c r="AL26" i="177"/>
  <c r="B25" i="177" s="1"/>
  <c r="Q86" i="178" s="1"/>
  <c r="AT10" i="177"/>
  <c r="J14" i="177" s="1"/>
  <c r="AS10" i="177"/>
  <c r="I14" i="177" s="1"/>
  <c r="AR10" i="177"/>
  <c r="H14" i="177" s="1"/>
  <c r="AQ10" i="177"/>
  <c r="G14" i="177" s="1"/>
  <c r="AP10" i="177"/>
  <c r="F14" i="177" s="1"/>
  <c r="AO10" i="177"/>
  <c r="E14" i="177" s="1"/>
  <c r="AN10" i="177"/>
  <c r="D14" i="177" s="1"/>
  <c r="AM10" i="177"/>
  <c r="C14" i="177" s="1"/>
  <c r="AL10" i="177"/>
  <c r="B14" i="177" s="1"/>
  <c r="AT9" i="177"/>
  <c r="J12" i="177" s="1"/>
  <c r="AS9" i="177"/>
  <c r="I12" i="177" s="1"/>
  <c r="AR9" i="177"/>
  <c r="H12" i="177" s="1"/>
  <c r="AQ9" i="177"/>
  <c r="G12" i="177" s="1"/>
  <c r="AP9" i="177"/>
  <c r="F12" i="177" s="1"/>
  <c r="AO9" i="177"/>
  <c r="E12" i="177" s="1"/>
  <c r="AN9" i="177"/>
  <c r="D12" i="177" s="1"/>
  <c r="AM9" i="177"/>
  <c r="C12" i="177" s="1"/>
  <c r="AL9" i="177"/>
  <c r="B12" i="177" s="1"/>
  <c r="AT8" i="177"/>
  <c r="J10" i="177" s="1"/>
  <c r="AS8" i="177"/>
  <c r="I10" i="177" s="1"/>
  <c r="AR8" i="177"/>
  <c r="H10" i="177" s="1"/>
  <c r="AQ8" i="177"/>
  <c r="G10" i="177" s="1"/>
  <c r="AP8" i="177"/>
  <c r="F10" i="177" s="1"/>
  <c r="AO8" i="177"/>
  <c r="E10" i="177" s="1"/>
  <c r="AN8" i="177"/>
  <c r="D10" i="177" s="1"/>
  <c r="AM8" i="177"/>
  <c r="C10" i="177" s="1"/>
  <c r="AL8" i="177"/>
  <c r="B10" i="177" s="1"/>
  <c r="AT7" i="177"/>
  <c r="J8" i="177" s="1"/>
  <c r="AS7" i="177"/>
  <c r="I8" i="177" s="1"/>
  <c r="AR7" i="177"/>
  <c r="H8" i="177" s="1"/>
  <c r="AQ7" i="177"/>
  <c r="G8" i="177" s="1"/>
  <c r="AP7" i="177"/>
  <c r="F8" i="177" s="1"/>
  <c r="AO7" i="177"/>
  <c r="E8" i="177" s="1"/>
  <c r="AN7" i="177"/>
  <c r="D8" i="177" s="1"/>
  <c r="AM7" i="177"/>
  <c r="C8" i="177" s="1"/>
  <c r="AL7" i="177"/>
  <c r="B8" i="177" s="1"/>
  <c r="AT6" i="177"/>
  <c r="J6" i="177" s="1"/>
  <c r="AS6" i="177"/>
  <c r="I6" i="177" s="1"/>
  <c r="R31" i="178" s="1"/>
  <c r="AR6" i="177"/>
  <c r="H6" i="177" s="1"/>
  <c r="R30" i="178" s="1"/>
  <c r="AQ6" i="177"/>
  <c r="G6" i="177" s="1"/>
  <c r="R29" i="178" s="1"/>
  <c r="AP6" i="177"/>
  <c r="F6" i="177" s="1"/>
  <c r="R28" i="178" s="1"/>
  <c r="AO6" i="177"/>
  <c r="E6" i="177" s="1"/>
  <c r="R27" i="178" s="1"/>
  <c r="AN6" i="177"/>
  <c r="D6" i="177" s="1"/>
  <c r="R26" i="178" s="1"/>
  <c r="AM6" i="177"/>
  <c r="C6" i="177" s="1"/>
  <c r="R25" i="178" s="1"/>
  <c r="AL6" i="177"/>
  <c r="B6" i="177" s="1"/>
  <c r="R24" i="178" s="1"/>
  <c r="AT5" i="177"/>
  <c r="J4" i="177" s="1"/>
  <c r="Q32" i="178" s="1"/>
  <c r="AS5" i="177"/>
  <c r="I4" i="177" s="1"/>
  <c r="Q31" i="178" s="1"/>
  <c r="AR5" i="177"/>
  <c r="H4" i="177" s="1"/>
  <c r="Q30" i="178" s="1"/>
  <c r="AQ5" i="177"/>
  <c r="G4" i="177" s="1"/>
  <c r="Q29" i="178" s="1"/>
  <c r="AP5" i="177"/>
  <c r="F4" i="177" s="1"/>
  <c r="Q28" i="178" s="1"/>
  <c r="AO5" i="177"/>
  <c r="E4" i="177" s="1"/>
  <c r="Q27" i="178" s="1"/>
  <c r="AN5" i="177"/>
  <c r="D4" i="177" s="1"/>
  <c r="Q26" i="178" s="1"/>
  <c r="AM5" i="177"/>
  <c r="C4" i="177" s="1"/>
  <c r="Q25" i="178" s="1"/>
  <c r="AL5" i="177"/>
  <c r="B4" i="177" s="1"/>
  <c r="Q24" i="178" s="1"/>
  <c r="H47" i="178" l="1"/>
  <c r="H44" i="178"/>
  <c r="R95" i="178"/>
  <c r="R94" i="178"/>
  <c r="H48" i="178" s="1"/>
  <c r="H43" i="178"/>
  <c r="H42" i="178"/>
  <c r="H45" i="178"/>
  <c r="H46" i="178"/>
  <c r="H4" i="178"/>
  <c r="R32" i="178"/>
  <c r="H12" i="178" s="1"/>
  <c r="R33" i="178"/>
  <c r="H10" i="178"/>
  <c r="H11" i="178"/>
  <c r="H7" i="178"/>
  <c r="H8" i="178"/>
  <c r="I15" i="88"/>
  <c r="C13" i="179"/>
  <c r="H41" i="178"/>
  <c r="H40" i="178"/>
  <c r="H9" i="178"/>
  <c r="H5" i="178"/>
  <c r="H6" i="178"/>
  <c r="C13" i="178"/>
  <c r="K10" i="177"/>
  <c r="H37" i="177"/>
  <c r="P92" i="178" s="1"/>
  <c r="G46" i="178" s="1"/>
  <c r="K12" i="177"/>
  <c r="C16" i="177"/>
  <c r="P25" i="178" s="1"/>
  <c r="G5" i="178" s="1"/>
  <c r="K6" i="177"/>
  <c r="B16" i="177"/>
  <c r="P24" i="178" s="1"/>
  <c r="G4" i="178" s="1"/>
  <c r="K29" i="177"/>
  <c r="D16" i="177"/>
  <c r="P26" i="178" s="1"/>
  <c r="G6" i="178" s="1"/>
  <c r="E16" i="177"/>
  <c r="P27" i="178" s="1"/>
  <c r="G7" i="178" s="1"/>
  <c r="F16" i="177"/>
  <c r="P28" i="178" s="1"/>
  <c r="G8" i="178" s="1"/>
  <c r="G37" i="177"/>
  <c r="P91" i="178" s="1"/>
  <c r="G45" i="178" s="1"/>
  <c r="G16" i="177"/>
  <c r="P29" i="178" s="1"/>
  <c r="G9" i="178" s="1"/>
  <c r="K35" i="177"/>
  <c r="H16" i="177"/>
  <c r="P30" i="178" s="1"/>
  <c r="G10" i="178" s="1"/>
  <c r="K8" i="177"/>
  <c r="K14" i="177"/>
  <c r="D37" i="177"/>
  <c r="P88" i="178" s="1"/>
  <c r="G42" i="178" s="1"/>
  <c r="I37" i="177"/>
  <c r="P93" i="178" s="1"/>
  <c r="G47" i="178" s="1"/>
  <c r="F37" i="177"/>
  <c r="P90" i="178" s="1"/>
  <c r="G44" i="178" s="1"/>
  <c r="E37" i="177"/>
  <c r="P89" i="178" s="1"/>
  <c r="G43" i="178" s="1"/>
  <c r="K25" i="177"/>
  <c r="Q95" i="178" s="1"/>
  <c r="B37" i="177"/>
  <c r="P86" i="178" s="1"/>
  <c r="G40" i="178" s="1"/>
  <c r="J37" i="177"/>
  <c r="P94" i="178" s="1"/>
  <c r="G48" i="178" s="1"/>
  <c r="C37" i="177"/>
  <c r="P87" i="178" s="1"/>
  <c r="G41" i="178" s="1"/>
  <c r="I16" i="177"/>
  <c r="P31" i="178" s="1"/>
  <c r="G11" i="178" s="1"/>
  <c r="K31" i="177"/>
  <c r="K4" i="177"/>
  <c r="Q33" i="178" s="1"/>
  <c r="J16" i="177"/>
  <c r="P32" i="178" s="1"/>
  <c r="G12" i="178" s="1"/>
  <c r="K27" i="177"/>
  <c r="K33" i="177"/>
  <c r="B7" i="177" l="1"/>
  <c r="E26" i="177"/>
  <c r="J36" i="177"/>
  <c r="J32" i="177"/>
  <c r="E36" i="177"/>
  <c r="F32" i="177"/>
  <c r="J34" i="177"/>
  <c r="D30" i="177"/>
  <c r="J30" i="177"/>
  <c r="F26" i="177"/>
  <c r="I30" i="177"/>
  <c r="H49" i="178"/>
  <c r="F36" i="177"/>
  <c r="G49" i="178"/>
  <c r="J28" i="177"/>
  <c r="I28" i="177"/>
  <c r="C34" i="177"/>
  <c r="D36" i="177"/>
  <c r="C36" i="177"/>
  <c r="E30" i="177"/>
  <c r="F30" i="177"/>
  <c r="F34" i="177"/>
  <c r="C28" i="177"/>
  <c r="D32" i="177"/>
  <c r="B15" i="177"/>
  <c r="B5" i="177"/>
  <c r="E5" i="177"/>
  <c r="I13" i="177"/>
  <c r="I5" i="177"/>
  <c r="D5" i="177"/>
  <c r="H13" i="177"/>
  <c r="H15" i="177"/>
  <c r="I15" i="177"/>
  <c r="G13" i="178"/>
  <c r="J5" i="177"/>
  <c r="D13" i="177"/>
  <c r="J9" i="177"/>
  <c r="E15" i="177"/>
  <c r="I11" i="177"/>
  <c r="H11" i="177"/>
  <c r="B13" i="177"/>
  <c r="J7" i="177"/>
  <c r="E11" i="177"/>
  <c r="E9" i="177"/>
  <c r="E7" i="177"/>
  <c r="J11" i="177"/>
  <c r="B11" i="177"/>
  <c r="H13" i="178"/>
  <c r="G13" i="177"/>
  <c r="G7" i="177"/>
  <c r="F7" i="177"/>
  <c r="H36" i="177"/>
  <c r="H32" i="177"/>
  <c r="H34" i="177"/>
  <c r="K37" i="177"/>
  <c r="K30" i="177" s="1"/>
  <c r="F11" i="177"/>
  <c r="H26" i="177"/>
  <c r="F9" i="177"/>
  <c r="B32" i="177"/>
  <c r="G30" i="177"/>
  <c r="C15" i="177"/>
  <c r="H30" i="177"/>
  <c r="G34" i="177"/>
  <c r="E28" i="177"/>
  <c r="E34" i="177"/>
  <c r="G32" i="177"/>
  <c r="G28" i="177"/>
  <c r="D7" i="177"/>
  <c r="B30" i="177"/>
  <c r="C5" i="177"/>
  <c r="K16" i="177"/>
  <c r="G26" i="177"/>
  <c r="B28" i="177"/>
  <c r="G36" i="177"/>
  <c r="F15" i="177"/>
  <c r="H28" i="177"/>
  <c r="C13" i="177"/>
  <c r="I9" i="177"/>
  <c r="C26" i="177"/>
  <c r="E32" i="177"/>
  <c r="C9" i="177"/>
  <c r="I36" i="177"/>
  <c r="I32" i="177"/>
  <c r="B36" i="177"/>
  <c r="F13" i="177"/>
  <c r="G11" i="177"/>
  <c r="D11" i="177"/>
  <c r="B26" i="177"/>
  <c r="I7" i="177"/>
  <c r="I26" i="177"/>
  <c r="B34" i="177"/>
  <c r="H7" i="177"/>
  <c r="D9" i="177"/>
  <c r="E13" i="177"/>
  <c r="H9" i="177"/>
  <c r="C11" i="177"/>
  <c r="C30" i="177"/>
  <c r="J15" i="177"/>
  <c r="I34" i="177"/>
  <c r="J13" i="177"/>
  <c r="G15" i="177"/>
  <c r="J26" i="177"/>
  <c r="F28" i="177"/>
  <c r="D28" i="177"/>
  <c r="D34" i="177"/>
  <c r="D26" i="177"/>
  <c r="C32" i="177"/>
  <c r="H5" i="177"/>
  <c r="G5" i="177"/>
  <c r="F5" i="177"/>
  <c r="C7" i="177"/>
  <c r="B9" i="177"/>
  <c r="G9" i="177"/>
  <c r="D15" i="177"/>
  <c r="I38" i="177" l="1"/>
  <c r="K32" i="177"/>
  <c r="P95" i="178"/>
  <c r="G38" i="177"/>
  <c r="J38" i="177"/>
  <c r="K28" i="177"/>
  <c r="E38" i="177"/>
  <c r="K26" i="177"/>
  <c r="K7" i="177"/>
  <c r="P33" i="178"/>
  <c r="K11" i="177"/>
  <c r="F17" i="177"/>
  <c r="K13" i="177"/>
  <c r="K5" i="177"/>
  <c r="G17" i="177"/>
  <c r="B17" i="177"/>
  <c r="H17" i="177"/>
  <c r="E17" i="177"/>
  <c r="K9" i="177"/>
  <c r="K15" i="177"/>
  <c r="D38" i="177"/>
  <c r="J17" i="177"/>
  <c r="C38" i="177"/>
  <c r="K34" i="177"/>
  <c r="K36" i="177"/>
  <c r="F38" i="177"/>
  <c r="H38" i="177"/>
  <c r="B38" i="177"/>
  <c r="I17" i="177"/>
  <c r="C17" i="177"/>
  <c r="D17" i="177"/>
  <c r="K38" i="177" l="1"/>
  <c r="K17" i="177"/>
  <c r="AK5" i="176"/>
  <c r="AL5" i="176"/>
  <c r="AM5" i="176"/>
  <c r="AN5" i="176"/>
  <c r="AO5" i="176"/>
  <c r="AP5" i="176"/>
  <c r="AQ5" i="176"/>
  <c r="AJ6" i="176"/>
  <c r="AK6" i="176"/>
  <c r="AL6" i="176"/>
  <c r="AM6" i="176"/>
  <c r="AN6" i="176"/>
  <c r="AO6" i="176"/>
  <c r="AP6" i="176"/>
  <c r="AQ6" i="176"/>
  <c r="AJ7" i="176"/>
  <c r="AK7" i="176"/>
  <c r="AL7" i="176"/>
  <c r="AM7" i="176"/>
  <c r="AN7" i="176"/>
  <c r="AO7" i="176"/>
  <c r="AP7" i="176"/>
  <c r="AQ7" i="176"/>
  <c r="AJ8" i="176"/>
  <c r="AK8" i="176"/>
  <c r="AL8" i="176"/>
  <c r="AM8" i="176"/>
  <c r="AN8" i="176"/>
  <c r="AO8" i="176"/>
  <c r="AP8" i="176"/>
  <c r="AQ8" i="176"/>
  <c r="AJ9" i="176"/>
  <c r="AK9" i="176"/>
  <c r="AL9" i="176"/>
  <c r="AM9" i="176"/>
  <c r="AN9" i="176"/>
  <c r="AO9" i="176"/>
  <c r="AP9" i="176"/>
  <c r="AQ9" i="176"/>
  <c r="AJ10" i="176"/>
  <c r="AK10" i="176"/>
  <c r="AL10" i="176"/>
  <c r="AM10" i="176"/>
  <c r="AN10" i="176"/>
  <c r="AO10" i="176"/>
  <c r="AP10" i="176"/>
  <c r="AQ10" i="176"/>
  <c r="AK26" i="176"/>
  <c r="AL26" i="176"/>
  <c r="AM26" i="176"/>
  <c r="AN26" i="176"/>
  <c r="AO26" i="176"/>
  <c r="AP26" i="176"/>
  <c r="AQ26" i="176"/>
  <c r="AJ27" i="176"/>
  <c r="AK27" i="176"/>
  <c r="AL27" i="176"/>
  <c r="AM27" i="176"/>
  <c r="AN27" i="176"/>
  <c r="AO27" i="176"/>
  <c r="AP27" i="176"/>
  <c r="AQ27" i="176"/>
  <c r="AJ28" i="176"/>
  <c r="AK28" i="176"/>
  <c r="AL28" i="176"/>
  <c r="AM28" i="176"/>
  <c r="AN28" i="176"/>
  <c r="AO28" i="176"/>
  <c r="AP28" i="176"/>
  <c r="AQ28" i="176"/>
  <c r="AJ29" i="176"/>
  <c r="AK29" i="176"/>
  <c r="AL29" i="176"/>
  <c r="AM29" i="176"/>
  <c r="AN29" i="176"/>
  <c r="AO29" i="176"/>
  <c r="AP29" i="176"/>
  <c r="AQ29" i="176"/>
  <c r="AJ30" i="176"/>
  <c r="AK30" i="176"/>
  <c r="AL30" i="176"/>
  <c r="AM30" i="176"/>
  <c r="AN30" i="176"/>
  <c r="AO30" i="176"/>
  <c r="AP30" i="176"/>
  <c r="AQ30" i="176"/>
  <c r="AJ31" i="176"/>
  <c r="AK31" i="176"/>
  <c r="AL31" i="176"/>
  <c r="AM31" i="176"/>
  <c r="AN31" i="176"/>
  <c r="AO31" i="176"/>
  <c r="AP31" i="176"/>
  <c r="AQ31" i="176"/>
  <c r="I35" i="176" l="1"/>
  <c r="H35" i="176"/>
  <c r="G35" i="176"/>
  <c r="F35" i="176"/>
  <c r="E35" i="176"/>
  <c r="D35" i="176"/>
  <c r="C35" i="176"/>
  <c r="B35" i="176"/>
  <c r="I31" i="176"/>
  <c r="E31" i="176"/>
  <c r="I33" i="176"/>
  <c r="H33" i="176"/>
  <c r="G33" i="176"/>
  <c r="F33" i="176"/>
  <c r="E33" i="176"/>
  <c r="D33" i="176"/>
  <c r="C33" i="176"/>
  <c r="B33" i="176"/>
  <c r="H31" i="176"/>
  <c r="G31" i="176"/>
  <c r="F31" i="176"/>
  <c r="D31" i="176"/>
  <c r="C31" i="176"/>
  <c r="B31" i="176"/>
  <c r="I29" i="176"/>
  <c r="H29" i="176"/>
  <c r="G29" i="176"/>
  <c r="F29" i="176"/>
  <c r="E29" i="176"/>
  <c r="D29" i="176"/>
  <c r="C29" i="176"/>
  <c r="B29" i="176"/>
  <c r="H27" i="176"/>
  <c r="R92" i="179" s="1"/>
  <c r="G27" i="176"/>
  <c r="R91" i="179" s="1"/>
  <c r="D27" i="176"/>
  <c r="R88" i="179" s="1"/>
  <c r="C27" i="176"/>
  <c r="R87" i="179" s="1"/>
  <c r="B27" i="176"/>
  <c r="R86" i="179" s="1"/>
  <c r="I27" i="176"/>
  <c r="R93" i="179" s="1"/>
  <c r="F27" i="176"/>
  <c r="R90" i="179" s="1"/>
  <c r="E27" i="176"/>
  <c r="R89" i="179" s="1"/>
  <c r="I25" i="176"/>
  <c r="Q93" i="179" s="1"/>
  <c r="E25" i="176"/>
  <c r="Q89" i="179" s="1"/>
  <c r="D25" i="176"/>
  <c r="Q88" i="179" s="1"/>
  <c r="H25" i="176"/>
  <c r="Q92" i="179" s="1"/>
  <c r="G25" i="176"/>
  <c r="Q91" i="179" s="1"/>
  <c r="F25" i="176"/>
  <c r="Q90" i="179" s="1"/>
  <c r="C25" i="176"/>
  <c r="Q87" i="179" s="1"/>
  <c r="B25" i="176"/>
  <c r="Q86" i="179" s="1"/>
  <c r="C14" i="176"/>
  <c r="I14" i="176"/>
  <c r="H14" i="176"/>
  <c r="G14" i="176"/>
  <c r="F14" i="176"/>
  <c r="E14" i="176"/>
  <c r="D14" i="176"/>
  <c r="B14" i="176"/>
  <c r="C10" i="176"/>
  <c r="I12" i="176"/>
  <c r="H12" i="176"/>
  <c r="G12" i="176"/>
  <c r="F12" i="176"/>
  <c r="E12" i="176"/>
  <c r="D12" i="176"/>
  <c r="C12" i="176"/>
  <c r="B12" i="176"/>
  <c r="I10" i="176"/>
  <c r="H10" i="176"/>
  <c r="G10" i="176"/>
  <c r="F10" i="176"/>
  <c r="E10" i="176"/>
  <c r="D10" i="176"/>
  <c r="B10" i="176"/>
  <c r="I8" i="176"/>
  <c r="H8" i="176"/>
  <c r="G8" i="176"/>
  <c r="F8" i="176"/>
  <c r="E8" i="176"/>
  <c r="D8" i="176"/>
  <c r="C8" i="176"/>
  <c r="B8" i="176"/>
  <c r="I6" i="176"/>
  <c r="G6" i="176"/>
  <c r="F6" i="176"/>
  <c r="E6" i="176"/>
  <c r="C6" i="176"/>
  <c r="B6" i="176"/>
  <c r="H6" i="176"/>
  <c r="D6" i="176"/>
  <c r="G4" i="176"/>
  <c r="F4" i="176"/>
  <c r="C4" i="176"/>
  <c r="B4" i="176"/>
  <c r="I4" i="176"/>
  <c r="H4" i="176"/>
  <c r="E4" i="176"/>
  <c r="D4" i="176"/>
  <c r="Q26" i="179" l="1"/>
  <c r="R26" i="179"/>
  <c r="Q27" i="179"/>
  <c r="R30" i="179"/>
  <c r="Q30" i="179"/>
  <c r="R24" i="179"/>
  <c r="Q31" i="179"/>
  <c r="R25" i="179"/>
  <c r="Q24" i="179"/>
  <c r="R27" i="179"/>
  <c r="Q25" i="179"/>
  <c r="R28" i="179"/>
  <c r="Q28" i="179"/>
  <c r="R29" i="179"/>
  <c r="Q29" i="179"/>
  <c r="R31" i="179"/>
  <c r="H42" i="179"/>
  <c r="H41" i="179"/>
  <c r="H46" i="179"/>
  <c r="H45" i="179"/>
  <c r="H44" i="179"/>
  <c r="H40" i="179"/>
  <c r="H43" i="179"/>
  <c r="H47" i="179"/>
  <c r="B37" i="176"/>
  <c r="C37" i="176"/>
  <c r="P87" i="179" s="1"/>
  <c r="G41" i="179" s="1"/>
  <c r="F37" i="176"/>
  <c r="I16" i="176"/>
  <c r="I15" i="176" s="1"/>
  <c r="C16" i="176"/>
  <c r="C11" i="176" s="1"/>
  <c r="E16" i="176"/>
  <c r="E13" i="176" s="1"/>
  <c r="J8" i="176"/>
  <c r="H16" i="176"/>
  <c r="J4" i="176"/>
  <c r="B16" i="176"/>
  <c r="B9" i="176" s="1"/>
  <c r="F16" i="176"/>
  <c r="F9" i="176" s="1"/>
  <c r="J6" i="176"/>
  <c r="J10" i="176"/>
  <c r="J12" i="176"/>
  <c r="J35" i="176"/>
  <c r="G16" i="176"/>
  <c r="G37" i="176"/>
  <c r="D37" i="176"/>
  <c r="P88" i="179" s="1"/>
  <c r="G42" i="179" s="1"/>
  <c r="D16" i="176"/>
  <c r="D11" i="176" s="1"/>
  <c r="J14" i="176"/>
  <c r="E37" i="176"/>
  <c r="P89" i="179" s="1"/>
  <c r="G43" i="179" s="1"/>
  <c r="I37" i="176"/>
  <c r="J27" i="176"/>
  <c r="R94" i="179" s="1"/>
  <c r="J29" i="176"/>
  <c r="J31" i="176"/>
  <c r="J33" i="176"/>
  <c r="H37" i="176"/>
  <c r="J25" i="176"/>
  <c r="Q94" i="179" s="1"/>
  <c r="I13" i="176" l="1"/>
  <c r="H8" i="179"/>
  <c r="H10" i="179"/>
  <c r="I11" i="176"/>
  <c r="H11" i="179"/>
  <c r="H9" i="179"/>
  <c r="F15" i="176"/>
  <c r="C15" i="176"/>
  <c r="F11" i="176"/>
  <c r="C13" i="176"/>
  <c r="D9" i="176"/>
  <c r="H4" i="179"/>
  <c r="F13" i="176"/>
  <c r="F7" i="176"/>
  <c r="H5" i="179"/>
  <c r="I9" i="176"/>
  <c r="B7" i="176"/>
  <c r="B15" i="176"/>
  <c r="B13" i="176"/>
  <c r="B11" i="176"/>
  <c r="D15" i="176"/>
  <c r="D13" i="176"/>
  <c r="D7" i="176"/>
  <c r="E15" i="176"/>
  <c r="H6" i="179"/>
  <c r="H7" i="179"/>
  <c r="P29" i="179"/>
  <c r="G9" i="179" s="1"/>
  <c r="G26" i="176"/>
  <c r="G36" i="176"/>
  <c r="G34" i="176"/>
  <c r="G32" i="176"/>
  <c r="G30" i="176"/>
  <c r="G28" i="176"/>
  <c r="P30" i="179"/>
  <c r="G10" i="179" s="1"/>
  <c r="H32" i="176"/>
  <c r="H36" i="176"/>
  <c r="H34" i="176"/>
  <c r="H30" i="176"/>
  <c r="H28" i="176"/>
  <c r="H26" i="176"/>
  <c r="H15" i="176"/>
  <c r="G15" i="176"/>
  <c r="H13" i="176"/>
  <c r="G13" i="176"/>
  <c r="P27" i="179"/>
  <c r="G7" i="179" s="1"/>
  <c r="E30" i="176"/>
  <c r="E26" i="176"/>
  <c r="E28" i="176"/>
  <c r="E36" i="176"/>
  <c r="E34" i="176"/>
  <c r="E32" i="176"/>
  <c r="H11" i="176"/>
  <c r="G11" i="176"/>
  <c r="E11" i="176"/>
  <c r="P25" i="179"/>
  <c r="G5" i="179" s="1"/>
  <c r="C34" i="176"/>
  <c r="C30" i="176"/>
  <c r="C28" i="176"/>
  <c r="C32" i="176"/>
  <c r="C26" i="176"/>
  <c r="C36" i="176"/>
  <c r="H9" i="176"/>
  <c r="G9" i="176"/>
  <c r="E9" i="176"/>
  <c r="C9" i="176"/>
  <c r="R32" i="179"/>
  <c r="P31" i="179"/>
  <c r="G11" i="179" s="1"/>
  <c r="I34" i="176"/>
  <c r="I32" i="176"/>
  <c r="I36" i="176"/>
  <c r="I30" i="176"/>
  <c r="I28" i="176"/>
  <c r="I26" i="176"/>
  <c r="I7" i="176"/>
  <c r="G7" i="176"/>
  <c r="E7" i="176"/>
  <c r="C7" i="176"/>
  <c r="H7" i="176"/>
  <c r="P26" i="179"/>
  <c r="G6" i="179" s="1"/>
  <c r="D32" i="176"/>
  <c r="D30" i="176"/>
  <c r="D28" i="176"/>
  <c r="D26" i="176"/>
  <c r="D36" i="176"/>
  <c r="D34" i="176"/>
  <c r="P28" i="179"/>
  <c r="G8" i="179" s="1"/>
  <c r="F28" i="176"/>
  <c r="F36" i="176"/>
  <c r="F34" i="176"/>
  <c r="F26" i="176"/>
  <c r="F32" i="176"/>
  <c r="F30" i="176"/>
  <c r="B36" i="176"/>
  <c r="B32" i="176"/>
  <c r="B30" i="176"/>
  <c r="B28" i="176"/>
  <c r="B34" i="176"/>
  <c r="B26" i="176"/>
  <c r="G5" i="176"/>
  <c r="F5" i="176"/>
  <c r="C5" i="176"/>
  <c r="B5" i="176"/>
  <c r="I5" i="176"/>
  <c r="H5" i="176"/>
  <c r="E5" i="176"/>
  <c r="D5" i="176"/>
  <c r="Q32" i="179"/>
  <c r="H48" i="179"/>
  <c r="P86" i="179"/>
  <c r="G40" i="179" s="1"/>
  <c r="P92" i="179"/>
  <c r="G46" i="179" s="1"/>
  <c r="P90" i="179"/>
  <c r="G44" i="179" s="1"/>
  <c r="P91" i="179"/>
  <c r="G45" i="179" s="1"/>
  <c r="P93" i="179"/>
  <c r="G47" i="179" s="1"/>
  <c r="P24" i="179"/>
  <c r="G4" i="179" s="1"/>
  <c r="J16" i="176"/>
  <c r="J37" i="176"/>
  <c r="P94" i="179" s="1"/>
  <c r="G48" i="179" s="1"/>
  <c r="H12" i="179" l="1"/>
  <c r="B17" i="176"/>
  <c r="C17" i="176"/>
  <c r="F17" i="176"/>
  <c r="D17" i="176"/>
  <c r="E17" i="176"/>
  <c r="P32" i="179"/>
  <c r="G12" i="179" s="1"/>
  <c r="J36" i="176"/>
  <c r="J26" i="176"/>
  <c r="J34" i="176"/>
  <c r="J32" i="176"/>
  <c r="J30" i="176"/>
  <c r="J28" i="176"/>
  <c r="J5" i="176"/>
  <c r="J11" i="176"/>
  <c r="G17" i="176"/>
  <c r="J7" i="176"/>
  <c r="J13" i="176"/>
  <c r="H17" i="176"/>
  <c r="J15" i="176"/>
  <c r="I17" i="176"/>
  <c r="J9" i="176"/>
  <c r="C38" i="176"/>
  <c r="F38" i="176"/>
  <c r="B38" i="176"/>
  <c r="G38" i="176"/>
  <c r="H38" i="176"/>
  <c r="D38" i="176"/>
  <c r="E38" i="176"/>
  <c r="I38" i="176"/>
  <c r="J17" i="176" l="1"/>
  <c r="J38" i="176"/>
  <c r="I50" i="114" l="1"/>
  <c r="H6" i="90" l="1"/>
  <c r="L44" i="179" l="1"/>
  <c r="L44" i="178"/>
  <c r="C20" i="123"/>
  <c r="I32" i="155" l="1"/>
  <c r="I33" i="155"/>
  <c r="I34" i="155"/>
  <c r="C67" i="114" l="1"/>
  <c r="E67" i="114"/>
  <c r="G67" i="114"/>
  <c r="I67" i="114"/>
  <c r="C68" i="114"/>
  <c r="E68" i="114"/>
  <c r="G68" i="114"/>
  <c r="I68" i="114"/>
  <c r="C69" i="114"/>
  <c r="E69" i="114"/>
  <c r="G69" i="114"/>
  <c r="I69" i="114"/>
  <c r="C32" i="114"/>
  <c r="E32" i="114"/>
  <c r="G32" i="114"/>
  <c r="I32" i="114"/>
  <c r="C33" i="114"/>
  <c r="E33" i="114"/>
  <c r="G33" i="114"/>
  <c r="I33" i="114"/>
  <c r="C34" i="114"/>
  <c r="E34" i="114"/>
  <c r="G34" i="114"/>
  <c r="I34" i="114"/>
  <c r="N34" i="114" l="1"/>
  <c r="N32" i="114"/>
  <c r="N67" i="114"/>
  <c r="N33" i="114"/>
  <c r="N68" i="114"/>
  <c r="N69" i="114"/>
  <c r="C65" i="113"/>
  <c r="E65" i="113"/>
  <c r="G65" i="113"/>
  <c r="I65" i="113"/>
  <c r="C66" i="113"/>
  <c r="E66" i="113"/>
  <c r="G66" i="113"/>
  <c r="I66" i="113"/>
  <c r="C67" i="113"/>
  <c r="E67" i="113"/>
  <c r="G67" i="113"/>
  <c r="I67" i="113"/>
  <c r="C31" i="113"/>
  <c r="E31" i="113"/>
  <c r="G31" i="113"/>
  <c r="I31" i="113"/>
  <c r="C32" i="113"/>
  <c r="E32" i="113"/>
  <c r="G32" i="113"/>
  <c r="I32" i="113"/>
  <c r="C33" i="113"/>
  <c r="E33" i="113"/>
  <c r="G33" i="113"/>
  <c r="I33" i="113"/>
  <c r="N66" i="113" l="1"/>
  <c r="N31" i="113"/>
  <c r="N65" i="113"/>
  <c r="N67" i="113"/>
  <c r="N33" i="113"/>
  <c r="N32" i="113"/>
  <c r="G65" i="150"/>
  <c r="G66" i="150"/>
  <c r="G67" i="150"/>
  <c r="G31" i="150"/>
  <c r="G32" i="150"/>
  <c r="D38" i="85" l="1"/>
  <c r="D39" i="85"/>
  <c r="D40" i="85"/>
  <c r="D42" i="81"/>
  <c r="D41" i="81"/>
  <c r="D21" i="81"/>
  <c r="B9" i="99" l="1"/>
  <c r="B9" i="89"/>
  <c r="K34" i="155"/>
  <c r="K33" i="155"/>
  <c r="K32" i="155"/>
  <c r="M120" i="178" l="1"/>
  <c r="M120" i="179"/>
  <c r="K120" i="178"/>
  <c r="G70" i="178" s="1"/>
  <c r="K120" i="179"/>
  <c r="G70" i="179" s="1"/>
  <c r="L120" i="179"/>
  <c r="L120" i="178"/>
  <c r="J38" i="85"/>
  <c r="J39" i="85"/>
  <c r="J33" i="155"/>
  <c r="J32" i="155"/>
  <c r="H20" i="90"/>
  <c r="I20" i="90"/>
  <c r="C20" i="90"/>
  <c r="C19" i="90"/>
  <c r="H70" i="178" l="1"/>
  <c r="H70" i="179"/>
  <c r="K58" i="179"/>
  <c r="G34" i="179" s="1"/>
  <c r="K58" i="178"/>
  <c r="G34" i="178" s="1"/>
  <c r="M58" i="179"/>
  <c r="M58" i="178"/>
  <c r="L58" i="179"/>
  <c r="L58" i="178"/>
  <c r="K57" i="179"/>
  <c r="G33" i="179" s="1"/>
  <c r="K57" i="178"/>
  <c r="G33" i="178" s="1"/>
  <c r="G21" i="81"/>
  <c r="J20" i="90"/>
  <c r="G42" i="81" s="1"/>
  <c r="C20" i="89"/>
  <c r="B20" i="89"/>
  <c r="B5" i="89"/>
  <c r="H34" i="178" l="1"/>
  <c r="H34" i="179"/>
  <c r="E11" i="113"/>
  <c r="E10" i="113"/>
  <c r="F31" i="113" l="1"/>
  <c r="M65" i="156" s="1"/>
  <c r="F32" i="113"/>
  <c r="M66" i="156" s="1"/>
  <c r="F33" i="113"/>
  <c r="M67" i="156" s="1"/>
  <c r="F10" i="79"/>
  <c r="F9" i="79"/>
  <c r="F8" i="79"/>
  <c r="F7" i="79"/>
  <c r="F6" i="79"/>
  <c r="F13" i="79" l="1"/>
  <c r="E12" i="121"/>
  <c r="E11" i="121"/>
  <c r="E10" i="121"/>
  <c r="E9" i="121"/>
  <c r="E8" i="121"/>
  <c r="E7" i="121"/>
  <c r="E6" i="121"/>
  <c r="E5" i="121"/>
  <c r="E4" i="121"/>
  <c r="G12" i="121" l="1"/>
  <c r="G11" i="121"/>
  <c r="G10" i="121"/>
  <c r="G9" i="121"/>
  <c r="G8" i="121"/>
  <c r="G7" i="121"/>
  <c r="G6" i="121"/>
  <c r="G5" i="121"/>
  <c r="G4" i="121"/>
  <c r="E45" i="113" l="1"/>
  <c r="E44" i="113"/>
  <c r="F66" i="113" l="1"/>
  <c r="M66" i="174" s="1"/>
  <c r="F65" i="113"/>
  <c r="M65" i="174" s="1"/>
  <c r="F67" i="113"/>
  <c r="M67" i="174" s="1"/>
  <c r="E32" i="122"/>
  <c r="E33" i="122" l="1"/>
  <c r="C32" i="122"/>
  <c r="C30" i="121" l="1"/>
  <c r="G31" i="121" l="1"/>
  <c r="G30" i="121"/>
  <c r="E31" i="121"/>
  <c r="E30" i="121"/>
  <c r="C31" i="121"/>
  <c r="G16" i="122" l="1"/>
  <c r="C33" i="122"/>
  <c r="I30" i="122"/>
  <c r="I29" i="122"/>
  <c r="I28" i="122"/>
  <c r="I27" i="122"/>
  <c r="I26" i="122"/>
  <c r="I25" i="122"/>
  <c r="I24" i="122"/>
  <c r="I23" i="122"/>
  <c r="I22" i="122"/>
  <c r="I10" i="122"/>
  <c r="I5" i="122"/>
  <c r="L21" i="156" l="1"/>
  <c r="L22" i="156"/>
  <c r="L23" i="156"/>
  <c r="M21" i="156"/>
  <c r="M23" i="156"/>
  <c r="M22" i="156"/>
  <c r="M21" i="174"/>
  <c r="M22" i="174"/>
  <c r="M23" i="174"/>
  <c r="L23" i="174"/>
  <c r="L21" i="174"/>
  <c r="L22" i="174"/>
  <c r="E5" i="114"/>
  <c r="E7" i="114"/>
  <c r="E6" i="114"/>
  <c r="I31" i="123" l="1"/>
  <c r="I30" i="123"/>
  <c r="G31" i="123"/>
  <c r="G30" i="123"/>
  <c r="E31" i="123"/>
  <c r="E30" i="123"/>
  <c r="C31" i="123"/>
  <c r="C30" i="123"/>
  <c r="I28" i="123"/>
  <c r="I27" i="123"/>
  <c r="I26" i="123"/>
  <c r="I25" i="123"/>
  <c r="I24" i="123"/>
  <c r="I23" i="123"/>
  <c r="I22" i="123"/>
  <c r="I21" i="123"/>
  <c r="I20" i="123"/>
  <c r="G28" i="123"/>
  <c r="G27" i="123"/>
  <c r="G26" i="123"/>
  <c r="G25" i="123"/>
  <c r="G24" i="123"/>
  <c r="G23" i="123"/>
  <c r="G22" i="123"/>
  <c r="G21" i="123"/>
  <c r="G20" i="123"/>
  <c r="E28" i="123"/>
  <c r="E27" i="123"/>
  <c r="E26" i="123"/>
  <c r="E25" i="123"/>
  <c r="E24" i="123"/>
  <c r="E23" i="123"/>
  <c r="E22" i="123"/>
  <c r="E21" i="123"/>
  <c r="E20" i="123"/>
  <c r="C28" i="123"/>
  <c r="C27" i="123"/>
  <c r="C26" i="123"/>
  <c r="C25" i="123"/>
  <c r="C24" i="123"/>
  <c r="C23" i="123"/>
  <c r="C22" i="123"/>
  <c r="C21" i="123"/>
  <c r="I15" i="123"/>
  <c r="I14" i="123"/>
  <c r="G15" i="123"/>
  <c r="G14" i="123"/>
  <c r="E15" i="123"/>
  <c r="E14" i="123"/>
  <c r="C15" i="123"/>
  <c r="C14" i="123"/>
  <c r="I12" i="123"/>
  <c r="I11" i="123"/>
  <c r="I10" i="123"/>
  <c r="I9" i="123"/>
  <c r="I8" i="123"/>
  <c r="I7" i="123"/>
  <c r="I6" i="123"/>
  <c r="I5" i="123"/>
  <c r="I4" i="123"/>
  <c r="G12" i="123"/>
  <c r="G11" i="123"/>
  <c r="G10" i="123"/>
  <c r="G9" i="123"/>
  <c r="G8" i="123"/>
  <c r="G7" i="123"/>
  <c r="G6" i="123"/>
  <c r="G5" i="123"/>
  <c r="G4" i="123"/>
  <c r="E12" i="123"/>
  <c r="E11" i="123"/>
  <c r="E10" i="123"/>
  <c r="E9" i="123"/>
  <c r="E8" i="123"/>
  <c r="E7" i="123"/>
  <c r="E6" i="123"/>
  <c r="E5" i="123"/>
  <c r="E4" i="123"/>
  <c r="C12" i="123"/>
  <c r="C11" i="123"/>
  <c r="C10" i="123"/>
  <c r="C9" i="123"/>
  <c r="C8" i="123"/>
  <c r="C7" i="123"/>
  <c r="C6" i="123"/>
  <c r="C5" i="123"/>
  <c r="C4" i="123"/>
  <c r="I33" i="122"/>
  <c r="I32" i="122"/>
  <c r="G33" i="122"/>
  <c r="G32" i="122"/>
  <c r="G30" i="122"/>
  <c r="G29" i="122"/>
  <c r="G28" i="122"/>
  <c r="G27" i="122"/>
  <c r="G26" i="122"/>
  <c r="G25" i="122"/>
  <c r="G24" i="122"/>
  <c r="G23" i="122"/>
  <c r="G22" i="122"/>
  <c r="E30" i="122"/>
  <c r="E29" i="122"/>
  <c r="E28" i="122"/>
  <c r="E27" i="122"/>
  <c r="E26" i="122"/>
  <c r="E25" i="122"/>
  <c r="E24" i="122"/>
  <c r="E23" i="122"/>
  <c r="E22" i="122"/>
  <c r="C30" i="122"/>
  <c r="C29" i="122"/>
  <c r="C28" i="122"/>
  <c r="C27" i="122"/>
  <c r="C26" i="122"/>
  <c r="C25" i="122"/>
  <c r="C24" i="122"/>
  <c r="C23" i="122"/>
  <c r="C22" i="122"/>
  <c r="I16" i="122"/>
  <c r="I15" i="122"/>
  <c r="G15" i="122"/>
  <c r="E16" i="122"/>
  <c r="E15" i="122"/>
  <c r="C16" i="122"/>
  <c r="C15" i="122"/>
  <c r="I13" i="122"/>
  <c r="I12" i="122"/>
  <c r="I11" i="122"/>
  <c r="I9" i="122"/>
  <c r="I8" i="122"/>
  <c r="I7" i="122"/>
  <c r="I6" i="122"/>
  <c r="G13" i="122"/>
  <c r="G12" i="122"/>
  <c r="G11" i="122"/>
  <c r="G10" i="122"/>
  <c r="G9" i="122"/>
  <c r="G8" i="122"/>
  <c r="G7" i="122"/>
  <c r="G6" i="122"/>
  <c r="G5" i="122"/>
  <c r="E13" i="122"/>
  <c r="E12" i="122"/>
  <c r="E11" i="122"/>
  <c r="E10" i="122"/>
  <c r="E9" i="122"/>
  <c r="E8" i="122"/>
  <c r="E7" i="122"/>
  <c r="E6" i="122"/>
  <c r="E5" i="122"/>
  <c r="C13" i="122"/>
  <c r="C12" i="122"/>
  <c r="C11" i="122"/>
  <c r="C10" i="122"/>
  <c r="C9" i="122"/>
  <c r="C8" i="122"/>
  <c r="C7" i="122"/>
  <c r="C6" i="122"/>
  <c r="C5" i="122"/>
  <c r="I31" i="121"/>
  <c r="I30" i="121"/>
  <c r="I28" i="121"/>
  <c r="I27" i="121"/>
  <c r="I26" i="121"/>
  <c r="I25" i="121"/>
  <c r="I24" i="121"/>
  <c r="I23" i="121"/>
  <c r="I22" i="121"/>
  <c r="I21" i="121"/>
  <c r="I20" i="121"/>
  <c r="G20" i="121"/>
  <c r="E28" i="121"/>
  <c r="E27" i="121"/>
  <c r="E26" i="121"/>
  <c r="E25" i="121"/>
  <c r="E24" i="121"/>
  <c r="E23" i="121"/>
  <c r="E22" i="121"/>
  <c r="E21" i="121"/>
  <c r="E20" i="121"/>
  <c r="C28" i="121"/>
  <c r="C27" i="121"/>
  <c r="C26" i="121"/>
  <c r="C25" i="121"/>
  <c r="C24" i="121"/>
  <c r="C23" i="121"/>
  <c r="C22" i="121"/>
  <c r="C21" i="121"/>
  <c r="C20" i="121"/>
  <c r="I15" i="121"/>
  <c r="I14" i="121"/>
  <c r="G15" i="121"/>
  <c r="G14" i="121"/>
  <c r="E15" i="121"/>
  <c r="E14" i="121"/>
  <c r="C15" i="121"/>
  <c r="C14" i="121"/>
  <c r="I12" i="121"/>
  <c r="I11" i="121"/>
  <c r="I10" i="121"/>
  <c r="I9" i="121"/>
  <c r="I8" i="121"/>
  <c r="I7" i="121"/>
  <c r="I6" i="121"/>
  <c r="I5" i="121"/>
  <c r="I4" i="121"/>
  <c r="C12" i="121"/>
  <c r="C11" i="121"/>
  <c r="C10" i="121"/>
  <c r="C9" i="121"/>
  <c r="C8" i="121"/>
  <c r="C7" i="121"/>
  <c r="C6" i="121"/>
  <c r="C5" i="121"/>
  <c r="C4" i="121"/>
  <c r="I66" i="114"/>
  <c r="I65" i="114"/>
  <c r="I64" i="114"/>
  <c r="I63" i="114"/>
  <c r="I62" i="114"/>
  <c r="I61" i="114"/>
  <c r="I60" i="114"/>
  <c r="I59" i="114"/>
  <c r="I58" i="114"/>
  <c r="I57" i="114"/>
  <c r="I56" i="114"/>
  <c r="I55" i="114"/>
  <c r="I54" i="114"/>
  <c r="I53" i="114"/>
  <c r="I52" i="114"/>
  <c r="I51" i="114"/>
  <c r="C66" i="114"/>
  <c r="C65" i="114"/>
  <c r="C64" i="114"/>
  <c r="C63" i="114"/>
  <c r="C62" i="114"/>
  <c r="C61" i="114"/>
  <c r="C60" i="114"/>
  <c r="C59" i="114"/>
  <c r="C58" i="114"/>
  <c r="C57" i="114"/>
  <c r="C56" i="114"/>
  <c r="C55" i="114"/>
  <c r="C54" i="114"/>
  <c r="C53" i="114"/>
  <c r="C52" i="114"/>
  <c r="C51" i="114"/>
  <c r="C50" i="114"/>
  <c r="I47" i="114"/>
  <c r="I46" i="114"/>
  <c r="C47" i="114"/>
  <c r="C46" i="114"/>
  <c r="I42" i="114"/>
  <c r="I41" i="114"/>
  <c r="I40" i="114"/>
  <c r="C42" i="114"/>
  <c r="C41" i="114"/>
  <c r="C40" i="114"/>
  <c r="I31" i="114"/>
  <c r="I30" i="114"/>
  <c r="I29" i="114"/>
  <c r="I28" i="114"/>
  <c r="I27" i="114"/>
  <c r="I26" i="114"/>
  <c r="I25" i="114"/>
  <c r="I24" i="114"/>
  <c r="I23" i="114"/>
  <c r="I22" i="114"/>
  <c r="I21" i="114"/>
  <c r="I20" i="114"/>
  <c r="I19" i="114"/>
  <c r="I18" i="114"/>
  <c r="I17" i="114"/>
  <c r="I16" i="114"/>
  <c r="I15" i="114"/>
  <c r="C31" i="114"/>
  <c r="C30" i="114"/>
  <c r="C29" i="114"/>
  <c r="C28" i="114"/>
  <c r="C27" i="114"/>
  <c r="C26" i="114"/>
  <c r="C25" i="114"/>
  <c r="C24" i="114"/>
  <c r="C23" i="114"/>
  <c r="C22" i="114"/>
  <c r="C21" i="114"/>
  <c r="C20" i="114"/>
  <c r="C19" i="114"/>
  <c r="C18" i="114"/>
  <c r="C17" i="114"/>
  <c r="C16" i="114"/>
  <c r="C15" i="114"/>
  <c r="I12" i="114"/>
  <c r="I11" i="114"/>
  <c r="C12" i="114"/>
  <c r="C11" i="114"/>
  <c r="I7" i="114"/>
  <c r="I6" i="114"/>
  <c r="I5" i="114"/>
  <c r="C7" i="114"/>
  <c r="C6" i="114"/>
  <c r="C5" i="114"/>
  <c r="I64" i="113"/>
  <c r="I63" i="113"/>
  <c r="I62" i="113"/>
  <c r="I61" i="113"/>
  <c r="I60" i="113"/>
  <c r="I59" i="113"/>
  <c r="I58" i="113"/>
  <c r="I57" i="113"/>
  <c r="I56" i="113"/>
  <c r="I55" i="113"/>
  <c r="I54" i="113"/>
  <c r="I53" i="113"/>
  <c r="I52" i="113"/>
  <c r="I51" i="113"/>
  <c r="I50" i="113"/>
  <c r="I49" i="113"/>
  <c r="I48" i="113"/>
  <c r="G64" i="113"/>
  <c r="G63" i="113"/>
  <c r="G62" i="113"/>
  <c r="G61" i="113"/>
  <c r="G60" i="113"/>
  <c r="G59" i="113"/>
  <c r="G58" i="113"/>
  <c r="G57" i="113"/>
  <c r="G56" i="113"/>
  <c r="G55" i="113"/>
  <c r="G54" i="113"/>
  <c r="G53" i="113"/>
  <c r="G52" i="113"/>
  <c r="G51" i="113"/>
  <c r="G50" i="113"/>
  <c r="G49" i="113"/>
  <c r="G48" i="113"/>
  <c r="E64" i="113"/>
  <c r="E63" i="113"/>
  <c r="E62" i="113"/>
  <c r="E61" i="113"/>
  <c r="E60" i="113"/>
  <c r="E59" i="113"/>
  <c r="E58" i="113"/>
  <c r="E57" i="113"/>
  <c r="E56" i="113"/>
  <c r="E55" i="113"/>
  <c r="E54" i="113"/>
  <c r="E53" i="113"/>
  <c r="E52" i="113"/>
  <c r="E51" i="113"/>
  <c r="E50" i="113"/>
  <c r="E49" i="113"/>
  <c r="E48" i="113"/>
  <c r="C64" i="113"/>
  <c r="C63" i="113"/>
  <c r="C62" i="113"/>
  <c r="C61" i="113"/>
  <c r="C60" i="113"/>
  <c r="C59" i="113"/>
  <c r="C58" i="113"/>
  <c r="C57" i="113"/>
  <c r="C56" i="113"/>
  <c r="C55" i="113"/>
  <c r="C54" i="113"/>
  <c r="C53" i="113"/>
  <c r="C52" i="113"/>
  <c r="C51" i="113"/>
  <c r="C50" i="113"/>
  <c r="C49" i="113"/>
  <c r="C48" i="113"/>
  <c r="I45" i="113"/>
  <c r="I44" i="113"/>
  <c r="G45" i="113"/>
  <c r="G44" i="113"/>
  <c r="C45" i="113"/>
  <c r="C44" i="113"/>
  <c r="I40" i="113"/>
  <c r="I39" i="113"/>
  <c r="I38" i="113"/>
  <c r="G40" i="113"/>
  <c r="G39" i="113"/>
  <c r="G38" i="113"/>
  <c r="E40" i="113"/>
  <c r="E39" i="113"/>
  <c r="E38" i="113"/>
  <c r="C40" i="113"/>
  <c r="C39" i="113"/>
  <c r="C38" i="113"/>
  <c r="I30" i="113"/>
  <c r="I29" i="113"/>
  <c r="I28" i="113"/>
  <c r="I27" i="113"/>
  <c r="I26" i="113"/>
  <c r="I25" i="113"/>
  <c r="I24" i="113"/>
  <c r="I23" i="113"/>
  <c r="I22" i="113"/>
  <c r="I21" i="113"/>
  <c r="I20" i="113"/>
  <c r="I19" i="113"/>
  <c r="I18" i="113"/>
  <c r="I17" i="113"/>
  <c r="I16" i="113"/>
  <c r="I15" i="113"/>
  <c r="I14" i="113"/>
  <c r="G30" i="113"/>
  <c r="G29" i="113"/>
  <c r="G28" i="113"/>
  <c r="G27" i="113"/>
  <c r="G26" i="113"/>
  <c r="G25" i="113"/>
  <c r="G24" i="113"/>
  <c r="G23" i="113"/>
  <c r="G22" i="113"/>
  <c r="G21" i="113"/>
  <c r="G20" i="113"/>
  <c r="G19" i="113"/>
  <c r="G18" i="113"/>
  <c r="G17" i="113"/>
  <c r="G16" i="113"/>
  <c r="G15" i="113"/>
  <c r="G14" i="113"/>
  <c r="E30" i="113"/>
  <c r="E29" i="113"/>
  <c r="E28" i="113"/>
  <c r="E27" i="113"/>
  <c r="E26" i="113"/>
  <c r="E25" i="113"/>
  <c r="E24" i="113"/>
  <c r="E23" i="113"/>
  <c r="E22" i="113"/>
  <c r="E21" i="113"/>
  <c r="E20" i="113"/>
  <c r="E19" i="113"/>
  <c r="E18" i="113"/>
  <c r="E17" i="113"/>
  <c r="E16" i="113"/>
  <c r="E15" i="113"/>
  <c r="E14" i="113"/>
  <c r="C30" i="113"/>
  <c r="C29" i="113"/>
  <c r="C28" i="113"/>
  <c r="C27" i="113"/>
  <c r="C26" i="113"/>
  <c r="C25" i="113"/>
  <c r="C24" i="113"/>
  <c r="C23" i="113"/>
  <c r="C22" i="113"/>
  <c r="C21" i="113"/>
  <c r="C20" i="113"/>
  <c r="C19" i="113"/>
  <c r="C18" i="113"/>
  <c r="C17" i="113"/>
  <c r="C16" i="113"/>
  <c r="C15" i="113"/>
  <c r="C14" i="113"/>
  <c r="I11" i="113"/>
  <c r="I10" i="113"/>
  <c r="G11" i="113"/>
  <c r="G10" i="113"/>
  <c r="C11" i="113"/>
  <c r="C10" i="113"/>
  <c r="I6" i="113"/>
  <c r="I5" i="113"/>
  <c r="I4" i="113"/>
  <c r="G6" i="113"/>
  <c r="G5" i="113"/>
  <c r="G4" i="113"/>
  <c r="E6" i="113"/>
  <c r="E5" i="113"/>
  <c r="E4" i="113"/>
  <c r="C6" i="113"/>
  <c r="C5" i="113"/>
  <c r="C4" i="113"/>
  <c r="G28" i="121"/>
  <c r="G27" i="121"/>
  <c r="G26" i="121"/>
  <c r="G25" i="121"/>
  <c r="G24" i="121"/>
  <c r="G23" i="121"/>
  <c r="G22" i="121"/>
  <c r="G21" i="121"/>
  <c r="E11" i="114"/>
  <c r="N51" i="113" l="1"/>
  <c r="N53" i="113"/>
  <c r="N30" i="113"/>
  <c r="N50" i="113"/>
  <c r="N58" i="113"/>
  <c r="N59" i="113"/>
  <c r="N61" i="113"/>
  <c r="D33" i="113"/>
  <c r="L67" i="156" s="1"/>
  <c r="D31" i="113"/>
  <c r="L65" i="156" s="1"/>
  <c r="D32" i="113"/>
  <c r="L66" i="156" s="1"/>
  <c r="H67" i="113"/>
  <c r="N67" i="174" s="1"/>
  <c r="H65" i="113"/>
  <c r="N65" i="174" s="1"/>
  <c r="H66" i="113"/>
  <c r="N66" i="174" s="1"/>
  <c r="N52" i="113"/>
  <c r="N60" i="113"/>
  <c r="J33" i="114"/>
  <c r="J32" i="114"/>
  <c r="J34" i="114"/>
  <c r="D66" i="113"/>
  <c r="L66" i="174" s="1"/>
  <c r="D67" i="113"/>
  <c r="L67" i="174" s="1"/>
  <c r="D65" i="113"/>
  <c r="L65" i="174" s="1"/>
  <c r="H31" i="113"/>
  <c r="N65" i="156" s="1"/>
  <c r="H33" i="113"/>
  <c r="N67" i="156" s="1"/>
  <c r="H32" i="113"/>
  <c r="N66" i="156" s="1"/>
  <c r="J66" i="113"/>
  <c r="O66" i="174" s="1"/>
  <c r="J67" i="113"/>
  <c r="O67" i="174" s="1"/>
  <c r="J65" i="113"/>
  <c r="O65" i="174" s="1"/>
  <c r="N54" i="113"/>
  <c r="N62" i="113"/>
  <c r="N55" i="113"/>
  <c r="N63" i="113"/>
  <c r="J31" i="113"/>
  <c r="O65" i="156" s="1"/>
  <c r="J32" i="113"/>
  <c r="O66" i="156" s="1"/>
  <c r="J33" i="113"/>
  <c r="O67" i="156" s="1"/>
  <c r="N48" i="113"/>
  <c r="N47" i="113"/>
  <c r="N56" i="113"/>
  <c r="N64" i="113"/>
  <c r="D33" i="114"/>
  <c r="D32" i="114"/>
  <c r="D34" i="114"/>
  <c r="F34" i="114"/>
  <c r="F32" i="114"/>
  <c r="F33" i="114"/>
  <c r="N49" i="113"/>
  <c r="N57" i="113"/>
  <c r="J68" i="114"/>
  <c r="J67" i="114"/>
  <c r="J69" i="114"/>
  <c r="D67" i="114"/>
  <c r="D68" i="114"/>
  <c r="D69" i="114"/>
  <c r="K20" i="123"/>
  <c r="I14" i="122"/>
  <c r="J14" i="122" s="1"/>
  <c r="I29" i="121"/>
  <c r="J20" i="121" s="1"/>
  <c r="E50" i="114"/>
  <c r="G50" i="114"/>
  <c r="E51" i="114"/>
  <c r="G51" i="114"/>
  <c r="E52" i="114"/>
  <c r="G52" i="114"/>
  <c r="E53" i="114"/>
  <c r="G53" i="114"/>
  <c r="E54" i="114"/>
  <c r="G54" i="114"/>
  <c r="E55" i="114"/>
  <c r="G55" i="114"/>
  <c r="E56" i="114"/>
  <c r="G56" i="114"/>
  <c r="E57" i="114"/>
  <c r="G57" i="114"/>
  <c r="E58" i="114"/>
  <c r="G58" i="114"/>
  <c r="E59" i="114"/>
  <c r="G59" i="114"/>
  <c r="E60" i="114"/>
  <c r="G60" i="114"/>
  <c r="E61" i="114"/>
  <c r="G61" i="114"/>
  <c r="E62" i="114"/>
  <c r="G62" i="114"/>
  <c r="E63" i="114"/>
  <c r="G63" i="114"/>
  <c r="E64" i="114"/>
  <c r="G64" i="114"/>
  <c r="E65" i="114"/>
  <c r="G65" i="114"/>
  <c r="E66" i="114"/>
  <c r="G66" i="114"/>
  <c r="E46" i="114"/>
  <c r="G46" i="114"/>
  <c r="E47" i="114"/>
  <c r="G47" i="114"/>
  <c r="E40" i="114"/>
  <c r="G40" i="114"/>
  <c r="E41" i="114"/>
  <c r="G41" i="114"/>
  <c r="E42" i="114"/>
  <c r="G42" i="114"/>
  <c r="E15" i="114"/>
  <c r="F15" i="114" s="1"/>
  <c r="G15" i="114"/>
  <c r="E16" i="114"/>
  <c r="G16" i="114"/>
  <c r="E17" i="114"/>
  <c r="G17" i="114"/>
  <c r="E18" i="114"/>
  <c r="G18" i="114"/>
  <c r="E19" i="114"/>
  <c r="G19" i="114"/>
  <c r="E20" i="114"/>
  <c r="G20" i="114"/>
  <c r="E21" i="114"/>
  <c r="G21" i="114"/>
  <c r="E22" i="114"/>
  <c r="G22" i="114"/>
  <c r="E23" i="114"/>
  <c r="G23" i="114"/>
  <c r="E24" i="114"/>
  <c r="G24" i="114"/>
  <c r="E25" i="114"/>
  <c r="G25" i="114"/>
  <c r="E26" i="114"/>
  <c r="G26" i="114"/>
  <c r="E27" i="114"/>
  <c r="G27" i="114"/>
  <c r="E28" i="114"/>
  <c r="G28" i="114"/>
  <c r="E29" i="114"/>
  <c r="G29" i="114"/>
  <c r="E30" i="114"/>
  <c r="G30" i="114"/>
  <c r="E31" i="114"/>
  <c r="G31" i="114"/>
  <c r="G11" i="114"/>
  <c r="E12" i="114"/>
  <c r="G12" i="114"/>
  <c r="G5" i="114"/>
  <c r="G6" i="114"/>
  <c r="G7" i="114"/>
  <c r="J49" i="113"/>
  <c r="O49" i="174" s="1"/>
  <c r="J45" i="113"/>
  <c r="J15" i="113"/>
  <c r="O49" i="156" s="1"/>
  <c r="J11" i="113"/>
  <c r="C7" i="113"/>
  <c r="I41" i="113"/>
  <c r="J38" i="113" s="1"/>
  <c r="N18" i="114" l="1"/>
  <c r="N66" i="114"/>
  <c r="N28" i="114"/>
  <c r="N62" i="114"/>
  <c r="N26" i="114"/>
  <c r="N17" i="114"/>
  <c r="N60" i="114"/>
  <c r="N22" i="114"/>
  <c r="N59" i="114"/>
  <c r="N19" i="114"/>
  <c r="N23" i="114"/>
  <c r="N52" i="114"/>
  <c r="N58" i="114"/>
  <c r="N54" i="114"/>
  <c r="N48" i="114"/>
  <c r="N27" i="114"/>
  <c r="N64" i="114"/>
  <c r="N25" i="114"/>
  <c r="N31" i="114"/>
  <c r="N56" i="114"/>
  <c r="N30" i="114"/>
  <c r="N29" i="114"/>
  <c r="N21" i="114"/>
  <c r="N24" i="114"/>
  <c r="N20" i="114"/>
  <c r="N16" i="114"/>
  <c r="N65" i="114"/>
  <c r="N61" i="114"/>
  <c r="N57" i="114"/>
  <c r="N63" i="114"/>
  <c r="N55" i="114"/>
  <c r="N51" i="114"/>
  <c r="N15" i="114"/>
  <c r="H34" i="114"/>
  <c r="H33" i="114"/>
  <c r="H32" i="114"/>
  <c r="N53" i="114"/>
  <c r="N39" i="114"/>
  <c r="N50" i="114"/>
  <c r="F52" i="114"/>
  <c r="F68" i="114"/>
  <c r="F69" i="114"/>
  <c r="F67" i="114"/>
  <c r="H68" i="114"/>
  <c r="H69" i="114"/>
  <c r="H67" i="114"/>
  <c r="G8" i="114"/>
  <c r="H5" i="114" s="1"/>
  <c r="J16" i="122"/>
  <c r="J31" i="121"/>
  <c r="K4" i="123"/>
  <c r="K5" i="122"/>
  <c r="K13" i="122"/>
  <c r="K26" i="121"/>
  <c r="K20" i="121"/>
  <c r="K10" i="121"/>
  <c r="F46" i="114"/>
  <c r="F11" i="114"/>
  <c r="J52" i="113"/>
  <c r="O52" i="174" s="1"/>
  <c r="J50" i="113"/>
  <c r="O50" i="174" s="1"/>
  <c r="H57" i="113"/>
  <c r="N57" i="174" s="1"/>
  <c r="H55" i="113"/>
  <c r="N55" i="174" s="1"/>
  <c r="H21" i="113"/>
  <c r="N55" i="156" s="1"/>
  <c r="E13" i="123"/>
  <c r="F4" i="123" s="1"/>
  <c r="E31" i="122"/>
  <c r="F31" i="122" s="1"/>
  <c r="K22" i="122"/>
  <c r="I31" i="122"/>
  <c r="J31" i="122" s="1"/>
  <c r="K26" i="122"/>
  <c r="K24" i="122"/>
  <c r="K11" i="122"/>
  <c r="K7" i="122"/>
  <c r="E14" i="122"/>
  <c r="F14" i="122" s="1"/>
  <c r="K9" i="122"/>
  <c r="K22" i="121"/>
  <c r="K21" i="121"/>
  <c r="K24" i="121"/>
  <c r="I13" i="121"/>
  <c r="J4" i="121" s="1"/>
  <c r="K4" i="121"/>
  <c r="K8" i="121"/>
  <c r="K6" i="121"/>
  <c r="F22" i="114"/>
  <c r="F65" i="114"/>
  <c r="F61" i="114"/>
  <c r="F55" i="114"/>
  <c r="I43" i="114"/>
  <c r="J41" i="114" s="1"/>
  <c r="F18" i="114"/>
  <c r="F30" i="114"/>
  <c r="F26" i="114"/>
  <c r="J63" i="114"/>
  <c r="J59" i="114"/>
  <c r="J51" i="114"/>
  <c r="J66" i="114"/>
  <c r="F64" i="114"/>
  <c r="J62" i="114"/>
  <c r="F60" i="114"/>
  <c r="J58" i="114"/>
  <c r="J57" i="114"/>
  <c r="F53" i="114"/>
  <c r="J50" i="114"/>
  <c r="J52" i="114"/>
  <c r="J65" i="114"/>
  <c r="F63" i="114"/>
  <c r="J61" i="114"/>
  <c r="F59" i="114"/>
  <c r="J56" i="114"/>
  <c r="J55" i="114"/>
  <c r="F51" i="114"/>
  <c r="F66" i="114"/>
  <c r="J64" i="114"/>
  <c r="F62" i="114"/>
  <c r="J60" i="114"/>
  <c r="F57" i="114"/>
  <c r="J54" i="114"/>
  <c r="J53" i="114"/>
  <c r="F50" i="114"/>
  <c r="F47" i="114"/>
  <c r="J47" i="114"/>
  <c r="J46" i="114"/>
  <c r="J24" i="114"/>
  <c r="J20" i="114"/>
  <c r="J31" i="114"/>
  <c r="F29" i="114"/>
  <c r="J27" i="114"/>
  <c r="F25" i="114"/>
  <c r="J23" i="114"/>
  <c r="F21" i="114"/>
  <c r="J19" i="114"/>
  <c r="F17" i="114"/>
  <c r="J15" i="114"/>
  <c r="J28" i="114"/>
  <c r="J16" i="114"/>
  <c r="J30" i="114"/>
  <c r="F28" i="114"/>
  <c r="J26" i="114"/>
  <c r="F24" i="114"/>
  <c r="J22" i="114"/>
  <c r="F20" i="114"/>
  <c r="J18" i="114"/>
  <c r="F16" i="114"/>
  <c r="F31" i="114"/>
  <c r="J29" i="114"/>
  <c r="F27" i="114"/>
  <c r="J25" i="114"/>
  <c r="F23" i="114"/>
  <c r="J21" i="114"/>
  <c r="F19" i="114"/>
  <c r="J17" i="114"/>
  <c r="F12" i="114"/>
  <c r="E8" i="114"/>
  <c r="F6" i="114" s="1"/>
  <c r="I8" i="114"/>
  <c r="J5" i="114" s="1"/>
  <c r="J12" i="114"/>
  <c r="J11" i="114"/>
  <c r="J64" i="113"/>
  <c r="O64" i="174" s="1"/>
  <c r="J62" i="113"/>
  <c r="O62" i="174" s="1"/>
  <c r="H53" i="113"/>
  <c r="N53" i="174" s="1"/>
  <c r="H51" i="113"/>
  <c r="N51" i="174" s="1"/>
  <c r="J48" i="113"/>
  <c r="O48" i="174" s="1"/>
  <c r="H63" i="113"/>
  <c r="N63" i="174" s="1"/>
  <c r="J60" i="113"/>
  <c r="O60" i="174" s="1"/>
  <c r="J58" i="113"/>
  <c r="O58" i="174" s="1"/>
  <c r="H49" i="113"/>
  <c r="N49" i="174" s="1"/>
  <c r="H61" i="113"/>
  <c r="N61" i="174" s="1"/>
  <c r="H59" i="113"/>
  <c r="N59" i="174" s="1"/>
  <c r="J56" i="113"/>
  <c r="O56" i="174" s="1"/>
  <c r="J54" i="113"/>
  <c r="O54" i="174" s="1"/>
  <c r="F48" i="113"/>
  <c r="M48" i="174" s="1"/>
  <c r="D64" i="113"/>
  <c r="L64" i="174" s="1"/>
  <c r="F63" i="113"/>
  <c r="M63" i="174" s="1"/>
  <c r="D62" i="113"/>
  <c r="L62" i="174" s="1"/>
  <c r="F61" i="113"/>
  <c r="M61" i="174" s="1"/>
  <c r="D60" i="113"/>
  <c r="L60" i="174" s="1"/>
  <c r="F59" i="113"/>
  <c r="M59" i="174" s="1"/>
  <c r="D58" i="113"/>
  <c r="L58" i="174" s="1"/>
  <c r="F57" i="113"/>
  <c r="M57" i="174" s="1"/>
  <c r="D56" i="113"/>
  <c r="L56" i="174" s="1"/>
  <c r="F55" i="113"/>
  <c r="M55" i="174" s="1"/>
  <c r="D54" i="113"/>
  <c r="L54" i="174" s="1"/>
  <c r="F53" i="113"/>
  <c r="M53" i="174" s="1"/>
  <c r="D52" i="113"/>
  <c r="L52" i="174" s="1"/>
  <c r="F51" i="113"/>
  <c r="M51" i="174" s="1"/>
  <c r="D50" i="113"/>
  <c r="L50" i="174" s="1"/>
  <c r="F49" i="113"/>
  <c r="M49" i="174" s="1"/>
  <c r="D48" i="113"/>
  <c r="L48" i="174" s="1"/>
  <c r="H64" i="113"/>
  <c r="N64" i="174" s="1"/>
  <c r="J63" i="113"/>
  <c r="O63" i="174" s="1"/>
  <c r="H62" i="113"/>
  <c r="N62" i="174" s="1"/>
  <c r="J61" i="113"/>
  <c r="O61" i="174" s="1"/>
  <c r="H60" i="113"/>
  <c r="N60" i="174" s="1"/>
  <c r="J59" i="113"/>
  <c r="O59" i="174" s="1"/>
  <c r="H58" i="113"/>
  <c r="N58" i="174" s="1"/>
  <c r="J57" i="113"/>
  <c r="O57" i="174" s="1"/>
  <c r="H56" i="113"/>
  <c r="N56" i="174" s="1"/>
  <c r="J55" i="113"/>
  <c r="O55" i="174" s="1"/>
  <c r="H54" i="113"/>
  <c r="N54" i="174" s="1"/>
  <c r="J53" i="113"/>
  <c r="O53" i="174" s="1"/>
  <c r="H52" i="113"/>
  <c r="N52" i="174" s="1"/>
  <c r="J51" i="113"/>
  <c r="O51" i="174" s="1"/>
  <c r="H50" i="113"/>
  <c r="N50" i="174" s="1"/>
  <c r="H48" i="113"/>
  <c r="N48" i="174" s="1"/>
  <c r="F44" i="113"/>
  <c r="F64" i="113"/>
  <c r="M64" i="174" s="1"/>
  <c r="D63" i="113"/>
  <c r="L63" i="174" s="1"/>
  <c r="F62" i="113"/>
  <c r="M62" i="174" s="1"/>
  <c r="D61" i="113"/>
  <c r="L61" i="174" s="1"/>
  <c r="F60" i="113"/>
  <c r="M60" i="174" s="1"/>
  <c r="D59" i="113"/>
  <c r="L59" i="174" s="1"/>
  <c r="F58" i="113"/>
  <c r="M58" i="174" s="1"/>
  <c r="D57" i="113"/>
  <c r="L57" i="174" s="1"/>
  <c r="F56" i="113"/>
  <c r="M56" i="174" s="1"/>
  <c r="D55" i="113"/>
  <c r="L55" i="174" s="1"/>
  <c r="F54" i="113"/>
  <c r="M54" i="174" s="1"/>
  <c r="D53" i="113"/>
  <c r="L53" i="174" s="1"/>
  <c r="F52" i="113"/>
  <c r="M52" i="174" s="1"/>
  <c r="D51" i="113"/>
  <c r="L51" i="174" s="1"/>
  <c r="F50" i="113"/>
  <c r="M50" i="174" s="1"/>
  <c r="D49" i="113"/>
  <c r="L49" i="174" s="1"/>
  <c r="H45" i="113"/>
  <c r="J44" i="113"/>
  <c r="F45" i="113"/>
  <c r="D44" i="113"/>
  <c r="J40" i="113"/>
  <c r="J39" i="113"/>
  <c r="H44" i="113"/>
  <c r="D45" i="113"/>
  <c r="J28" i="113"/>
  <c r="O62" i="156" s="1"/>
  <c r="J16" i="113"/>
  <c r="O50" i="156" s="1"/>
  <c r="H29" i="113"/>
  <c r="N63" i="156" s="1"/>
  <c r="J26" i="113"/>
  <c r="O60" i="156" s="1"/>
  <c r="J24" i="113"/>
  <c r="O58" i="156" s="1"/>
  <c r="H19" i="113"/>
  <c r="N53" i="156" s="1"/>
  <c r="H17" i="113"/>
  <c r="N51" i="156" s="1"/>
  <c r="J14" i="113"/>
  <c r="O48" i="156" s="1"/>
  <c r="H27" i="113"/>
  <c r="N61" i="156" s="1"/>
  <c r="H25" i="113"/>
  <c r="N59" i="156" s="1"/>
  <c r="J22" i="113"/>
  <c r="O56" i="156" s="1"/>
  <c r="H15" i="113"/>
  <c r="N49" i="156" s="1"/>
  <c r="J30" i="113"/>
  <c r="O64" i="156" s="1"/>
  <c r="J18" i="113"/>
  <c r="O52" i="156" s="1"/>
  <c r="H23" i="113"/>
  <c r="N57" i="156" s="1"/>
  <c r="J20" i="113"/>
  <c r="O54" i="156" s="1"/>
  <c r="F14" i="113"/>
  <c r="M48" i="156" s="1"/>
  <c r="D30" i="113"/>
  <c r="L64" i="156" s="1"/>
  <c r="F29" i="113"/>
  <c r="M63" i="156" s="1"/>
  <c r="D28" i="113"/>
  <c r="L62" i="156" s="1"/>
  <c r="F27" i="113"/>
  <c r="M61" i="156" s="1"/>
  <c r="D26" i="113"/>
  <c r="L60" i="156" s="1"/>
  <c r="F25" i="113"/>
  <c r="M59" i="156" s="1"/>
  <c r="D24" i="113"/>
  <c r="L58" i="156" s="1"/>
  <c r="F23" i="113"/>
  <c r="M57" i="156" s="1"/>
  <c r="D22" i="113"/>
  <c r="L56" i="156" s="1"/>
  <c r="F21" i="113"/>
  <c r="M55" i="156" s="1"/>
  <c r="D20" i="113"/>
  <c r="L54" i="156" s="1"/>
  <c r="F19" i="113"/>
  <c r="M53" i="156" s="1"/>
  <c r="D18" i="113"/>
  <c r="L52" i="156" s="1"/>
  <c r="F17" i="113"/>
  <c r="M51" i="156" s="1"/>
  <c r="D16" i="113"/>
  <c r="L50" i="156" s="1"/>
  <c r="F15" i="113"/>
  <c r="M49" i="156" s="1"/>
  <c r="D14" i="113"/>
  <c r="L48" i="156" s="1"/>
  <c r="H30" i="113"/>
  <c r="N64" i="156" s="1"/>
  <c r="J29" i="113"/>
  <c r="O63" i="156" s="1"/>
  <c r="H28" i="113"/>
  <c r="N62" i="156" s="1"/>
  <c r="J27" i="113"/>
  <c r="O61" i="156" s="1"/>
  <c r="H26" i="113"/>
  <c r="N60" i="156" s="1"/>
  <c r="J25" i="113"/>
  <c r="O59" i="156" s="1"/>
  <c r="H24" i="113"/>
  <c r="N58" i="156" s="1"/>
  <c r="J23" i="113"/>
  <c r="O57" i="156" s="1"/>
  <c r="H22" i="113"/>
  <c r="N56" i="156" s="1"/>
  <c r="J21" i="113"/>
  <c r="O55" i="156" s="1"/>
  <c r="H20" i="113"/>
  <c r="N54" i="156" s="1"/>
  <c r="J19" i="113"/>
  <c r="O53" i="156" s="1"/>
  <c r="H18" i="113"/>
  <c r="N52" i="156" s="1"/>
  <c r="J17" i="113"/>
  <c r="O51" i="156" s="1"/>
  <c r="H16" i="113"/>
  <c r="N50" i="156" s="1"/>
  <c r="H14" i="113"/>
  <c r="N48" i="156" s="1"/>
  <c r="F30" i="113"/>
  <c r="M64" i="156" s="1"/>
  <c r="D29" i="113"/>
  <c r="L63" i="156" s="1"/>
  <c r="F28" i="113"/>
  <c r="M62" i="156" s="1"/>
  <c r="D27" i="113"/>
  <c r="L61" i="156" s="1"/>
  <c r="F26" i="113"/>
  <c r="M60" i="156" s="1"/>
  <c r="D25" i="113"/>
  <c r="L59" i="156" s="1"/>
  <c r="F24" i="113"/>
  <c r="M58" i="156" s="1"/>
  <c r="D23" i="113"/>
  <c r="L57" i="156" s="1"/>
  <c r="F22" i="113"/>
  <c r="M56" i="156" s="1"/>
  <c r="D21" i="113"/>
  <c r="L55" i="156" s="1"/>
  <c r="F20" i="113"/>
  <c r="M54" i="156" s="1"/>
  <c r="D19" i="113"/>
  <c r="L53" i="156" s="1"/>
  <c r="F18" i="113"/>
  <c r="M52" i="156" s="1"/>
  <c r="D17" i="113"/>
  <c r="L51" i="156" s="1"/>
  <c r="F16" i="113"/>
  <c r="M50" i="156" s="1"/>
  <c r="D15" i="113"/>
  <c r="L49" i="156" s="1"/>
  <c r="J10" i="113"/>
  <c r="H11" i="113"/>
  <c r="E7" i="113"/>
  <c r="F5" i="113" s="1"/>
  <c r="D6" i="113"/>
  <c r="D5" i="113"/>
  <c r="D4" i="113"/>
  <c r="F11" i="113"/>
  <c r="D10" i="113"/>
  <c r="H10" i="113"/>
  <c r="D11" i="113"/>
  <c r="F10" i="113"/>
  <c r="D11" i="114"/>
  <c r="D27" i="114"/>
  <c r="D21" i="114"/>
  <c r="D19" i="114"/>
  <c r="D46" i="114"/>
  <c r="D66" i="114"/>
  <c r="D56" i="114"/>
  <c r="D54" i="114"/>
  <c r="D52" i="114"/>
  <c r="D50" i="114"/>
  <c r="H11" i="114"/>
  <c r="H31" i="114"/>
  <c r="H29" i="114"/>
  <c r="H27" i="114"/>
  <c r="H25" i="114"/>
  <c r="H23" i="114"/>
  <c r="H21" i="114"/>
  <c r="H19" i="114"/>
  <c r="H17" i="114"/>
  <c r="H15" i="114"/>
  <c r="H46" i="114"/>
  <c r="H66" i="114"/>
  <c r="H64" i="114"/>
  <c r="H62" i="114"/>
  <c r="H60" i="114"/>
  <c r="H58" i="114"/>
  <c r="H56" i="114"/>
  <c r="H54" i="114"/>
  <c r="H52" i="114"/>
  <c r="H50" i="114"/>
  <c r="D25" i="114"/>
  <c r="D15" i="114"/>
  <c r="D64" i="114"/>
  <c r="D62" i="114"/>
  <c r="D58" i="114"/>
  <c r="C43" i="114"/>
  <c r="D30" i="114"/>
  <c r="D28" i="114"/>
  <c r="D24" i="114"/>
  <c r="D20" i="114"/>
  <c r="D18" i="114"/>
  <c r="D16" i="114"/>
  <c r="D47" i="114"/>
  <c r="D65" i="114"/>
  <c r="D63" i="114"/>
  <c r="D61" i="114"/>
  <c r="D59" i="114"/>
  <c r="F58" i="114"/>
  <c r="D57" i="114"/>
  <c r="F56" i="114"/>
  <c r="D55" i="114"/>
  <c r="F54" i="114"/>
  <c r="D53" i="114"/>
  <c r="D51" i="114"/>
  <c r="D31" i="114"/>
  <c r="D29" i="114"/>
  <c r="D23" i="114"/>
  <c r="D17" i="114"/>
  <c r="D60" i="114"/>
  <c r="C8" i="114"/>
  <c r="D6" i="114" s="1"/>
  <c r="D12" i="114"/>
  <c r="D26" i="114"/>
  <c r="D22" i="114"/>
  <c r="H12" i="114"/>
  <c r="H30" i="114"/>
  <c r="H28" i="114"/>
  <c r="H26" i="114"/>
  <c r="H24" i="114"/>
  <c r="H22" i="114"/>
  <c r="H20" i="114"/>
  <c r="H18" i="114"/>
  <c r="H16" i="114"/>
  <c r="H47" i="114"/>
  <c r="H65" i="114"/>
  <c r="H63" i="114"/>
  <c r="H61" i="114"/>
  <c r="H59" i="114"/>
  <c r="H57" i="114"/>
  <c r="H55" i="114"/>
  <c r="H53" i="114"/>
  <c r="H51" i="114"/>
  <c r="K30" i="121"/>
  <c r="E29" i="121"/>
  <c r="F20" i="121" s="1"/>
  <c r="J21" i="121"/>
  <c r="J23" i="121"/>
  <c r="K5" i="121"/>
  <c r="J27" i="121"/>
  <c r="E13" i="121"/>
  <c r="F4" i="121" s="1"/>
  <c r="K12" i="121"/>
  <c r="K28" i="121"/>
  <c r="J25" i="121"/>
  <c r="J8" i="122"/>
  <c r="J10" i="122"/>
  <c r="J6" i="122"/>
  <c r="K23" i="122"/>
  <c r="J12" i="122"/>
  <c r="K30" i="123"/>
  <c r="K6" i="123"/>
  <c r="K24" i="123"/>
  <c r="K22" i="123"/>
  <c r="K8" i="123"/>
  <c r="K26" i="123"/>
  <c r="K14" i="123"/>
  <c r="I13" i="123"/>
  <c r="J10" i="123" s="1"/>
  <c r="I29" i="123"/>
  <c r="J26" i="123" s="1"/>
  <c r="E29" i="123"/>
  <c r="F20" i="123" s="1"/>
  <c r="K28" i="123"/>
  <c r="K31" i="123"/>
  <c r="K27" i="123"/>
  <c r="K23" i="123"/>
  <c r="G29" i="123"/>
  <c r="H30" i="123" s="1"/>
  <c r="C29" i="123"/>
  <c r="D26" i="123" s="1"/>
  <c r="K25" i="123"/>
  <c r="K21" i="123"/>
  <c r="K10" i="123"/>
  <c r="G13" i="123"/>
  <c r="H4" i="123" s="1"/>
  <c r="C13" i="123"/>
  <c r="D4" i="123" s="1"/>
  <c r="K9" i="123"/>
  <c r="K5" i="123"/>
  <c r="K12" i="123"/>
  <c r="K15" i="123"/>
  <c r="K11" i="123"/>
  <c r="K7" i="123"/>
  <c r="K30" i="122"/>
  <c r="C31" i="122"/>
  <c r="K27" i="122"/>
  <c r="K32" i="122"/>
  <c r="K28" i="122"/>
  <c r="K33" i="122"/>
  <c r="G31" i="122"/>
  <c r="H30" i="122" s="1"/>
  <c r="K29" i="122"/>
  <c r="K25" i="122"/>
  <c r="K15" i="122"/>
  <c r="J15" i="122"/>
  <c r="J13" i="122"/>
  <c r="J11" i="122"/>
  <c r="C14" i="122"/>
  <c r="D11" i="122" s="1"/>
  <c r="K12" i="122"/>
  <c r="K8" i="122"/>
  <c r="K6" i="122"/>
  <c r="J9" i="122"/>
  <c r="J7" i="122"/>
  <c r="J5" i="122"/>
  <c r="K16" i="122"/>
  <c r="G14" i="122"/>
  <c r="H7" i="122" s="1"/>
  <c r="K10" i="122"/>
  <c r="G29" i="121"/>
  <c r="H24" i="121" s="1"/>
  <c r="C29" i="121"/>
  <c r="D22" i="121" s="1"/>
  <c r="K25" i="121"/>
  <c r="J30" i="121"/>
  <c r="J28" i="121"/>
  <c r="J26" i="121"/>
  <c r="J24" i="121"/>
  <c r="J22" i="121"/>
  <c r="K31" i="121"/>
  <c r="K27" i="121"/>
  <c r="K23" i="121"/>
  <c r="G13" i="121"/>
  <c r="H6" i="121" s="1"/>
  <c r="C13" i="121"/>
  <c r="K9" i="121"/>
  <c r="K7" i="121"/>
  <c r="K14" i="121"/>
  <c r="K15" i="121"/>
  <c r="K11" i="121"/>
  <c r="E43" i="114"/>
  <c r="F41" i="114" s="1"/>
  <c r="G43" i="114"/>
  <c r="H42" i="114" s="1"/>
  <c r="C41" i="113"/>
  <c r="D40" i="113" s="1"/>
  <c r="I7" i="113"/>
  <c r="J6" i="113" s="1"/>
  <c r="G41" i="113"/>
  <c r="H40" i="113" s="1"/>
  <c r="G7" i="113"/>
  <c r="H6" i="113" s="1"/>
  <c r="E41" i="113"/>
  <c r="F38" i="113" s="1"/>
  <c r="J34" i="155"/>
  <c r="H7" i="114" l="1"/>
  <c r="H6" i="114"/>
  <c r="J29" i="122"/>
  <c r="D14" i="121"/>
  <c r="D8" i="121"/>
  <c r="F15" i="123"/>
  <c r="F25" i="122"/>
  <c r="J32" i="122"/>
  <c r="J33" i="122"/>
  <c r="D41" i="114"/>
  <c r="N42" i="114"/>
  <c r="F23" i="122"/>
  <c r="J22" i="122"/>
  <c r="J23" i="122"/>
  <c r="J25" i="122"/>
  <c r="J27" i="122"/>
  <c r="J26" i="122"/>
  <c r="J24" i="122"/>
  <c r="J28" i="122"/>
  <c r="J30" i="122"/>
  <c r="F8" i="123"/>
  <c r="F10" i="123"/>
  <c r="F9" i="123"/>
  <c r="J14" i="123"/>
  <c r="F14" i="121"/>
  <c r="J11" i="121"/>
  <c r="F6" i="121"/>
  <c r="F10" i="121"/>
  <c r="F5" i="114"/>
  <c r="F7" i="114"/>
  <c r="F15" i="122"/>
  <c r="F6" i="122"/>
  <c r="F10" i="122"/>
  <c r="F9" i="122"/>
  <c r="F16" i="122"/>
  <c r="F6" i="113"/>
  <c r="F24" i="123"/>
  <c r="J8" i="123"/>
  <c r="D12" i="121"/>
  <c r="H28" i="121"/>
  <c r="F22" i="123"/>
  <c r="F12" i="123"/>
  <c r="F11" i="123"/>
  <c r="F14" i="123"/>
  <c r="F7" i="123"/>
  <c r="F6" i="123"/>
  <c r="F5" i="123"/>
  <c r="F26" i="122"/>
  <c r="F29" i="122"/>
  <c r="F32" i="122"/>
  <c r="F27" i="122"/>
  <c r="F24" i="122"/>
  <c r="F30" i="122"/>
  <c r="F28" i="122"/>
  <c r="F13" i="122"/>
  <c r="F12" i="122"/>
  <c r="H20" i="121"/>
  <c r="H30" i="121"/>
  <c r="K29" i="121"/>
  <c r="L24" i="121" s="1"/>
  <c r="J10" i="121"/>
  <c r="J7" i="121"/>
  <c r="J5" i="121"/>
  <c r="J6" i="121"/>
  <c r="J14" i="121"/>
  <c r="J42" i="114"/>
  <c r="J30" i="123"/>
  <c r="J20" i="123"/>
  <c r="J22" i="123"/>
  <c r="J21" i="123"/>
  <c r="J24" i="123"/>
  <c r="F30" i="123"/>
  <c r="F27" i="123"/>
  <c r="F22" i="122"/>
  <c r="F33" i="122"/>
  <c r="F5" i="122"/>
  <c r="F8" i="122"/>
  <c r="F11" i="122"/>
  <c r="F7" i="122"/>
  <c r="D20" i="121"/>
  <c r="F22" i="121"/>
  <c r="F26" i="121"/>
  <c r="F30" i="121"/>
  <c r="H22" i="121"/>
  <c r="F23" i="121"/>
  <c r="F25" i="121"/>
  <c r="J29" i="121"/>
  <c r="F24" i="121"/>
  <c r="F28" i="121"/>
  <c r="F21" i="121"/>
  <c r="F31" i="121"/>
  <c r="F8" i="121"/>
  <c r="F12" i="121"/>
  <c r="F11" i="121"/>
  <c r="F15" i="121"/>
  <c r="J8" i="121"/>
  <c r="J12" i="121"/>
  <c r="H10" i="121"/>
  <c r="J15" i="121"/>
  <c r="J9" i="121"/>
  <c r="J40" i="114"/>
  <c r="J6" i="114"/>
  <c r="J7" i="114"/>
  <c r="D38" i="113"/>
  <c r="F40" i="113"/>
  <c r="F4" i="113"/>
  <c r="H5" i="113"/>
  <c r="D42" i="114"/>
  <c r="D40" i="114"/>
  <c r="D7" i="114"/>
  <c r="F42" i="114"/>
  <c r="D5" i="114"/>
  <c r="H14" i="121"/>
  <c r="H4" i="121"/>
  <c r="F5" i="121"/>
  <c r="D4" i="121"/>
  <c r="F7" i="121"/>
  <c r="H8" i="121"/>
  <c r="F9" i="121"/>
  <c r="F27" i="121"/>
  <c r="D15" i="122"/>
  <c r="D7" i="122"/>
  <c r="J28" i="123"/>
  <c r="F25" i="123"/>
  <c r="F21" i="123"/>
  <c r="H12" i="123"/>
  <c r="J5" i="123"/>
  <c r="J15" i="123"/>
  <c r="J11" i="123"/>
  <c r="D6" i="123"/>
  <c r="J9" i="123"/>
  <c r="D14" i="123"/>
  <c r="J4" i="123"/>
  <c r="J12" i="123"/>
  <c r="H6" i="123"/>
  <c r="J7" i="123"/>
  <c r="J6" i="123"/>
  <c r="H14" i="123"/>
  <c r="J25" i="123"/>
  <c r="J31" i="123"/>
  <c r="F23" i="123"/>
  <c r="F28" i="123"/>
  <c r="F26" i="123"/>
  <c r="D22" i="123"/>
  <c r="J23" i="123"/>
  <c r="J27" i="123"/>
  <c r="F31" i="123"/>
  <c r="H21" i="123"/>
  <c r="H27" i="123"/>
  <c r="H31" i="123"/>
  <c r="H23" i="123"/>
  <c r="H25" i="123"/>
  <c r="K29" i="123"/>
  <c r="L21" i="123" s="1"/>
  <c r="H24" i="123"/>
  <c r="H20" i="123"/>
  <c r="D28" i="123"/>
  <c r="D24" i="123"/>
  <c r="H26" i="123"/>
  <c r="H28" i="123"/>
  <c r="H22" i="123"/>
  <c r="D23" i="123"/>
  <c r="D25" i="123"/>
  <c r="D21" i="123"/>
  <c r="D27" i="123"/>
  <c r="D31" i="123"/>
  <c r="D20" i="123"/>
  <c r="D30" i="123"/>
  <c r="K13" i="123"/>
  <c r="L5" i="123" s="1"/>
  <c r="D5" i="123"/>
  <c r="D7" i="123"/>
  <c r="D9" i="123"/>
  <c r="D15" i="123"/>
  <c r="D11" i="123"/>
  <c r="H8" i="123"/>
  <c r="D12" i="123"/>
  <c r="H5" i="123"/>
  <c r="H7" i="123"/>
  <c r="H11" i="123"/>
  <c r="H9" i="123"/>
  <c r="H15" i="123"/>
  <c r="D10" i="123"/>
  <c r="H10" i="123"/>
  <c r="D8" i="123"/>
  <c r="D23" i="122"/>
  <c r="D25" i="122"/>
  <c r="D27" i="122"/>
  <c r="D31" i="122"/>
  <c r="D29" i="122"/>
  <c r="D33" i="122"/>
  <c r="H26" i="122"/>
  <c r="D26" i="122"/>
  <c r="H24" i="122"/>
  <c r="H23" i="122"/>
  <c r="H25" i="122"/>
  <c r="H29" i="122"/>
  <c r="H33" i="122"/>
  <c r="H27" i="122"/>
  <c r="H31" i="122"/>
  <c r="D30" i="122"/>
  <c r="H22" i="122"/>
  <c r="K31" i="122"/>
  <c r="H28" i="122"/>
  <c r="D22" i="122"/>
  <c r="D28" i="122"/>
  <c r="D24" i="122"/>
  <c r="D32" i="122"/>
  <c r="H32" i="122"/>
  <c r="H15" i="122"/>
  <c r="H9" i="122"/>
  <c r="D13" i="122"/>
  <c r="D9" i="122"/>
  <c r="H10" i="122"/>
  <c r="H12" i="122"/>
  <c r="H14" i="122"/>
  <c r="H6" i="122"/>
  <c r="H8" i="122"/>
  <c r="H16" i="122"/>
  <c r="K14" i="122"/>
  <c r="L15" i="122" s="1"/>
  <c r="H13" i="122"/>
  <c r="H5" i="122"/>
  <c r="D6" i="122"/>
  <c r="D8" i="122"/>
  <c r="D12" i="122"/>
  <c r="D14" i="122"/>
  <c r="D16" i="122"/>
  <c r="D10" i="122"/>
  <c r="D5" i="122"/>
  <c r="H11" i="122"/>
  <c r="D21" i="121"/>
  <c r="D23" i="121"/>
  <c r="D25" i="121"/>
  <c r="D27" i="121"/>
  <c r="D31" i="121"/>
  <c r="D30" i="121"/>
  <c r="D24" i="121"/>
  <c r="D26" i="121"/>
  <c r="H21" i="121"/>
  <c r="H23" i="121"/>
  <c r="H25" i="121"/>
  <c r="H27" i="121"/>
  <c r="H31" i="121"/>
  <c r="D28" i="121"/>
  <c r="H26" i="121"/>
  <c r="K13" i="121"/>
  <c r="L7" i="121" s="1"/>
  <c r="D5" i="121"/>
  <c r="D7" i="121"/>
  <c r="D9" i="121"/>
  <c r="D11" i="121"/>
  <c r="D15" i="121"/>
  <c r="D10" i="121"/>
  <c r="D6" i="121"/>
  <c r="H5" i="121"/>
  <c r="H7" i="121"/>
  <c r="H9" i="121"/>
  <c r="H11" i="121"/>
  <c r="H15" i="121"/>
  <c r="H12" i="121"/>
  <c r="H40" i="114"/>
  <c r="F40" i="114"/>
  <c r="H41" i="114"/>
  <c r="D39" i="113"/>
  <c r="H38" i="113"/>
  <c r="H39" i="113"/>
  <c r="F39" i="113"/>
  <c r="J5" i="113"/>
  <c r="J4" i="113"/>
  <c r="H4" i="113"/>
  <c r="J41" i="113"/>
  <c r="D7" i="113"/>
  <c r="H8" i="114" l="1"/>
  <c r="F41" i="113"/>
  <c r="L14" i="121"/>
  <c r="D41" i="113"/>
  <c r="F8" i="114"/>
  <c r="L26" i="121"/>
  <c r="F7" i="113"/>
  <c r="F13" i="123"/>
  <c r="L15" i="123"/>
  <c r="J43" i="114"/>
  <c r="L25" i="121"/>
  <c r="L22" i="121"/>
  <c r="L27" i="121"/>
  <c r="L30" i="121"/>
  <c r="L23" i="121"/>
  <c r="L28" i="121"/>
  <c r="L21" i="121"/>
  <c r="L31" i="121"/>
  <c r="L20" i="121"/>
  <c r="J8" i="114"/>
  <c r="H7" i="113"/>
  <c r="J29" i="123"/>
  <c r="L16" i="122"/>
  <c r="L12" i="122"/>
  <c r="L10" i="122"/>
  <c r="L8" i="122"/>
  <c r="L6" i="122"/>
  <c r="D29" i="121"/>
  <c r="F29" i="121"/>
  <c r="J13" i="121"/>
  <c r="F13" i="121"/>
  <c r="D13" i="121"/>
  <c r="D43" i="114"/>
  <c r="D8" i="114"/>
  <c r="J7" i="113"/>
  <c r="F43" i="114"/>
  <c r="H29" i="121"/>
  <c r="H13" i="121"/>
  <c r="L25" i="123"/>
  <c r="H13" i="123"/>
  <c r="L28" i="123"/>
  <c r="F29" i="123"/>
  <c r="L12" i="123"/>
  <c r="L31" i="123"/>
  <c r="L27" i="123"/>
  <c r="D13" i="123"/>
  <c r="L11" i="123"/>
  <c r="J13" i="123"/>
  <c r="L26" i="123"/>
  <c r="L24" i="123"/>
  <c r="L22" i="123"/>
  <c r="L30" i="123"/>
  <c r="L20" i="123"/>
  <c r="D29" i="123"/>
  <c r="L23" i="123"/>
  <c r="H29" i="123"/>
  <c r="L9" i="123"/>
  <c r="L14" i="123"/>
  <c r="L6" i="123"/>
  <c r="L4" i="123"/>
  <c r="L8" i="123"/>
  <c r="L10" i="123"/>
  <c r="L7" i="123"/>
  <c r="L31" i="122"/>
  <c r="L22" i="122"/>
  <c r="L26" i="122"/>
  <c r="L23" i="122"/>
  <c r="L24" i="122"/>
  <c r="L30" i="122"/>
  <c r="L27" i="122"/>
  <c r="L28" i="122"/>
  <c r="L32" i="122"/>
  <c r="L29" i="122"/>
  <c r="L33" i="122"/>
  <c r="L25" i="122"/>
  <c r="L14" i="122"/>
  <c r="L11" i="122"/>
  <c r="L9" i="122"/>
  <c r="L13" i="122"/>
  <c r="L5" i="122"/>
  <c r="L7" i="122"/>
  <c r="L6" i="121"/>
  <c r="L10" i="121"/>
  <c r="L12" i="121"/>
  <c r="L5" i="121"/>
  <c r="L8" i="121"/>
  <c r="L4" i="121"/>
  <c r="L11" i="121"/>
  <c r="L9" i="121"/>
  <c r="L15" i="121"/>
  <c r="H43" i="114"/>
  <c r="H41" i="113"/>
  <c r="O51" i="151"/>
  <c r="O50" i="151"/>
  <c r="O49" i="151"/>
  <c r="O48" i="151"/>
  <c r="O47" i="151"/>
  <c r="O46" i="151"/>
  <c r="N51" i="151"/>
  <c r="N50" i="151"/>
  <c r="N49" i="151"/>
  <c r="N48" i="151"/>
  <c r="N47" i="151"/>
  <c r="Q30" i="151" l="1"/>
  <c r="Q33" i="151"/>
  <c r="Q26" i="151"/>
  <c r="Q29" i="151"/>
  <c r="L29" i="121"/>
  <c r="Q32" i="151"/>
  <c r="Q8" i="151"/>
  <c r="Q13" i="151"/>
  <c r="Q11" i="151"/>
  <c r="Q7" i="151"/>
  <c r="Q12" i="151"/>
  <c r="Q10" i="151"/>
  <c r="Q6" i="151"/>
  <c r="L13" i="123"/>
  <c r="L29" i="123"/>
  <c r="L13" i="121"/>
  <c r="Q31" i="151"/>
  <c r="Q27" i="151"/>
  <c r="Q28" i="151"/>
  <c r="Q9" i="151"/>
  <c r="Q25" i="151"/>
  <c r="Q5" i="151"/>
  <c r="I31" i="155"/>
  <c r="I30" i="155"/>
  <c r="I29" i="155"/>
  <c r="I28" i="155"/>
  <c r="I27" i="155"/>
  <c r="I26" i="155"/>
  <c r="I25" i="155"/>
  <c r="I24" i="155"/>
  <c r="I23" i="155"/>
  <c r="I22" i="155"/>
  <c r="I21" i="155"/>
  <c r="I20" i="155"/>
  <c r="I19" i="155"/>
  <c r="I18" i="155"/>
  <c r="I17" i="155"/>
  <c r="I16" i="155"/>
  <c r="I15" i="155"/>
  <c r="I10" i="155"/>
  <c r="P12" i="155" s="1"/>
  <c r="I9" i="155"/>
  <c r="C3" i="155" s="1"/>
  <c r="I5" i="155"/>
  <c r="P10" i="155" s="1"/>
  <c r="I4" i="155"/>
  <c r="P9" i="155" s="1"/>
  <c r="I3" i="155"/>
  <c r="P11" i="155" l="1"/>
  <c r="P13" i="155" s="1"/>
  <c r="Q11" i="155" l="1"/>
  <c r="Q12" i="155"/>
  <c r="Q13" i="155"/>
  <c r="Q9" i="155"/>
  <c r="Q10" i="155"/>
  <c r="M117" i="178" l="1"/>
  <c r="M117" i="179"/>
  <c r="M119" i="178"/>
  <c r="M119" i="179"/>
  <c r="M114" i="178"/>
  <c r="M114" i="179"/>
  <c r="M118" i="179"/>
  <c r="M118" i="178"/>
  <c r="M113" i="178"/>
  <c r="M113" i="179"/>
  <c r="M115" i="178"/>
  <c r="M115" i="179"/>
  <c r="M116" i="179"/>
  <c r="M116" i="178"/>
  <c r="Q35" i="152"/>
  <c r="Q34" i="152"/>
  <c r="Q33" i="152"/>
  <c r="Q30" i="152"/>
  <c r="Q29" i="152"/>
  <c r="Q31" i="152"/>
  <c r="Q32" i="152"/>
  <c r="G6" i="91"/>
  <c r="G7" i="91"/>
  <c r="G8" i="91"/>
  <c r="G9" i="91"/>
  <c r="G10" i="91"/>
  <c r="G11" i="91"/>
  <c r="G12" i="91"/>
  <c r="G13" i="91"/>
  <c r="G14" i="91"/>
  <c r="G15" i="91"/>
  <c r="G16" i="91"/>
  <c r="G17" i="91"/>
  <c r="G18" i="91"/>
  <c r="G19" i="91"/>
  <c r="G20" i="91"/>
  <c r="G5" i="91"/>
  <c r="F6" i="91"/>
  <c r="F7" i="91"/>
  <c r="F8" i="91"/>
  <c r="F9" i="91"/>
  <c r="F10" i="91"/>
  <c r="F11" i="91"/>
  <c r="F12" i="91"/>
  <c r="F13" i="91"/>
  <c r="F14" i="91"/>
  <c r="F15" i="91"/>
  <c r="F16" i="91"/>
  <c r="F17" i="91"/>
  <c r="F18" i="91"/>
  <c r="F19" i="91"/>
  <c r="F20" i="91"/>
  <c r="F5" i="91"/>
  <c r="B6" i="91"/>
  <c r="B7" i="91"/>
  <c r="B8" i="91"/>
  <c r="B9" i="91"/>
  <c r="B10" i="91"/>
  <c r="B11" i="91"/>
  <c r="B12" i="91"/>
  <c r="B13" i="91"/>
  <c r="B14" i="91"/>
  <c r="B15" i="91"/>
  <c r="B16" i="91"/>
  <c r="B17" i="91"/>
  <c r="B18" i="91"/>
  <c r="B19" i="91"/>
  <c r="B20" i="91"/>
  <c r="B5" i="91"/>
  <c r="D35" i="81"/>
  <c r="D36" i="81"/>
  <c r="D37" i="81"/>
  <c r="D38" i="81"/>
  <c r="D39" i="81"/>
  <c r="D40" i="81"/>
  <c r="D34" i="81"/>
  <c r="D33" i="81"/>
  <c r="D32" i="81"/>
  <c r="D31" i="81"/>
  <c r="D29" i="81"/>
  <c r="D30" i="81"/>
  <c r="D28" i="81"/>
  <c r="D14" i="81"/>
  <c r="D15" i="81"/>
  <c r="D16" i="81"/>
  <c r="D17" i="81"/>
  <c r="D18" i="81"/>
  <c r="D19" i="81"/>
  <c r="D20" i="81"/>
  <c r="D12" i="81"/>
  <c r="D13" i="81"/>
  <c r="D11" i="81"/>
  <c r="D10" i="81"/>
  <c r="D9" i="81"/>
  <c r="D8" i="81"/>
  <c r="D7" i="81"/>
  <c r="F5" i="79"/>
  <c r="B6" i="79"/>
  <c r="B7" i="79"/>
  <c r="B8" i="79"/>
  <c r="B9" i="79"/>
  <c r="B10" i="79"/>
  <c r="B5" i="79"/>
  <c r="K34" i="178" l="1"/>
  <c r="K34" i="179"/>
  <c r="L26" i="179"/>
  <c r="L26" i="178"/>
  <c r="L33" i="179"/>
  <c r="L33" i="178"/>
  <c r="M25" i="178"/>
  <c r="M25" i="179"/>
  <c r="L24" i="178"/>
  <c r="L24" i="179"/>
  <c r="M32" i="179"/>
  <c r="M32" i="178"/>
  <c r="K31" i="179"/>
  <c r="K31" i="178"/>
  <c r="M39" i="179"/>
  <c r="M39" i="178"/>
  <c r="K30" i="179"/>
  <c r="K30" i="178"/>
  <c r="L30" i="179"/>
  <c r="L30" i="178"/>
  <c r="M30" i="178"/>
  <c r="M30" i="179"/>
  <c r="K37" i="179"/>
  <c r="K37" i="178"/>
  <c r="K29" i="179"/>
  <c r="K29" i="178"/>
  <c r="L37" i="179"/>
  <c r="L37" i="178"/>
  <c r="L29" i="179"/>
  <c r="L29" i="178"/>
  <c r="M37" i="178"/>
  <c r="M37" i="179"/>
  <c r="M29" i="178"/>
  <c r="M29" i="179"/>
  <c r="K26" i="179"/>
  <c r="K26" i="178"/>
  <c r="M34" i="179"/>
  <c r="M34" i="178"/>
  <c r="K33" i="179"/>
  <c r="K33" i="178"/>
  <c r="L25" i="178"/>
  <c r="L25" i="179"/>
  <c r="K24" i="178"/>
  <c r="K24" i="179"/>
  <c r="L32" i="179"/>
  <c r="L32" i="178"/>
  <c r="L31" i="178"/>
  <c r="L31" i="179"/>
  <c r="K38" i="178"/>
  <c r="B22" i="178" s="1"/>
  <c r="K38" i="179"/>
  <c r="B22" i="179" s="1"/>
  <c r="K28" i="178"/>
  <c r="K28" i="179"/>
  <c r="L36" i="178"/>
  <c r="L36" i="179"/>
  <c r="L28" i="179"/>
  <c r="L28" i="178"/>
  <c r="M36" i="179"/>
  <c r="M36" i="178"/>
  <c r="M28" i="179"/>
  <c r="M28" i="178"/>
  <c r="L34" i="179"/>
  <c r="L34" i="178"/>
  <c r="M26" i="179"/>
  <c r="M26" i="178"/>
  <c r="K25" i="179"/>
  <c r="K25" i="178"/>
  <c r="M33" i="178"/>
  <c r="M33" i="179"/>
  <c r="K32" i="178"/>
  <c r="K32" i="179"/>
  <c r="M24" i="179"/>
  <c r="M24" i="178"/>
  <c r="K39" i="178"/>
  <c r="B23" i="178" s="1"/>
  <c r="K39" i="179"/>
  <c r="B23" i="179" s="1"/>
  <c r="L39" i="178"/>
  <c r="L39" i="179"/>
  <c r="M31" i="178"/>
  <c r="M31" i="179"/>
  <c r="L38" i="178"/>
  <c r="L38" i="179"/>
  <c r="C22" i="179" s="1"/>
  <c r="M38" i="178"/>
  <c r="M38" i="179"/>
  <c r="K36" i="178"/>
  <c r="K36" i="179"/>
  <c r="K35" i="179"/>
  <c r="K35" i="178"/>
  <c r="K27" i="179"/>
  <c r="K27" i="178"/>
  <c r="L35" i="178"/>
  <c r="L35" i="179"/>
  <c r="L27" i="178"/>
  <c r="L27" i="179"/>
  <c r="M35" i="178"/>
  <c r="M35" i="179"/>
  <c r="M27" i="178"/>
  <c r="M27" i="179"/>
  <c r="D43" i="81"/>
  <c r="D22" i="81"/>
  <c r="B25" i="82"/>
  <c r="N6" i="158" s="1"/>
  <c r="P49" i="152"/>
  <c r="P55" i="152"/>
  <c r="P51" i="152"/>
  <c r="P47" i="152"/>
  <c r="P50" i="152"/>
  <c r="P54" i="152"/>
  <c r="P57" i="152"/>
  <c r="P53" i="152"/>
  <c r="P48" i="152"/>
  <c r="P56" i="152"/>
  <c r="P52" i="152"/>
  <c r="O57" i="152"/>
  <c r="O53" i="152"/>
  <c r="O47" i="152"/>
  <c r="O48" i="152"/>
  <c r="O56" i="152"/>
  <c r="O52" i="152"/>
  <c r="O50" i="152"/>
  <c r="O55" i="152"/>
  <c r="O51" i="152"/>
  <c r="O49" i="152"/>
  <c r="O54" i="152"/>
  <c r="B26" i="82"/>
  <c r="N7" i="158" s="1"/>
  <c r="B22" i="82"/>
  <c r="C6" i="82" s="1"/>
  <c r="B24" i="82"/>
  <c r="N5" i="158" s="1"/>
  <c r="B23" i="82"/>
  <c r="N4" i="158" s="1"/>
  <c r="N20" i="158" s="1"/>
  <c r="D27" i="81"/>
  <c r="P46" i="152" s="1"/>
  <c r="D6" i="81"/>
  <c r="O46" i="152" s="1"/>
  <c r="B16" i="89"/>
  <c r="B8" i="99"/>
  <c r="B7" i="99"/>
  <c r="B6" i="99"/>
  <c r="I13" i="90"/>
  <c r="I14" i="90"/>
  <c r="I15" i="90"/>
  <c r="I16" i="90"/>
  <c r="I17" i="90"/>
  <c r="I18" i="90"/>
  <c r="I19" i="90"/>
  <c r="I12" i="90"/>
  <c r="I11" i="90"/>
  <c r="I10" i="90"/>
  <c r="I9" i="90"/>
  <c r="I8" i="90"/>
  <c r="I7" i="90"/>
  <c r="I6" i="90"/>
  <c r="H13" i="90"/>
  <c r="H14" i="90"/>
  <c r="H15" i="90"/>
  <c r="H16" i="90"/>
  <c r="H17" i="90"/>
  <c r="H18" i="90"/>
  <c r="H19" i="90"/>
  <c r="H12" i="90"/>
  <c r="H11" i="90"/>
  <c r="H10" i="90"/>
  <c r="H9" i="90"/>
  <c r="H8" i="90"/>
  <c r="H7" i="90"/>
  <c r="C18" i="90"/>
  <c r="C17" i="90"/>
  <c r="C16" i="90"/>
  <c r="C15" i="90"/>
  <c r="C14" i="90"/>
  <c r="C13" i="90"/>
  <c r="C12" i="90"/>
  <c r="C11" i="90"/>
  <c r="C10" i="90"/>
  <c r="C9" i="90"/>
  <c r="C8" i="90"/>
  <c r="C7" i="90"/>
  <c r="C6" i="90"/>
  <c r="C20" i="178" l="1"/>
  <c r="C22" i="178"/>
  <c r="M109" i="179"/>
  <c r="M109" i="178"/>
  <c r="M108" i="179"/>
  <c r="M108" i="178"/>
  <c r="M110" i="178"/>
  <c r="M110" i="179"/>
  <c r="M112" i="178"/>
  <c r="M112" i="179"/>
  <c r="M106" i="178"/>
  <c r="M106" i="179"/>
  <c r="M107" i="179"/>
  <c r="M107" i="178"/>
  <c r="M111" i="178"/>
  <c r="M111" i="179"/>
  <c r="K115" i="178"/>
  <c r="G65" i="178" s="1"/>
  <c r="K115" i="179"/>
  <c r="G65" i="179" s="1"/>
  <c r="L114" i="178"/>
  <c r="H64" i="178" s="1"/>
  <c r="L114" i="179"/>
  <c r="H64" i="179" s="1"/>
  <c r="K110" i="179"/>
  <c r="G60" i="179" s="1"/>
  <c r="K110" i="178"/>
  <c r="G60" i="178" s="1"/>
  <c r="K114" i="179"/>
  <c r="G64" i="179" s="1"/>
  <c r="K114" i="178"/>
  <c r="G64" i="178" s="1"/>
  <c r="L113" i="179"/>
  <c r="H63" i="179" s="1"/>
  <c r="L113" i="178"/>
  <c r="H63" i="178" s="1"/>
  <c r="L112" i="179"/>
  <c r="L112" i="178"/>
  <c r="K112" i="179"/>
  <c r="G62" i="179" s="1"/>
  <c r="K112" i="178"/>
  <c r="G62" i="178" s="1"/>
  <c r="L119" i="179"/>
  <c r="H69" i="179" s="1"/>
  <c r="L119" i="178"/>
  <c r="H69" i="178" s="1"/>
  <c r="K119" i="178"/>
  <c r="G69" i="178" s="1"/>
  <c r="K119" i="179"/>
  <c r="G69" i="179" s="1"/>
  <c r="L118" i="179"/>
  <c r="H68" i="179" s="1"/>
  <c r="L118" i="178"/>
  <c r="H68" i="178" s="1"/>
  <c r="K118" i="179"/>
  <c r="G68" i="179" s="1"/>
  <c r="K118" i="178"/>
  <c r="G68" i="178" s="1"/>
  <c r="L107" i="179"/>
  <c r="L107" i="178"/>
  <c r="L117" i="179"/>
  <c r="H67" i="179" s="1"/>
  <c r="L117" i="178"/>
  <c r="H67" i="178" s="1"/>
  <c r="K107" i="178"/>
  <c r="G57" i="178" s="1"/>
  <c r="K107" i="179"/>
  <c r="G57" i="179" s="1"/>
  <c r="K117" i="179"/>
  <c r="G67" i="179" s="1"/>
  <c r="K117" i="178"/>
  <c r="G67" i="178" s="1"/>
  <c r="L108" i="178"/>
  <c r="L108" i="179"/>
  <c r="L116" i="178"/>
  <c r="H66" i="178" s="1"/>
  <c r="L116" i="179"/>
  <c r="H66" i="179" s="1"/>
  <c r="K109" i="178"/>
  <c r="G59" i="178" s="1"/>
  <c r="K109" i="179"/>
  <c r="G59" i="179" s="1"/>
  <c r="L110" i="178"/>
  <c r="L110" i="179"/>
  <c r="L111" i="178"/>
  <c r="L111" i="179"/>
  <c r="K111" i="179"/>
  <c r="G61" i="179" s="1"/>
  <c r="K111" i="178"/>
  <c r="G61" i="178" s="1"/>
  <c r="K113" i="179"/>
  <c r="G63" i="179" s="1"/>
  <c r="K113" i="178"/>
  <c r="G63" i="178" s="1"/>
  <c r="K106" i="179"/>
  <c r="G56" i="179" s="1"/>
  <c r="K106" i="178"/>
  <c r="G56" i="178" s="1"/>
  <c r="L106" i="179"/>
  <c r="L106" i="178"/>
  <c r="H56" i="178" s="1"/>
  <c r="K108" i="179"/>
  <c r="G58" i="179" s="1"/>
  <c r="K108" i="178"/>
  <c r="G58" i="178" s="1"/>
  <c r="K116" i="178"/>
  <c r="G66" i="178" s="1"/>
  <c r="K116" i="179"/>
  <c r="G66" i="179" s="1"/>
  <c r="L109" i="179"/>
  <c r="L109" i="178"/>
  <c r="L115" i="178"/>
  <c r="H65" i="178" s="1"/>
  <c r="L115" i="179"/>
  <c r="H65" i="179" s="1"/>
  <c r="M73" i="179"/>
  <c r="M73" i="178"/>
  <c r="L71" i="179"/>
  <c r="L71" i="178"/>
  <c r="L69" i="178"/>
  <c r="L69" i="179"/>
  <c r="L72" i="178"/>
  <c r="L72" i="179"/>
  <c r="L70" i="178"/>
  <c r="L70" i="179"/>
  <c r="L68" i="178"/>
  <c r="L68" i="179"/>
  <c r="M76" i="178"/>
  <c r="M76" i="179"/>
  <c r="M72" i="178"/>
  <c r="M72" i="179"/>
  <c r="M71" i="179"/>
  <c r="M71" i="178"/>
  <c r="K68" i="179"/>
  <c r="B43" i="179" s="1"/>
  <c r="K68" i="178"/>
  <c r="B43" i="178" s="1"/>
  <c r="M70" i="179"/>
  <c r="M70" i="178"/>
  <c r="K67" i="179"/>
  <c r="B42" i="179" s="1"/>
  <c r="K67" i="178"/>
  <c r="B42" i="178" s="1"/>
  <c r="M69" i="179"/>
  <c r="M69" i="178"/>
  <c r="K65" i="178"/>
  <c r="B40" i="178" s="1"/>
  <c r="K65" i="179"/>
  <c r="B40" i="179" s="1"/>
  <c r="K66" i="178"/>
  <c r="B41" i="178" s="1"/>
  <c r="K66" i="179"/>
  <c r="B41" i="179" s="1"/>
  <c r="L67" i="178"/>
  <c r="L67" i="179"/>
  <c r="M68" i="178"/>
  <c r="M68" i="179"/>
  <c r="K71" i="179"/>
  <c r="B46" i="179" s="1"/>
  <c r="K71" i="178"/>
  <c r="B46" i="178" s="1"/>
  <c r="K69" i="179"/>
  <c r="B44" i="179" s="1"/>
  <c r="K69" i="178"/>
  <c r="B44" i="178" s="1"/>
  <c r="K73" i="178"/>
  <c r="B48" i="178" s="1"/>
  <c r="K73" i="179"/>
  <c r="B48" i="179" s="1"/>
  <c r="L65" i="179"/>
  <c r="L65" i="178"/>
  <c r="L66" i="179"/>
  <c r="L66" i="178"/>
  <c r="M67" i="179"/>
  <c r="M67" i="178"/>
  <c r="K70" i="178"/>
  <c r="B45" i="178" s="1"/>
  <c r="K70" i="179"/>
  <c r="B45" i="179" s="1"/>
  <c r="K72" i="179"/>
  <c r="B47" i="179" s="1"/>
  <c r="K72" i="178"/>
  <c r="B47" i="178" s="1"/>
  <c r="L73" i="179"/>
  <c r="L73" i="178"/>
  <c r="M65" i="179"/>
  <c r="M65" i="178"/>
  <c r="M66" i="179"/>
  <c r="M66" i="178"/>
  <c r="C21" i="179"/>
  <c r="B21" i="178"/>
  <c r="C23" i="178"/>
  <c r="C20" i="179"/>
  <c r="B20" i="178"/>
  <c r="B19" i="178"/>
  <c r="C21" i="178"/>
  <c r="C23" i="179"/>
  <c r="B20" i="179"/>
  <c r="C19" i="179"/>
  <c r="B21" i="179"/>
  <c r="B19" i="179"/>
  <c r="C19" i="178"/>
  <c r="L57" i="179"/>
  <c r="L57" i="178"/>
  <c r="M54" i="179"/>
  <c r="M54" i="178"/>
  <c r="L55" i="179"/>
  <c r="L55" i="178"/>
  <c r="L46" i="179"/>
  <c r="L46" i="178"/>
  <c r="L47" i="179"/>
  <c r="L47" i="178"/>
  <c r="L53" i="179"/>
  <c r="L53" i="178"/>
  <c r="M49" i="178"/>
  <c r="M49" i="179"/>
  <c r="M51" i="179"/>
  <c r="M51" i="178"/>
  <c r="K55" i="179"/>
  <c r="G31" i="179" s="1"/>
  <c r="K55" i="178"/>
  <c r="G31" i="178" s="1"/>
  <c r="M46" i="179"/>
  <c r="M46" i="178"/>
  <c r="L45" i="179"/>
  <c r="L45" i="178"/>
  <c r="M52" i="179"/>
  <c r="M52" i="178"/>
  <c r="K51" i="179"/>
  <c r="G27" i="179" s="1"/>
  <c r="K51" i="178"/>
  <c r="G27" i="178" s="1"/>
  <c r="K44" i="179"/>
  <c r="G20" i="179" s="1"/>
  <c r="K44" i="178"/>
  <c r="G20" i="178" s="1"/>
  <c r="K52" i="179"/>
  <c r="G28" i="179" s="1"/>
  <c r="K52" i="178"/>
  <c r="G28" i="178" s="1"/>
  <c r="L48" i="179"/>
  <c r="L48" i="178"/>
  <c r="L52" i="179"/>
  <c r="L52" i="178"/>
  <c r="M50" i="179"/>
  <c r="M50" i="178"/>
  <c r="M55" i="179"/>
  <c r="M55" i="178"/>
  <c r="K56" i="179"/>
  <c r="G32" i="179" s="1"/>
  <c r="K56" i="178"/>
  <c r="G32" i="178" s="1"/>
  <c r="M47" i="178"/>
  <c r="M47" i="179"/>
  <c r="L54" i="179"/>
  <c r="L54" i="178"/>
  <c r="K53" i="179"/>
  <c r="G29" i="179" s="1"/>
  <c r="K53" i="178"/>
  <c r="G29" i="178" s="1"/>
  <c r="L51" i="179"/>
  <c r="L51" i="178"/>
  <c r="M57" i="179"/>
  <c r="M57" i="178"/>
  <c r="K47" i="179"/>
  <c r="G23" i="179" s="1"/>
  <c r="K47" i="178"/>
  <c r="G23" i="178" s="1"/>
  <c r="M45" i="179"/>
  <c r="M45" i="178"/>
  <c r="K48" i="179"/>
  <c r="G24" i="179" s="1"/>
  <c r="K48" i="178"/>
  <c r="G24" i="178" s="1"/>
  <c r="L56" i="179"/>
  <c r="L56" i="178"/>
  <c r="K49" i="179"/>
  <c r="G25" i="179" s="1"/>
  <c r="K49" i="178"/>
  <c r="G25" i="178" s="1"/>
  <c r="M53" i="178"/>
  <c r="M53" i="179"/>
  <c r="K50" i="179"/>
  <c r="G26" i="179" s="1"/>
  <c r="K50" i="178"/>
  <c r="G26" i="178" s="1"/>
  <c r="M48" i="179"/>
  <c r="M48" i="178"/>
  <c r="K45" i="179"/>
  <c r="G21" i="179" s="1"/>
  <c r="K45" i="178"/>
  <c r="G21" i="178" s="1"/>
  <c r="L49" i="179"/>
  <c r="L49" i="178"/>
  <c r="K46" i="179"/>
  <c r="G22" i="179" s="1"/>
  <c r="K46" i="178"/>
  <c r="G22" i="178" s="1"/>
  <c r="K54" i="179"/>
  <c r="G30" i="179" s="1"/>
  <c r="K54" i="178"/>
  <c r="G30" i="178" s="1"/>
  <c r="L50" i="179"/>
  <c r="L50" i="178"/>
  <c r="M44" i="179"/>
  <c r="H20" i="179" s="1"/>
  <c r="M44" i="178"/>
  <c r="H20" i="178" s="1"/>
  <c r="M56" i="179"/>
  <c r="M56" i="178"/>
  <c r="L4" i="179"/>
  <c r="L4" i="178"/>
  <c r="M5" i="179"/>
  <c r="M5" i="178"/>
  <c r="L11" i="179"/>
  <c r="L11" i="178"/>
  <c r="M3" i="179"/>
  <c r="M3" i="178"/>
  <c r="M4" i="179"/>
  <c r="M4" i="178"/>
  <c r="L10" i="179"/>
  <c r="L10" i="178"/>
  <c r="M11" i="179"/>
  <c r="M11" i="178"/>
  <c r="M6" i="179"/>
  <c r="M6" i="178"/>
  <c r="L9" i="179"/>
  <c r="L9" i="178"/>
  <c r="M10" i="179"/>
  <c r="M10" i="178"/>
  <c r="L6" i="179"/>
  <c r="L6" i="178"/>
  <c r="L8" i="179"/>
  <c r="L8" i="178"/>
  <c r="M9" i="179"/>
  <c r="M9" i="178"/>
  <c r="M7" i="179"/>
  <c r="M7" i="178"/>
  <c r="L5" i="179"/>
  <c r="L5" i="178"/>
  <c r="L3" i="179"/>
  <c r="L3" i="178"/>
  <c r="L7" i="179"/>
  <c r="L7" i="178"/>
  <c r="M8" i="179"/>
  <c r="M8" i="178"/>
  <c r="K10" i="179"/>
  <c r="B11" i="179" s="1"/>
  <c r="K10" i="178"/>
  <c r="B11" i="178" s="1"/>
  <c r="K5" i="179"/>
  <c r="B6" i="179" s="1"/>
  <c r="K5" i="178"/>
  <c r="B6" i="178" s="1"/>
  <c r="K4" i="179"/>
  <c r="B5" i="179" s="1"/>
  <c r="K4" i="178"/>
  <c r="B5" i="178" s="1"/>
  <c r="K11" i="179"/>
  <c r="B12" i="179" s="1"/>
  <c r="K11" i="178"/>
  <c r="B12" i="178" s="1"/>
  <c r="K9" i="179"/>
  <c r="B10" i="179" s="1"/>
  <c r="K9" i="178"/>
  <c r="B10" i="178" s="1"/>
  <c r="K3" i="179"/>
  <c r="B4" i="179" s="1"/>
  <c r="K3" i="178"/>
  <c r="B4" i="178" s="1"/>
  <c r="K8" i="178"/>
  <c r="B9" i="178" s="1"/>
  <c r="K8" i="179"/>
  <c r="B9" i="179" s="1"/>
  <c r="K7" i="179"/>
  <c r="B8" i="179" s="1"/>
  <c r="K7" i="178"/>
  <c r="B8" i="178" s="1"/>
  <c r="K6" i="179"/>
  <c r="B7" i="179" s="1"/>
  <c r="K6" i="178"/>
  <c r="B7" i="178" s="1"/>
  <c r="Q6" i="152"/>
  <c r="P31" i="152"/>
  <c r="R31" i="152" s="1"/>
  <c r="Q11" i="152"/>
  <c r="P30" i="152"/>
  <c r="R30" i="152" s="1"/>
  <c r="P6" i="152"/>
  <c r="Q8" i="152"/>
  <c r="Q10" i="152"/>
  <c r="P27" i="152"/>
  <c r="P29" i="152"/>
  <c r="R29" i="152" s="1"/>
  <c r="P7" i="152"/>
  <c r="P11" i="152"/>
  <c r="Q9" i="152"/>
  <c r="P28" i="152"/>
  <c r="Q12" i="152"/>
  <c r="P25" i="152"/>
  <c r="P13" i="152"/>
  <c r="P8" i="152"/>
  <c r="P10" i="152"/>
  <c r="Q16" i="152"/>
  <c r="P35" i="152"/>
  <c r="R35" i="152" s="1"/>
  <c r="Q27" i="152"/>
  <c r="P12" i="152"/>
  <c r="P9" i="152"/>
  <c r="Q15" i="152"/>
  <c r="P34" i="152"/>
  <c r="R34" i="152" s="1"/>
  <c r="Q7" i="152"/>
  <c r="Q28" i="152"/>
  <c r="P16" i="152"/>
  <c r="Q14" i="152"/>
  <c r="P33" i="152"/>
  <c r="R33" i="152" s="1"/>
  <c r="Q25" i="152"/>
  <c r="P14" i="152"/>
  <c r="P26" i="152"/>
  <c r="P15" i="152"/>
  <c r="Q13" i="152"/>
  <c r="P32" i="152"/>
  <c r="R32" i="152" s="1"/>
  <c r="Q26" i="152"/>
  <c r="C21" i="90"/>
  <c r="N21" i="158"/>
  <c r="I21" i="90"/>
  <c r="H21" i="90"/>
  <c r="C17" i="82"/>
  <c r="N7" i="153"/>
  <c r="C26" i="82"/>
  <c r="C11" i="82"/>
  <c r="C8" i="82"/>
  <c r="C10" i="82"/>
  <c r="C21" i="82"/>
  <c r="C7" i="82"/>
  <c r="C20" i="82"/>
  <c r="N4" i="153"/>
  <c r="C23" i="82"/>
  <c r="C15" i="82"/>
  <c r="C12" i="82"/>
  <c r="C9" i="82"/>
  <c r="C18" i="82"/>
  <c r="C14" i="82"/>
  <c r="N5" i="153"/>
  <c r="C24" i="82"/>
  <c r="C19" i="82"/>
  <c r="C16" i="82"/>
  <c r="C13" i="82"/>
  <c r="N6" i="153"/>
  <c r="C25" i="82"/>
  <c r="O28" i="152"/>
  <c r="O32" i="152"/>
  <c r="O25" i="152"/>
  <c r="O35" i="152"/>
  <c r="O31" i="152"/>
  <c r="O26" i="152"/>
  <c r="O34" i="152"/>
  <c r="O30" i="152"/>
  <c r="O27" i="152"/>
  <c r="O33" i="152"/>
  <c r="O29" i="152"/>
  <c r="O14" i="152"/>
  <c r="O7" i="152"/>
  <c r="O11" i="152"/>
  <c r="O15" i="152"/>
  <c r="O8" i="152"/>
  <c r="O16" i="152"/>
  <c r="O6" i="152"/>
  <c r="O10" i="152"/>
  <c r="O12" i="152"/>
  <c r="O9" i="152"/>
  <c r="O13" i="152"/>
  <c r="C18" i="89"/>
  <c r="C19" i="89"/>
  <c r="B18" i="89"/>
  <c r="B19" i="89"/>
  <c r="B17" i="89"/>
  <c r="C17" i="89"/>
  <c r="C16" i="89"/>
  <c r="B6" i="89"/>
  <c r="B8" i="89"/>
  <c r="B7" i="89"/>
  <c r="H33" i="178" l="1"/>
  <c r="H61" i="178"/>
  <c r="H56" i="179"/>
  <c r="H58" i="178"/>
  <c r="H57" i="179"/>
  <c r="H30" i="179"/>
  <c r="H59" i="178"/>
  <c r="H59" i="179"/>
  <c r="H26" i="179"/>
  <c r="C42" i="179"/>
  <c r="C42" i="178"/>
  <c r="C4" i="178"/>
  <c r="C45" i="178"/>
  <c r="C48" i="179"/>
  <c r="H58" i="179"/>
  <c r="R25" i="152"/>
  <c r="H57" i="178"/>
  <c r="H26" i="178"/>
  <c r="R8" i="152"/>
  <c r="H61" i="179"/>
  <c r="M105" i="179"/>
  <c r="M105" i="178"/>
  <c r="H60" i="178"/>
  <c r="M121" i="178"/>
  <c r="M121" i="179"/>
  <c r="H62" i="178"/>
  <c r="H60" i="179"/>
  <c r="H62" i="179"/>
  <c r="R26" i="152"/>
  <c r="L105" i="179"/>
  <c r="L105" i="178"/>
  <c r="L121" i="179"/>
  <c r="L121" i="178"/>
  <c r="K121" i="179"/>
  <c r="G71" i="179" s="1"/>
  <c r="K121" i="178"/>
  <c r="G71" i="178" s="1"/>
  <c r="K105" i="178"/>
  <c r="G55" i="178" s="1"/>
  <c r="K105" i="179"/>
  <c r="G55" i="179" s="1"/>
  <c r="C44" i="179"/>
  <c r="C48" i="178"/>
  <c r="C44" i="178"/>
  <c r="C43" i="178"/>
  <c r="C10" i="179"/>
  <c r="C46" i="179"/>
  <c r="C43" i="179"/>
  <c r="C41" i="178"/>
  <c r="C46" i="178"/>
  <c r="C41" i="179"/>
  <c r="C40" i="178"/>
  <c r="C45" i="179"/>
  <c r="C47" i="179"/>
  <c r="C47" i="178"/>
  <c r="C40" i="179"/>
  <c r="H32" i="178"/>
  <c r="H25" i="178"/>
  <c r="H27" i="178"/>
  <c r="H24" i="178"/>
  <c r="H22" i="178"/>
  <c r="H24" i="179"/>
  <c r="H27" i="179"/>
  <c r="K59" i="179"/>
  <c r="G35" i="179" s="1"/>
  <c r="K59" i="178"/>
  <c r="G35" i="178" s="1"/>
  <c r="H29" i="178"/>
  <c r="H30" i="178"/>
  <c r="H31" i="178"/>
  <c r="R6" i="152"/>
  <c r="H22" i="179"/>
  <c r="H29" i="179"/>
  <c r="H21" i="178"/>
  <c r="H31" i="179"/>
  <c r="L59" i="179"/>
  <c r="L59" i="178"/>
  <c r="H28" i="178"/>
  <c r="H23" i="178"/>
  <c r="H25" i="179"/>
  <c r="H21" i="179"/>
  <c r="M59" i="179"/>
  <c r="M59" i="178"/>
  <c r="H32" i="179"/>
  <c r="H28" i="179"/>
  <c r="H23" i="179"/>
  <c r="H33" i="179"/>
  <c r="C10" i="178"/>
  <c r="C6" i="179"/>
  <c r="C9" i="179"/>
  <c r="C9" i="178"/>
  <c r="C6" i="178"/>
  <c r="C4" i="179"/>
  <c r="C5" i="178"/>
  <c r="C8" i="178"/>
  <c r="C7" i="178"/>
  <c r="C12" i="178"/>
  <c r="C7" i="179"/>
  <c r="C12" i="179"/>
  <c r="C11" i="178"/>
  <c r="C11" i="179"/>
  <c r="L13" i="179"/>
  <c r="L13" i="178"/>
  <c r="C8" i="179"/>
  <c r="C5" i="179"/>
  <c r="M13" i="179"/>
  <c r="M13" i="178"/>
  <c r="K13" i="178"/>
  <c r="B14" i="178" s="1"/>
  <c r="K13" i="179"/>
  <c r="B14" i="179" s="1"/>
  <c r="R12" i="152"/>
  <c r="R16" i="152"/>
  <c r="R13" i="152"/>
  <c r="R14" i="152"/>
  <c r="R27" i="152"/>
  <c r="R28" i="152"/>
  <c r="R15" i="152"/>
  <c r="R10" i="152"/>
  <c r="R11" i="152"/>
  <c r="R9" i="152"/>
  <c r="R7" i="152"/>
  <c r="Q24" i="152"/>
  <c r="P24" i="152"/>
  <c r="B10" i="89"/>
  <c r="O24" i="152"/>
  <c r="J15" i="155"/>
  <c r="H55" i="178" l="1"/>
  <c r="H55" i="179"/>
  <c r="H71" i="178"/>
  <c r="H71" i="179"/>
  <c r="H35" i="178"/>
  <c r="H35" i="179"/>
  <c r="C14" i="178"/>
  <c r="C14" i="179"/>
  <c r="R24" i="152"/>
  <c r="F12" i="79"/>
  <c r="B12" i="79"/>
  <c r="B13" i="79" l="1"/>
  <c r="H9" i="98"/>
  <c r="H13" i="98"/>
  <c r="H6" i="98"/>
  <c r="H7" i="98"/>
  <c r="H8" i="98"/>
  <c r="H10" i="98"/>
  <c r="H11" i="98"/>
  <c r="H12" i="98"/>
  <c r="H5" i="98"/>
  <c r="C5" i="90"/>
  <c r="K76" i="179" l="1"/>
  <c r="B51" i="179" s="1"/>
  <c r="K76" i="178"/>
  <c r="B51" i="178" s="1"/>
  <c r="L76" i="179"/>
  <c r="C51" i="179" s="1"/>
  <c r="L76" i="178"/>
  <c r="C51" i="178" s="1"/>
  <c r="K43" i="179"/>
  <c r="G19" i="179" s="1"/>
  <c r="K43" i="178"/>
  <c r="G19" i="178" s="1"/>
  <c r="O5" i="152"/>
  <c r="L14" i="179" l="1"/>
  <c r="L14" i="178"/>
  <c r="M14" i="179"/>
  <c r="M14" i="178"/>
  <c r="K14" i="178"/>
  <c r="B15" i="178" s="1"/>
  <c r="K14" i="179"/>
  <c r="B15" i="179" s="1"/>
  <c r="C15" i="179" l="1"/>
  <c r="C15" i="178"/>
  <c r="J18" i="90"/>
  <c r="J19" i="90"/>
  <c r="K15" i="155"/>
  <c r="K16" i="155"/>
  <c r="K17" i="155"/>
  <c r="K18" i="155"/>
  <c r="K19" i="155"/>
  <c r="K20" i="155"/>
  <c r="K21" i="155"/>
  <c r="K22" i="155"/>
  <c r="K23" i="155"/>
  <c r="K24" i="155"/>
  <c r="K25" i="155"/>
  <c r="K26" i="155"/>
  <c r="K27" i="155"/>
  <c r="K28" i="155"/>
  <c r="K29" i="155"/>
  <c r="K30" i="155"/>
  <c r="K31" i="155"/>
  <c r="G41" i="81" l="1"/>
  <c r="G40" i="81"/>
  <c r="H5" i="90"/>
  <c r="L43" i="179" l="1"/>
  <c r="L43" i="178"/>
  <c r="P5" i="152"/>
  <c r="I5" i="90"/>
  <c r="M43" i="179" l="1"/>
  <c r="H19" i="179" s="1"/>
  <c r="M43" i="178"/>
  <c r="H19" i="178" s="1"/>
  <c r="Q5" i="152"/>
  <c r="R5" i="152" s="1"/>
  <c r="D20" i="90" l="1"/>
  <c r="D10" i="90" l="1"/>
  <c r="D18" i="90"/>
  <c r="D19" i="90"/>
  <c r="D13" i="90"/>
  <c r="D8" i="90"/>
  <c r="D16" i="90"/>
  <c r="D17" i="90"/>
  <c r="D7" i="90"/>
  <c r="D6" i="90"/>
  <c r="D11" i="90"/>
  <c r="D9" i="90"/>
  <c r="D15" i="90"/>
  <c r="D14" i="90"/>
  <c r="D12" i="90"/>
  <c r="M5" i="156"/>
  <c r="G64" i="150"/>
  <c r="G62" i="150"/>
  <c r="G58" i="150"/>
  <c r="G54" i="150"/>
  <c r="M10" i="174"/>
  <c r="G50" i="150"/>
  <c r="G48" i="150"/>
  <c r="M5" i="174"/>
  <c r="G45" i="150"/>
  <c r="G40" i="150"/>
  <c r="G38" i="150"/>
  <c r="G33" i="150"/>
  <c r="G30" i="150"/>
  <c r="G29" i="150"/>
  <c r="G26" i="150"/>
  <c r="G22" i="150"/>
  <c r="G21" i="150"/>
  <c r="G18" i="150"/>
  <c r="G17" i="150"/>
  <c r="G15" i="150"/>
  <c r="G14" i="150"/>
  <c r="G11" i="150"/>
  <c r="G5" i="150"/>
  <c r="D21" i="90" l="1"/>
  <c r="M19" i="174"/>
  <c r="M14" i="174"/>
  <c r="M6" i="174"/>
  <c r="M9" i="174"/>
  <c r="M15" i="174"/>
  <c r="M20" i="174"/>
  <c r="M11" i="174"/>
  <c r="M17" i="174"/>
  <c r="M4" i="174"/>
  <c r="M7" i="174"/>
  <c r="M12" i="174"/>
  <c r="M18" i="174"/>
  <c r="M20" i="156"/>
  <c r="M4" i="156"/>
  <c r="G16" i="150"/>
  <c r="G20" i="150"/>
  <c r="G24" i="150"/>
  <c r="G28" i="150"/>
  <c r="G4" i="150"/>
  <c r="G6" i="150"/>
  <c r="M13" i="174"/>
  <c r="G19" i="150"/>
  <c r="G23" i="150"/>
  <c r="G25" i="150"/>
  <c r="G27" i="150"/>
  <c r="G44" i="150"/>
  <c r="G10" i="150"/>
  <c r="G47" i="150"/>
  <c r="L20" i="174"/>
  <c r="G61" i="150"/>
  <c r="G57" i="150"/>
  <c r="G55" i="150"/>
  <c r="G53" i="150"/>
  <c r="G49" i="150"/>
  <c r="G60" i="150"/>
  <c r="G56" i="150"/>
  <c r="G52" i="150"/>
  <c r="M8" i="174"/>
  <c r="M16" i="174"/>
  <c r="G59" i="150"/>
  <c r="G51" i="150"/>
  <c r="G39" i="150"/>
  <c r="L6" i="174"/>
  <c r="L18" i="174"/>
  <c r="L5" i="174"/>
  <c r="L9" i="174"/>
  <c r="L13" i="174"/>
  <c r="L17" i="174"/>
  <c r="L8" i="174"/>
  <c r="L12" i="174"/>
  <c r="L16" i="174"/>
  <c r="L14" i="174"/>
  <c r="L7" i="174"/>
  <c r="L11" i="174"/>
  <c r="L15" i="174"/>
  <c r="L19" i="174"/>
  <c r="M6" i="156"/>
  <c r="M7" i="156"/>
  <c r="M8" i="156"/>
  <c r="M9" i="156"/>
  <c r="M10" i="156"/>
  <c r="M11" i="156"/>
  <c r="M13" i="156"/>
  <c r="M15" i="156"/>
  <c r="M17" i="156"/>
  <c r="M19" i="156"/>
  <c r="M12" i="156"/>
  <c r="M14" i="156"/>
  <c r="M16" i="156"/>
  <c r="M18" i="156"/>
  <c r="L18" i="156"/>
  <c r="G63" i="150" l="1"/>
  <c r="L4" i="174"/>
  <c r="L10" i="174"/>
  <c r="L16" i="156"/>
  <c r="L6" i="156"/>
  <c r="L19" i="156"/>
  <c r="L5" i="156"/>
  <c r="L14" i="156"/>
  <c r="L4" i="156"/>
  <c r="L11" i="156"/>
  <c r="L12" i="156"/>
  <c r="L10" i="156"/>
  <c r="L7" i="156"/>
  <c r="L8" i="156"/>
  <c r="L20" i="156"/>
  <c r="G7" i="150"/>
  <c r="L17" i="156"/>
  <c r="L15" i="156"/>
  <c r="L13" i="156"/>
  <c r="L9" i="156"/>
  <c r="G41" i="150"/>
  <c r="N45" i="113" l="1"/>
  <c r="N11" i="114"/>
  <c r="N22" i="113"/>
  <c r="N39" i="113"/>
  <c r="N38" i="113"/>
  <c r="N21" i="113"/>
  <c r="N41" i="114"/>
  <c r="N6" i="114"/>
  <c r="N5" i="114"/>
  <c r="N40" i="113"/>
  <c r="N25" i="113"/>
  <c r="N49" i="114"/>
  <c r="N40" i="114"/>
  <c r="N26" i="113"/>
  <c r="N17" i="113"/>
  <c r="N14" i="113"/>
  <c r="N4" i="113"/>
  <c r="N46" i="114"/>
  <c r="N12" i="114"/>
  <c r="N29" i="113"/>
  <c r="N18" i="113"/>
  <c r="N6" i="113"/>
  <c r="N7" i="114"/>
  <c r="N15" i="113"/>
  <c r="N44" i="113"/>
  <c r="N28" i="113"/>
  <c r="N24" i="113"/>
  <c r="N20" i="113"/>
  <c r="N16" i="113"/>
  <c r="N27" i="113"/>
  <c r="N23" i="113"/>
  <c r="N19" i="113"/>
  <c r="N10" i="113"/>
  <c r="N45" i="114"/>
  <c r="N11" i="113"/>
  <c r="N5" i="113"/>
  <c r="N7" i="113" l="1"/>
  <c r="N8" i="114"/>
  <c r="N41" i="113"/>
  <c r="D7" i="85" l="1"/>
  <c r="D6" i="85"/>
  <c r="D5" i="85"/>
  <c r="D8" i="85" l="1"/>
  <c r="E5" i="85" s="1"/>
  <c r="E7" i="85" l="1"/>
  <c r="K3" i="155"/>
  <c r="K5" i="155"/>
  <c r="R10" i="155" s="1"/>
  <c r="K4" i="155"/>
  <c r="R9" i="155" s="1"/>
  <c r="E6" i="85"/>
  <c r="J4" i="155" l="1"/>
  <c r="L4" i="155"/>
  <c r="J6" i="85"/>
  <c r="J7" i="85"/>
  <c r="I6" i="155"/>
  <c r="J3" i="155"/>
  <c r="J5" i="155"/>
  <c r="K6" i="155"/>
  <c r="J5" i="85"/>
  <c r="L5" i="155"/>
  <c r="L3" i="155" l="1"/>
  <c r="J8" i="85"/>
  <c r="K5" i="85" s="1"/>
  <c r="K6" i="85" l="1"/>
  <c r="K7" i="85"/>
  <c r="E21" i="81" l="1"/>
  <c r="E42" i="81"/>
  <c r="E11" i="81"/>
  <c r="E15" i="81"/>
  <c r="E9" i="81"/>
  <c r="E17" i="81"/>
  <c r="E20" i="81"/>
  <c r="E10" i="81"/>
  <c r="E8" i="81"/>
  <c r="E18" i="81"/>
  <c r="E7" i="81"/>
  <c r="E19" i="81"/>
  <c r="E12" i="81"/>
  <c r="E16" i="81"/>
  <c r="E13" i="81"/>
  <c r="E14" i="81"/>
  <c r="B10" i="80"/>
  <c r="C5" i="80" l="1"/>
  <c r="C9" i="80"/>
  <c r="C6" i="80"/>
  <c r="C8" i="80"/>
  <c r="C7" i="80"/>
  <c r="C20" i="80"/>
  <c r="C19" i="80"/>
  <c r="C16" i="80"/>
  <c r="C17" i="80"/>
  <c r="C18" i="80"/>
  <c r="C10" i="80" l="1"/>
  <c r="C21" i="80"/>
  <c r="D26" i="82"/>
  <c r="N12" i="158" s="1"/>
  <c r="D25" i="82"/>
  <c r="N11" i="158" s="1"/>
  <c r="D24" i="82"/>
  <c r="N10" i="158" s="1"/>
  <c r="D23" i="82"/>
  <c r="N9" i="158" s="1"/>
  <c r="N23" i="158" s="1"/>
  <c r="N24" i="158" l="1"/>
  <c r="N11" i="153"/>
  <c r="N12" i="153"/>
  <c r="N10" i="153"/>
  <c r="N9" i="153"/>
  <c r="F11" i="79"/>
  <c r="G9" i="79" l="1"/>
  <c r="G13" i="79"/>
  <c r="G8" i="79"/>
  <c r="G7" i="79"/>
  <c r="G10" i="79"/>
  <c r="G6" i="79"/>
  <c r="G5" i="79"/>
  <c r="G12" i="79"/>
  <c r="D37" i="85"/>
  <c r="D36" i="85"/>
  <c r="D35" i="85"/>
  <c r="D34" i="85"/>
  <c r="D33" i="85"/>
  <c r="D32" i="85"/>
  <c r="D31" i="85"/>
  <c r="D30" i="85"/>
  <c r="D29" i="85"/>
  <c r="D28" i="85"/>
  <c r="D27" i="85"/>
  <c r="D26" i="85"/>
  <c r="D25" i="85"/>
  <c r="D24" i="85"/>
  <c r="D23" i="85"/>
  <c r="D22" i="85"/>
  <c r="D21" i="85"/>
  <c r="D14" i="85"/>
  <c r="D13" i="85"/>
  <c r="B23" i="84"/>
  <c r="E22" i="84"/>
  <c r="E21" i="84"/>
  <c r="E20" i="84"/>
  <c r="E19" i="84"/>
  <c r="E18" i="84"/>
  <c r="E17" i="84"/>
  <c r="E11" i="84"/>
  <c r="E10" i="84"/>
  <c r="E9" i="84"/>
  <c r="E8" i="84"/>
  <c r="E7" i="84"/>
  <c r="E6" i="84"/>
  <c r="D22" i="82"/>
  <c r="G21" i="82"/>
  <c r="G20" i="82"/>
  <c r="G19" i="82"/>
  <c r="G18" i="82"/>
  <c r="G17" i="82"/>
  <c r="G16" i="82"/>
  <c r="G15" i="82"/>
  <c r="G14" i="82"/>
  <c r="G13" i="82"/>
  <c r="G12" i="82"/>
  <c r="G11" i="82"/>
  <c r="G10" i="82"/>
  <c r="G9" i="82"/>
  <c r="G8" i="82"/>
  <c r="G7" i="82"/>
  <c r="G6" i="82"/>
  <c r="G20" i="81"/>
  <c r="G19" i="81"/>
  <c r="G18" i="81"/>
  <c r="G17" i="81"/>
  <c r="G16" i="81"/>
  <c r="G15" i="81"/>
  <c r="G14" i="81"/>
  <c r="G13" i="81"/>
  <c r="G12" i="81"/>
  <c r="G11" i="81"/>
  <c r="G10" i="81"/>
  <c r="G9" i="81"/>
  <c r="G8" i="81"/>
  <c r="G7" i="81"/>
  <c r="B11" i="79"/>
  <c r="G22" i="81" l="1"/>
  <c r="E40" i="85"/>
  <c r="E38" i="85"/>
  <c r="E39" i="85"/>
  <c r="C19" i="84"/>
  <c r="C21" i="84"/>
  <c r="C22" i="84"/>
  <c r="C18" i="84"/>
  <c r="C17" i="84"/>
  <c r="C20" i="84"/>
  <c r="C10" i="84"/>
  <c r="C6" i="84"/>
  <c r="C11" i="84"/>
  <c r="C9" i="84"/>
  <c r="C8" i="84"/>
  <c r="C7" i="84"/>
  <c r="E34" i="85"/>
  <c r="E30" i="85"/>
  <c r="E26" i="85"/>
  <c r="E22" i="85"/>
  <c r="E36" i="85"/>
  <c r="E28" i="85"/>
  <c r="E35" i="85"/>
  <c r="E23" i="85"/>
  <c r="E37" i="85"/>
  <c r="E33" i="85"/>
  <c r="E29" i="85"/>
  <c r="E25" i="85"/>
  <c r="E21" i="85"/>
  <c r="E32" i="85"/>
  <c r="E24" i="85"/>
  <c r="E31" i="85"/>
  <c r="E27" i="85"/>
  <c r="E10" i="82"/>
  <c r="E9" i="82"/>
  <c r="E16" i="82"/>
  <c r="E19" i="82"/>
  <c r="E20" i="82"/>
  <c r="E21" i="82"/>
  <c r="E6" i="82"/>
  <c r="E12" i="82"/>
  <c r="E15" i="82"/>
  <c r="E18" i="82"/>
  <c r="E17" i="82"/>
  <c r="E14" i="82"/>
  <c r="E8" i="82"/>
  <c r="E11" i="82"/>
  <c r="E13" i="82"/>
  <c r="E7" i="82"/>
  <c r="E25" i="82"/>
  <c r="E24" i="82"/>
  <c r="E26" i="82"/>
  <c r="E23" i="82"/>
  <c r="C5" i="79"/>
  <c r="C9" i="79"/>
  <c r="C7" i="79"/>
  <c r="C8" i="79"/>
  <c r="C10" i="79"/>
  <c r="C6" i="79"/>
  <c r="C12" i="79"/>
  <c r="C13" i="79"/>
  <c r="G26" i="82"/>
  <c r="G23" i="82"/>
  <c r="G24" i="82"/>
  <c r="G25" i="82"/>
  <c r="E23" i="84"/>
  <c r="F18" i="84" s="1"/>
  <c r="G11" i="79"/>
  <c r="D15" i="85"/>
  <c r="E13" i="85" s="1"/>
  <c r="E12" i="84"/>
  <c r="F9" i="84" s="1"/>
  <c r="F22" i="84" l="1"/>
  <c r="F20" i="84"/>
  <c r="F21" i="84"/>
  <c r="F19" i="84"/>
  <c r="F17" i="84"/>
  <c r="E14" i="85"/>
  <c r="F11" i="84"/>
  <c r="F7" i="84"/>
  <c r="F8" i="84"/>
  <c r="F6" i="84"/>
  <c r="F10" i="84"/>
  <c r="E8" i="85"/>
  <c r="E22" i="82"/>
  <c r="C11" i="79"/>
  <c r="K10" i="155" l="1"/>
  <c r="R12" i="155" s="1"/>
  <c r="B11" i="102"/>
  <c r="C21" i="99"/>
  <c r="B21" i="99"/>
  <c r="D20" i="99"/>
  <c r="D19" i="99"/>
  <c r="D18" i="99"/>
  <c r="D17" i="99"/>
  <c r="D16" i="99"/>
  <c r="B10" i="99"/>
  <c r="H16" i="98"/>
  <c r="G14" i="98"/>
  <c r="F14" i="98"/>
  <c r="B14" i="98"/>
  <c r="J40" i="85"/>
  <c r="J37" i="85"/>
  <c r="J31" i="155"/>
  <c r="J36" i="85"/>
  <c r="J30" i="155"/>
  <c r="J35" i="85"/>
  <c r="J29" i="155"/>
  <c r="J34" i="85"/>
  <c r="J28" i="155"/>
  <c r="J33" i="85"/>
  <c r="J27" i="155"/>
  <c r="J32" i="85"/>
  <c r="J26" i="155"/>
  <c r="J31" i="85"/>
  <c r="J25" i="155"/>
  <c r="J30" i="85"/>
  <c r="J24" i="155"/>
  <c r="J29" i="85"/>
  <c r="J23" i="155"/>
  <c r="J28" i="85"/>
  <c r="J22" i="155"/>
  <c r="J27" i="85"/>
  <c r="J21" i="155"/>
  <c r="J26" i="85"/>
  <c r="J20" i="155"/>
  <c r="J25" i="85"/>
  <c r="J19" i="155"/>
  <c r="J24" i="85"/>
  <c r="J18" i="155"/>
  <c r="J23" i="85"/>
  <c r="J17" i="155"/>
  <c r="J22" i="85"/>
  <c r="J16" i="155"/>
  <c r="J21" i="85"/>
  <c r="B11" i="93"/>
  <c r="G25" i="91"/>
  <c r="F25" i="91"/>
  <c r="B25" i="91"/>
  <c r="O7" i="158" s="1"/>
  <c r="G24" i="91"/>
  <c r="F24" i="91"/>
  <c r="B24" i="91"/>
  <c r="O6" i="158" s="1"/>
  <c r="G23" i="91"/>
  <c r="F23" i="91"/>
  <c r="B23" i="91"/>
  <c r="O5" i="158" s="1"/>
  <c r="G22" i="91"/>
  <c r="F22" i="91"/>
  <c r="B22" i="91"/>
  <c r="O4" i="158" s="1"/>
  <c r="G21" i="91"/>
  <c r="F21" i="91"/>
  <c r="B21" i="91"/>
  <c r="H20" i="91"/>
  <c r="H19" i="91"/>
  <c r="H18" i="91"/>
  <c r="H17" i="91"/>
  <c r="H16" i="91"/>
  <c r="H15" i="91"/>
  <c r="H14" i="91"/>
  <c r="H13" i="91"/>
  <c r="H12" i="91"/>
  <c r="H11" i="91"/>
  <c r="H10" i="91"/>
  <c r="H9" i="91"/>
  <c r="H8" i="91"/>
  <c r="H7" i="91"/>
  <c r="H6" i="91"/>
  <c r="H5" i="91"/>
  <c r="J17" i="90"/>
  <c r="J16" i="90"/>
  <c r="J15" i="90"/>
  <c r="J14" i="90"/>
  <c r="J13" i="90"/>
  <c r="J12" i="90"/>
  <c r="J11" i="90"/>
  <c r="J10" i="90"/>
  <c r="J9" i="90"/>
  <c r="J8" i="90"/>
  <c r="J7" i="90"/>
  <c r="J6" i="90"/>
  <c r="J5" i="90"/>
  <c r="G6" i="81"/>
  <c r="C21" i="89"/>
  <c r="B21" i="89"/>
  <c r="D20" i="89"/>
  <c r="D19" i="89"/>
  <c r="D18" i="89"/>
  <c r="D17" i="89"/>
  <c r="D16" i="89"/>
  <c r="P111" i="178" l="1"/>
  <c r="B61" i="178" s="1"/>
  <c r="P111" i="179"/>
  <c r="B61" i="179" s="1"/>
  <c r="M74" i="178"/>
  <c r="M74" i="179"/>
  <c r="L74" i="178"/>
  <c r="L74" i="179"/>
  <c r="K74" i="178"/>
  <c r="B49" i="178" s="1"/>
  <c r="K74" i="179"/>
  <c r="B49" i="179" s="1"/>
  <c r="P49" i="179"/>
  <c r="B34" i="179" s="1"/>
  <c r="P49" i="178"/>
  <c r="B34" i="178" s="1"/>
  <c r="L40" i="179"/>
  <c r="L40" i="178"/>
  <c r="K40" i="179"/>
  <c r="B24" i="179" s="1"/>
  <c r="K40" i="178"/>
  <c r="B24" i="178" s="1"/>
  <c r="M40" i="178"/>
  <c r="M40" i="179"/>
  <c r="G15" i="98"/>
  <c r="F15" i="98"/>
  <c r="M32" i="155"/>
  <c r="M34" i="155"/>
  <c r="M33" i="155"/>
  <c r="J21" i="90"/>
  <c r="L34" i="155"/>
  <c r="L33" i="155"/>
  <c r="L32" i="155"/>
  <c r="Q6" i="158"/>
  <c r="M6" i="158"/>
  <c r="P6" i="158" s="1"/>
  <c r="M5" i="158"/>
  <c r="Q5" i="158"/>
  <c r="M4" i="158"/>
  <c r="Q4" i="158"/>
  <c r="Q7" i="158"/>
  <c r="M7" i="158"/>
  <c r="P7" i="158" s="1"/>
  <c r="M15" i="155"/>
  <c r="L30" i="155"/>
  <c r="L26" i="155"/>
  <c r="L22" i="155"/>
  <c r="L18" i="155"/>
  <c r="L27" i="155"/>
  <c r="L19" i="155"/>
  <c r="L29" i="155"/>
  <c r="L25" i="155"/>
  <c r="L21" i="155"/>
  <c r="L17" i="155"/>
  <c r="L23" i="155"/>
  <c r="L28" i="155"/>
  <c r="L24" i="155"/>
  <c r="L20" i="155"/>
  <c r="L16" i="155"/>
  <c r="L31" i="155"/>
  <c r="L15" i="155"/>
  <c r="C9" i="102"/>
  <c r="C5" i="102"/>
  <c r="C10" i="102"/>
  <c r="C6" i="102"/>
  <c r="C8" i="102"/>
  <c r="C7" i="102"/>
  <c r="J14" i="85"/>
  <c r="I11" i="155"/>
  <c r="J9" i="155"/>
  <c r="J10" i="155"/>
  <c r="C9" i="93"/>
  <c r="C5" i="93"/>
  <c r="C7" i="93"/>
  <c r="C6" i="93"/>
  <c r="C8" i="93"/>
  <c r="C10" i="93"/>
  <c r="C8" i="99"/>
  <c r="C7" i="99"/>
  <c r="C9" i="99"/>
  <c r="C6" i="99"/>
  <c r="C5" i="99"/>
  <c r="C16" i="98"/>
  <c r="C11" i="98"/>
  <c r="C10" i="98"/>
  <c r="C9" i="98"/>
  <c r="C7" i="98"/>
  <c r="C6" i="98"/>
  <c r="C8" i="98"/>
  <c r="C12" i="98"/>
  <c r="C5" i="98"/>
  <c r="C13" i="98"/>
  <c r="O4" i="153"/>
  <c r="C22" i="91"/>
  <c r="C5" i="91"/>
  <c r="C19" i="91"/>
  <c r="C14" i="91"/>
  <c r="C13" i="91"/>
  <c r="C11" i="91"/>
  <c r="C12" i="91"/>
  <c r="C8" i="91"/>
  <c r="C7" i="91"/>
  <c r="C9" i="91"/>
  <c r="C15" i="91"/>
  <c r="C10" i="91"/>
  <c r="C20" i="91"/>
  <c r="C16" i="91"/>
  <c r="C6" i="91"/>
  <c r="C18" i="91"/>
  <c r="C17" i="91"/>
  <c r="O7" i="153"/>
  <c r="C25" i="91"/>
  <c r="O6" i="153"/>
  <c r="C24" i="91"/>
  <c r="O5" i="153"/>
  <c r="C23" i="91"/>
  <c r="G31" i="81"/>
  <c r="G32" i="81"/>
  <c r="G27" i="81"/>
  <c r="G39" i="81"/>
  <c r="G28" i="81"/>
  <c r="G36" i="81"/>
  <c r="G29" i="81"/>
  <c r="G33" i="81"/>
  <c r="G37" i="81"/>
  <c r="G35" i="81"/>
  <c r="G30" i="81"/>
  <c r="G34" i="81"/>
  <c r="G38" i="81"/>
  <c r="K9" i="155"/>
  <c r="E3" i="155" s="1"/>
  <c r="M16" i="155"/>
  <c r="D4" i="155"/>
  <c r="D8" i="155"/>
  <c r="D7" i="155"/>
  <c r="D6" i="155"/>
  <c r="D5" i="155"/>
  <c r="M19" i="155"/>
  <c r="M23" i="155"/>
  <c r="M29" i="155"/>
  <c r="M18" i="155"/>
  <c r="M22" i="155"/>
  <c r="M26" i="155"/>
  <c r="M28" i="155"/>
  <c r="M20" i="155"/>
  <c r="M24" i="155"/>
  <c r="M30" i="155"/>
  <c r="M17" i="155"/>
  <c r="M21" i="155"/>
  <c r="M25" i="155"/>
  <c r="M27" i="155"/>
  <c r="M31" i="155"/>
  <c r="D21" i="89"/>
  <c r="E16" i="89" s="1"/>
  <c r="J13" i="85"/>
  <c r="B15" i="98"/>
  <c r="D21" i="99"/>
  <c r="E16" i="99" s="1"/>
  <c r="H25" i="91"/>
  <c r="O12" i="158" s="1"/>
  <c r="H21" i="91"/>
  <c r="I8" i="91" s="1"/>
  <c r="H23" i="91"/>
  <c r="O10" i="158" s="1"/>
  <c r="H14" i="98"/>
  <c r="H22" i="91"/>
  <c r="O9" i="158" s="1"/>
  <c r="H24" i="91"/>
  <c r="O11" i="158" s="1"/>
  <c r="C24" i="178" l="1"/>
  <c r="Q109" i="179"/>
  <c r="C59" i="179" s="1"/>
  <c r="Q109" i="178"/>
  <c r="C59" i="178" s="1"/>
  <c r="Q107" i="178"/>
  <c r="C57" i="178" s="1"/>
  <c r="Q107" i="179"/>
  <c r="C57" i="179" s="1"/>
  <c r="Q105" i="179"/>
  <c r="C55" i="179" s="1"/>
  <c r="Q105" i="178"/>
  <c r="C55" i="178" s="1"/>
  <c r="Q108" i="179"/>
  <c r="C58" i="179" s="1"/>
  <c r="Q108" i="178"/>
  <c r="C58" i="178" s="1"/>
  <c r="Q110" i="178"/>
  <c r="C60" i="178" s="1"/>
  <c r="Q110" i="179"/>
  <c r="C60" i="179" s="1"/>
  <c r="Q106" i="178"/>
  <c r="C56" i="178" s="1"/>
  <c r="Q106" i="179"/>
  <c r="C56" i="179" s="1"/>
  <c r="C49" i="178"/>
  <c r="C49" i="179"/>
  <c r="L75" i="178"/>
  <c r="L75" i="179"/>
  <c r="M75" i="178"/>
  <c r="M75" i="179"/>
  <c r="K75" i="178"/>
  <c r="B50" i="178" s="1"/>
  <c r="K75" i="179"/>
  <c r="B50" i="179" s="1"/>
  <c r="Q45" i="178"/>
  <c r="C30" i="178" s="1"/>
  <c r="Q45" i="179"/>
  <c r="C30" i="179" s="1"/>
  <c r="Q47" i="178"/>
  <c r="C32" i="178" s="1"/>
  <c r="Q47" i="179"/>
  <c r="C32" i="179" s="1"/>
  <c r="Q48" i="179"/>
  <c r="C33" i="179" s="1"/>
  <c r="Q48" i="178"/>
  <c r="C33" i="178" s="1"/>
  <c r="Q44" i="179"/>
  <c r="C29" i="179" s="1"/>
  <c r="Q44" i="178"/>
  <c r="C29" i="178" s="1"/>
  <c r="Q43" i="179"/>
  <c r="C28" i="179" s="1"/>
  <c r="Q43" i="178"/>
  <c r="C28" i="178" s="1"/>
  <c r="Q46" i="179"/>
  <c r="C31" i="179" s="1"/>
  <c r="Q46" i="178"/>
  <c r="C31" i="178" s="1"/>
  <c r="C24" i="179"/>
  <c r="H15" i="98"/>
  <c r="I15" i="98" s="1"/>
  <c r="C15" i="98"/>
  <c r="G43" i="81"/>
  <c r="N32" i="155"/>
  <c r="N33" i="155"/>
  <c r="K39" i="85"/>
  <c r="K38" i="85"/>
  <c r="N34" i="155"/>
  <c r="N15" i="155"/>
  <c r="K40" i="85"/>
  <c r="M10" i="158"/>
  <c r="Q10" i="158"/>
  <c r="M11" i="158"/>
  <c r="P11" i="158" s="1"/>
  <c r="Q11" i="158"/>
  <c r="M9" i="158"/>
  <c r="Q9" i="158"/>
  <c r="Q12" i="158"/>
  <c r="M12" i="158"/>
  <c r="P12" i="158" s="1"/>
  <c r="P5" i="158"/>
  <c r="M21" i="158"/>
  <c r="P4" i="158"/>
  <c r="M20" i="158"/>
  <c r="K17" i="90"/>
  <c r="K20" i="90"/>
  <c r="M7" i="153"/>
  <c r="P7" i="153" s="1"/>
  <c r="Q7" i="153"/>
  <c r="M6" i="153"/>
  <c r="P6" i="153" s="1"/>
  <c r="Q6" i="153"/>
  <c r="M4" i="153"/>
  <c r="P4" i="153" s="1"/>
  <c r="Q4" i="153"/>
  <c r="M5" i="153"/>
  <c r="P5" i="153" s="1"/>
  <c r="Q5" i="153"/>
  <c r="E19" i="89"/>
  <c r="E18" i="89"/>
  <c r="E17" i="89"/>
  <c r="E20" i="89"/>
  <c r="N16" i="155"/>
  <c r="K11" i="155"/>
  <c r="L10" i="155"/>
  <c r="C11" i="102"/>
  <c r="K34" i="85"/>
  <c r="K30" i="85"/>
  <c r="K26" i="85"/>
  <c r="K22" i="85"/>
  <c r="K32" i="85"/>
  <c r="K24" i="85"/>
  <c r="K31" i="85"/>
  <c r="K27" i="85"/>
  <c r="K37" i="85"/>
  <c r="K33" i="85"/>
  <c r="K29" i="85"/>
  <c r="K25" i="85"/>
  <c r="K21" i="85"/>
  <c r="K36" i="85"/>
  <c r="K28" i="85"/>
  <c r="K35" i="85"/>
  <c r="K23" i="85"/>
  <c r="E18" i="99"/>
  <c r="E20" i="99"/>
  <c r="E19" i="99"/>
  <c r="E17" i="99"/>
  <c r="I16" i="98"/>
  <c r="I8" i="98"/>
  <c r="I5" i="98"/>
  <c r="I10" i="98"/>
  <c r="I13" i="98"/>
  <c r="I7" i="98"/>
  <c r="I6" i="98"/>
  <c r="I11" i="98"/>
  <c r="I12" i="98"/>
  <c r="I9" i="98"/>
  <c r="O12" i="153"/>
  <c r="Q12" i="153" s="1"/>
  <c r="I25" i="91"/>
  <c r="I19" i="91"/>
  <c r="I10" i="91"/>
  <c r="I17" i="91"/>
  <c r="I20" i="91"/>
  <c r="O10" i="153"/>
  <c r="I23" i="91"/>
  <c r="I15" i="91"/>
  <c r="I6" i="91"/>
  <c r="I13" i="91"/>
  <c r="I16" i="91"/>
  <c r="O11" i="153"/>
  <c r="I24" i="91"/>
  <c r="I11" i="91"/>
  <c r="I18" i="91"/>
  <c r="I9" i="91"/>
  <c r="I12" i="91"/>
  <c r="O9" i="153"/>
  <c r="Q9" i="153" s="1"/>
  <c r="I22" i="91"/>
  <c r="I7" i="91"/>
  <c r="I14" i="91"/>
  <c r="I5" i="91"/>
  <c r="K14" i="90"/>
  <c r="K12" i="90"/>
  <c r="K11" i="90"/>
  <c r="K13" i="90"/>
  <c r="K19" i="90"/>
  <c r="K18" i="90"/>
  <c r="K16" i="90"/>
  <c r="K8" i="90"/>
  <c r="K15" i="90"/>
  <c r="K7" i="90"/>
  <c r="K6" i="90"/>
  <c r="K5" i="90"/>
  <c r="K9" i="90"/>
  <c r="K10" i="90"/>
  <c r="N21" i="155"/>
  <c r="N28" i="155"/>
  <c r="N26" i="155"/>
  <c r="N17" i="155"/>
  <c r="N18" i="155"/>
  <c r="N29" i="155"/>
  <c r="R11" i="155"/>
  <c r="N25" i="155"/>
  <c r="N22" i="155"/>
  <c r="N23" i="155"/>
  <c r="N19" i="155"/>
  <c r="N24" i="155"/>
  <c r="N20" i="155"/>
  <c r="N31" i="155"/>
  <c r="F6" i="155"/>
  <c r="F4" i="155"/>
  <c r="F8" i="155"/>
  <c r="F5" i="155"/>
  <c r="F7" i="155"/>
  <c r="N30" i="155"/>
  <c r="N27" i="155"/>
  <c r="C7" i="155"/>
  <c r="C4" i="155"/>
  <c r="C8" i="155"/>
  <c r="C5" i="155"/>
  <c r="C6" i="155"/>
  <c r="L9" i="155"/>
  <c r="L6" i="155"/>
  <c r="J6" i="155"/>
  <c r="J15" i="85"/>
  <c r="K14" i="85" s="1"/>
  <c r="J11" i="155"/>
  <c r="C11" i="93"/>
  <c r="C21" i="91"/>
  <c r="D5" i="90"/>
  <c r="C10" i="99"/>
  <c r="C14" i="98"/>
  <c r="Q111" i="178" l="1"/>
  <c r="C61" i="178" s="1"/>
  <c r="Q111" i="179"/>
  <c r="C61" i="179" s="1"/>
  <c r="C50" i="178"/>
  <c r="C50" i="179"/>
  <c r="Q49" i="178"/>
  <c r="C34" i="178" s="1"/>
  <c r="Q49" i="179"/>
  <c r="C34" i="179" s="1"/>
  <c r="K21" i="90"/>
  <c r="P9" i="158"/>
  <c r="M23" i="158"/>
  <c r="P10" i="158"/>
  <c r="M24" i="158"/>
  <c r="O20" i="158"/>
  <c r="Q20" i="158" s="1"/>
  <c r="O21" i="158"/>
  <c r="Q21" i="158" s="1"/>
  <c r="M12" i="153"/>
  <c r="P12" i="153" s="1"/>
  <c r="M10" i="153"/>
  <c r="P10" i="153" s="1"/>
  <c r="Q10" i="153"/>
  <c r="M11" i="153"/>
  <c r="P11" i="153" s="1"/>
  <c r="Q11" i="153"/>
  <c r="M9" i="153"/>
  <c r="P9" i="153" s="1"/>
  <c r="K13" i="85"/>
  <c r="E6" i="155"/>
  <c r="E4" i="155"/>
  <c r="R13" i="155"/>
  <c r="E8" i="155"/>
  <c r="E5" i="155"/>
  <c r="E7" i="155"/>
  <c r="K8" i="85"/>
  <c r="E21" i="99"/>
  <c r="L11" i="155"/>
  <c r="I14" i="98"/>
  <c r="I21" i="91"/>
  <c r="E21" i="89"/>
  <c r="P20" i="158" l="1"/>
  <c r="P21" i="158"/>
  <c r="S12" i="155"/>
  <c r="S13" i="155"/>
  <c r="S11" i="155"/>
  <c r="S9" i="155"/>
  <c r="S10" i="155"/>
  <c r="O24" i="158"/>
  <c r="Q24" i="158" s="1"/>
  <c r="O23" i="158"/>
  <c r="Q23" i="158" s="1"/>
  <c r="K15" i="85"/>
  <c r="P23" i="158" l="1"/>
  <c r="P24" i="158"/>
  <c r="G22" i="82"/>
  <c r="H43" i="81"/>
  <c r="H21" i="81" l="1"/>
  <c r="H42" i="81"/>
  <c r="E30" i="81"/>
  <c r="E39" i="81"/>
  <c r="E31" i="81"/>
  <c r="E32" i="81"/>
  <c r="E36" i="81"/>
  <c r="E29" i="81"/>
  <c r="E38" i="81"/>
  <c r="E37" i="81"/>
  <c r="E33" i="81"/>
  <c r="E35" i="81"/>
  <c r="E28" i="81"/>
  <c r="E40" i="81"/>
  <c r="E34" i="81"/>
  <c r="E41" i="81"/>
  <c r="H20" i="82"/>
  <c r="H9" i="82"/>
  <c r="H7" i="82"/>
  <c r="H6" i="82"/>
  <c r="H14" i="82"/>
  <c r="H21" i="82"/>
  <c r="H11" i="82"/>
  <c r="H13" i="82"/>
  <c r="H15" i="82"/>
  <c r="H10" i="82"/>
  <c r="H19" i="82"/>
  <c r="H17" i="82"/>
  <c r="H8" i="82"/>
  <c r="H16" i="82"/>
  <c r="H12" i="82"/>
  <c r="H18" i="82"/>
  <c r="H25" i="82"/>
  <c r="H23" i="82"/>
  <c r="H24" i="82"/>
  <c r="H26" i="82"/>
  <c r="H14" i="81"/>
  <c r="H10" i="81"/>
  <c r="H18" i="81"/>
  <c r="H13" i="81"/>
  <c r="H7" i="81"/>
  <c r="H8" i="81"/>
  <c r="H11" i="81"/>
  <c r="H15" i="81"/>
  <c r="H16" i="81"/>
  <c r="H12" i="81"/>
  <c r="H19" i="81"/>
  <c r="H9" i="81"/>
  <c r="H17" i="81"/>
  <c r="H20" i="81"/>
  <c r="H41" i="81"/>
  <c r="H40" i="81"/>
  <c r="H39" i="81"/>
  <c r="H36" i="81"/>
  <c r="H37" i="81"/>
  <c r="H31" i="81"/>
  <c r="H35" i="81"/>
  <c r="H30" i="81"/>
  <c r="H28" i="81"/>
  <c r="H29" i="81"/>
  <c r="H34" i="81"/>
  <c r="H32" i="81"/>
  <c r="H33" i="81"/>
  <c r="H38" i="81"/>
  <c r="C12" i="84"/>
  <c r="C23" i="84"/>
  <c r="E15" i="85"/>
  <c r="C22" i="82"/>
  <c r="F23" i="84" l="1"/>
  <c r="E27" i="81"/>
  <c r="E6" i="81"/>
  <c r="E22" i="81"/>
  <c r="F12" i="84"/>
  <c r="H22" i="82"/>
  <c r="H27" i="81"/>
  <c r="H6" i="81"/>
  <c r="H22" i="81"/>
  <c r="E43" i="81"/>
  <c r="C7" i="89" l="1"/>
  <c r="C5" i="89"/>
  <c r="C6" i="89"/>
  <c r="C9" i="89"/>
  <c r="C8" i="89"/>
  <c r="C10" i="89" l="1"/>
  <c r="Q48" i="191"/>
  <c r="Q51" i="191"/>
  <c r="Q59" i="191"/>
  <c r="Q67" i="191"/>
  <c r="Q52" i="191"/>
  <c r="Q60" i="191"/>
  <c r="Q68" i="191"/>
  <c r="Q53" i="191"/>
  <c r="Q61" i="191"/>
  <c r="Q69" i="191"/>
  <c r="Q54" i="191"/>
  <c r="Q62" i="191"/>
  <c r="Q70" i="191"/>
  <c r="Q49" i="191"/>
  <c r="Q55" i="191"/>
  <c r="Q63" i="191"/>
  <c r="Q71" i="191"/>
  <c r="Q56" i="191"/>
  <c r="Q64" i="191"/>
  <c r="Q72" i="191"/>
  <c r="Q57" i="191"/>
  <c r="Q65" i="191"/>
  <c r="Q73" i="191"/>
  <c r="Q50" i="191"/>
  <c r="Q58" i="191"/>
  <c r="P91" i="191"/>
  <c r="Q66" i="191"/>
  <c r="Q91" i="191" l="1"/>
</calcChain>
</file>

<file path=xl/sharedStrings.xml><?xml version="1.0" encoding="utf-8"?>
<sst xmlns="http://schemas.openxmlformats.org/spreadsheetml/2006/main" count="5009" uniqueCount="752">
  <si>
    <t>人数</t>
    <rPh sb="0" eb="2">
      <t>ニンズウ</t>
    </rPh>
    <phoneticPr fontId="2"/>
  </si>
  <si>
    <t>割合</t>
    <rPh sb="0" eb="2">
      <t>ワリアイ</t>
    </rPh>
    <phoneticPr fontId="2"/>
  </si>
  <si>
    <t>19歳以下</t>
  </si>
  <si>
    <t>20歳代</t>
  </si>
  <si>
    <t>30歳代</t>
  </si>
  <si>
    <t>40歳代</t>
  </si>
  <si>
    <t>50歳代</t>
  </si>
  <si>
    <t>60歳代</t>
  </si>
  <si>
    <t>70歳代</t>
  </si>
  <si>
    <t>80歳代</t>
  </si>
  <si>
    <t>90歳以上</t>
  </si>
  <si>
    <t>総計</t>
    <rPh sb="0" eb="2">
      <t>ソウケイ</t>
    </rPh>
    <phoneticPr fontId="2"/>
  </si>
  <si>
    <t>計</t>
    <rPh sb="0" eb="1">
      <t>ケイ</t>
    </rPh>
    <phoneticPr fontId="2"/>
  </si>
  <si>
    <t>〔全状態像〕</t>
    <rPh sb="1" eb="2">
      <t>ゼン</t>
    </rPh>
    <rPh sb="2" eb="4">
      <t>ジョウタイ</t>
    </rPh>
    <rPh sb="4" eb="5">
      <t>ゾウ</t>
    </rPh>
    <phoneticPr fontId="2"/>
  </si>
  <si>
    <t>措置入院・緊急措置入院</t>
  </si>
  <si>
    <t>医療保護入院</t>
  </si>
  <si>
    <t>任意入院</t>
  </si>
  <si>
    <t>応急入院</t>
  </si>
  <si>
    <t>その他</t>
  </si>
  <si>
    <t>アルツハイマー病の認知症・血管性認知症以外の、
症状性を含む器質性精神障害（F02-F09）</t>
  </si>
  <si>
    <t>精神作用物質使用による精神及び行動の障害（F1）</t>
  </si>
  <si>
    <t>統合失調症、統合失調症型障害及び妄想性障害（F2）</t>
  </si>
  <si>
    <t>気分（感情）障害（F3）</t>
  </si>
  <si>
    <t>心理的発達の障害（F8）</t>
  </si>
  <si>
    <t>神経症性障害、ストレス関連障害及び身体表現性障害（F4）</t>
    <phoneticPr fontId="2"/>
  </si>
  <si>
    <t>生理的障害及び身体的要因に関連した行動症候群（F5）</t>
    <phoneticPr fontId="2"/>
  </si>
  <si>
    <t>2年～3年未満</t>
    <phoneticPr fontId="2"/>
  </si>
  <si>
    <t>3年～4年未満</t>
    <phoneticPr fontId="2"/>
  </si>
  <si>
    <t>寛解</t>
  </si>
  <si>
    <t>院内寛解</t>
  </si>
  <si>
    <t>軽度</t>
  </si>
  <si>
    <t>中等度</t>
  </si>
  <si>
    <t>重度</t>
  </si>
  <si>
    <t>最重度</t>
  </si>
  <si>
    <t>退院阻害要因がある</t>
    <rPh sb="0" eb="2">
      <t>タイイン</t>
    </rPh>
    <rPh sb="2" eb="4">
      <t>ソガイ</t>
    </rPh>
    <rPh sb="4" eb="6">
      <t>ヨウイン</t>
    </rPh>
    <phoneticPr fontId="2"/>
  </si>
  <si>
    <t>退院阻害要因はない</t>
  </si>
  <si>
    <t>退院予定</t>
  </si>
  <si>
    <t>反社会的行動が予測される</t>
  </si>
  <si>
    <t>退院意欲が乏しい</t>
  </si>
  <si>
    <t>現実認識が乏しい</t>
  </si>
  <si>
    <t>退院による環境変化への不安が強い</t>
  </si>
  <si>
    <t>援助者との対人関係がもてない</t>
  </si>
  <si>
    <t>家事（食事・洗濯・金銭管理など）ができない</t>
  </si>
  <si>
    <t>家族がいない、本人をサポートする機能が実質ない</t>
  </si>
  <si>
    <t>家族から退院に反対がある</t>
  </si>
  <si>
    <t>住まいの確保ができない</t>
  </si>
  <si>
    <t>生活費の確保ができない</t>
  </si>
  <si>
    <t>日常生活を支える制度がない</t>
  </si>
  <si>
    <t>救急診療体制がない</t>
  </si>
  <si>
    <t>退院に向けてサポートする人的資源が乏しい</t>
  </si>
  <si>
    <t>退院後サポート・マネジメントする人的資源が乏しい</t>
  </si>
  <si>
    <t>住所地と入院先の距離があり支援体制をとりにくい</t>
  </si>
  <si>
    <t>その他の退院阻害要因がある</t>
  </si>
  <si>
    <t>【退院阻害要因の有無】</t>
    <phoneticPr fontId="2"/>
  </si>
  <si>
    <t>【退院阻害要因（複数回答）】</t>
    <phoneticPr fontId="2"/>
  </si>
  <si>
    <t>1年未満（再掲）</t>
    <rPh sb="5" eb="7">
      <t>サイケイ</t>
    </rPh>
    <phoneticPr fontId="2"/>
  </si>
  <si>
    <t>1年以上5年未満（再掲）</t>
    <rPh sb="2" eb="4">
      <t>イジョウ</t>
    </rPh>
    <rPh sb="9" eb="11">
      <t>サイケイ</t>
    </rPh>
    <phoneticPr fontId="2"/>
  </si>
  <si>
    <t>5年以上10年未満（再掲）</t>
    <rPh sb="1" eb="2">
      <t>ネン</t>
    </rPh>
    <rPh sb="2" eb="4">
      <t>イジョウ</t>
    </rPh>
    <rPh sb="10" eb="12">
      <t>サイケイ</t>
    </rPh>
    <phoneticPr fontId="2"/>
  </si>
  <si>
    <t>10年以上（再掲）</t>
    <rPh sb="6" eb="8">
      <t>サイケイ</t>
    </rPh>
    <phoneticPr fontId="2"/>
  </si>
  <si>
    <t>1ヶ月未満</t>
  </si>
  <si>
    <t>20年以上</t>
  </si>
  <si>
    <t>合計</t>
    <rPh sb="0" eb="2">
      <t>ゴウケイ</t>
    </rPh>
    <phoneticPr fontId="2"/>
  </si>
  <si>
    <t>データ貼り付け箇所</t>
    <rPh sb="3" eb="4">
      <t>ハ</t>
    </rPh>
    <rPh sb="5" eb="6">
      <t>ツ</t>
    </rPh>
    <rPh sb="7" eb="9">
      <t>カショ</t>
    </rPh>
    <phoneticPr fontId="2"/>
  </si>
  <si>
    <t>在院期間区分</t>
    <rPh sb="0" eb="2">
      <t>ザイイン</t>
    </rPh>
    <rPh sb="2" eb="4">
      <t>キカン</t>
    </rPh>
    <rPh sb="4" eb="6">
      <t>クブン</t>
    </rPh>
    <phoneticPr fontId="2"/>
  </si>
  <si>
    <t>年齢階層</t>
    <rPh sb="0" eb="2">
      <t>ネンレイ</t>
    </rPh>
    <rPh sb="2" eb="4">
      <t>カイソウ</t>
    </rPh>
    <phoneticPr fontId="2"/>
  </si>
  <si>
    <t>病識がなく通院服薬の中断が予測される</t>
    <phoneticPr fontId="2"/>
  </si>
  <si>
    <t>てんかん（症状性を含む器質性障害(F0)に属さないもの）</t>
  </si>
  <si>
    <t>アルツハイマー病の認知症・血管性認知症以外の、症状性を含む器質性精神障害（F02-F09）</t>
  </si>
  <si>
    <t>1年未満</t>
    <phoneticPr fontId="2"/>
  </si>
  <si>
    <t>1年以上
5年未満</t>
    <phoneticPr fontId="2"/>
  </si>
  <si>
    <t>5年以上
10年未満</t>
    <phoneticPr fontId="2"/>
  </si>
  <si>
    <t>10年以上</t>
    <phoneticPr fontId="2"/>
  </si>
  <si>
    <t>統合失調症、統合失調症型障害及び妄想性障害（F2）</t>
    <phoneticPr fontId="2"/>
  </si>
  <si>
    <t>気分（感情）障害（F3）</t>
    <phoneticPr fontId="2"/>
  </si>
  <si>
    <t>【退院阻害要因×在院期間区分】</t>
    <rPh sb="1" eb="3">
      <t>タイイン</t>
    </rPh>
    <rPh sb="3" eb="5">
      <t>ソガイ</t>
    </rPh>
    <rPh sb="5" eb="7">
      <t>ヨウイン</t>
    </rPh>
    <rPh sb="8" eb="10">
      <t>ザイイン</t>
    </rPh>
    <rPh sb="10" eb="12">
      <t>キカン</t>
    </rPh>
    <rPh sb="12" eb="14">
      <t>クブン</t>
    </rPh>
    <phoneticPr fontId="2"/>
  </si>
  <si>
    <t>【退院阻害要因×在院期間区分】〔寛解・院内寛解群〕</t>
    <rPh sb="16" eb="18">
      <t>カンカイ</t>
    </rPh>
    <rPh sb="19" eb="21">
      <t>インナイ</t>
    </rPh>
    <rPh sb="21" eb="23">
      <t>カンカイ</t>
    </rPh>
    <rPh sb="23" eb="24">
      <t>グン</t>
    </rPh>
    <phoneticPr fontId="2"/>
  </si>
  <si>
    <t>【退院阻害要因×疾患名区分（F0,F2,F3）】</t>
    <rPh sb="1" eb="3">
      <t>タイイン</t>
    </rPh>
    <rPh sb="3" eb="5">
      <t>ソガイ</t>
    </rPh>
    <rPh sb="5" eb="7">
      <t>ヨウイン</t>
    </rPh>
    <rPh sb="8" eb="10">
      <t>シッカン</t>
    </rPh>
    <rPh sb="10" eb="11">
      <t>メイ</t>
    </rPh>
    <rPh sb="11" eb="13">
      <t>クブン</t>
    </rPh>
    <phoneticPr fontId="2"/>
  </si>
  <si>
    <t>疾患名区分</t>
    <rPh sb="0" eb="2">
      <t>シッカン</t>
    </rPh>
    <rPh sb="2" eb="3">
      <t>メイ</t>
    </rPh>
    <rPh sb="3" eb="5">
      <t>クブン</t>
    </rPh>
    <phoneticPr fontId="2"/>
  </si>
  <si>
    <t>【退院阻害要因×疾患名区分（F0,F2,F3）】〔寛解・院内寛解群〕</t>
    <rPh sb="25" eb="27">
      <t>カンカイ</t>
    </rPh>
    <rPh sb="28" eb="30">
      <t>インナイ</t>
    </rPh>
    <rPh sb="30" eb="32">
      <t>カンカイ</t>
    </rPh>
    <rPh sb="32" eb="33">
      <t>グン</t>
    </rPh>
    <phoneticPr fontId="2"/>
  </si>
  <si>
    <t>心理的発達の障害（F8）</t>
    <phoneticPr fontId="2"/>
  </si>
  <si>
    <t>【年齢区分（在院期間１年以上）】</t>
    <rPh sb="6" eb="8">
      <t>ザイイン</t>
    </rPh>
    <rPh sb="8" eb="10">
      <t>キカン</t>
    </rPh>
    <rPh sb="11" eb="12">
      <t>ネン</t>
    </rPh>
    <rPh sb="12" eb="14">
      <t>イジョウ</t>
    </rPh>
    <phoneticPr fontId="2"/>
  </si>
  <si>
    <t>65歳以上</t>
    <rPh sb="2" eb="5">
      <t>サイイジョウ</t>
    </rPh>
    <phoneticPr fontId="2"/>
  </si>
  <si>
    <t>65歳以上（再掲）</t>
    <rPh sb="2" eb="3">
      <t>サイ</t>
    </rPh>
    <rPh sb="3" eb="5">
      <t>イジョウ</t>
    </rPh>
    <rPh sb="6" eb="8">
      <t>サイケイ</t>
    </rPh>
    <phoneticPr fontId="2"/>
  </si>
  <si>
    <t>65歳以上（再掲）</t>
    <rPh sb="2" eb="5">
      <t>サイイジョウ</t>
    </rPh>
    <rPh sb="6" eb="8">
      <t>サイケイ</t>
    </rPh>
    <phoneticPr fontId="2"/>
  </si>
  <si>
    <t>65歳未満（再掲）</t>
    <rPh sb="2" eb="5">
      <t>サイミマン</t>
    </rPh>
    <rPh sb="6" eb="8">
      <t>サイケイ</t>
    </rPh>
    <phoneticPr fontId="2"/>
  </si>
  <si>
    <t>65歳未満（再掲）</t>
    <rPh sb="3" eb="5">
      <t>ミマン</t>
    </rPh>
    <rPh sb="6" eb="8">
      <t>サイケイ</t>
    </rPh>
    <phoneticPr fontId="2"/>
  </si>
  <si>
    <t>65歳～69歳</t>
    <rPh sb="2" eb="3">
      <t>サイ</t>
    </rPh>
    <rPh sb="6" eb="7">
      <t>サイ</t>
    </rPh>
    <phoneticPr fontId="2"/>
  </si>
  <si>
    <t>70歳～74歳</t>
    <rPh sb="2" eb="3">
      <t>サイ</t>
    </rPh>
    <rPh sb="6" eb="7">
      <t>サイ</t>
    </rPh>
    <phoneticPr fontId="2"/>
  </si>
  <si>
    <t>75歳～79歳</t>
    <rPh sb="2" eb="3">
      <t>サイ</t>
    </rPh>
    <rPh sb="6" eb="7">
      <t>サイ</t>
    </rPh>
    <phoneticPr fontId="2"/>
  </si>
  <si>
    <t>80歳～84歳</t>
    <rPh sb="2" eb="3">
      <t>サイ</t>
    </rPh>
    <rPh sb="6" eb="7">
      <t>サイ</t>
    </rPh>
    <phoneticPr fontId="2"/>
  </si>
  <si>
    <t>85歳～89歳</t>
    <rPh sb="2" eb="3">
      <t>サイ</t>
    </rPh>
    <rPh sb="6" eb="7">
      <t>サイ</t>
    </rPh>
    <phoneticPr fontId="2"/>
  </si>
  <si>
    <t>措置入院・緊急措置入院</t>
    <rPh sb="0" eb="2">
      <t>ソチ</t>
    </rPh>
    <rPh sb="2" eb="4">
      <t>ニュウイン</t>
    </rPh>
    <rPh sb="5" eb="7">
      <t>キンキュウ</t>
    </rPh>
    <rPh sb="7" eb="9">
      <t>ソチ</t>
    </rPh>
    <rPh sb="9" eb="11">
      <t>ニュウイン</t>
    </rPh>
    <phoneticPr fontId="2"/>
  </si>
  <si>
    <t>医療保護入院</t>
    <rPh sb="0" eb="2">
      <t>イリョウ</t>
    </rPh>
    <rPh sb="2" eb="4">
      <t>ホゴ</t>
    </rPh>
    <rPh sb="4" eb="6">
      <t>ニュウイン</t>
    </rPh>
    <phoneticPr fontId="2"/>
  </si>
  <si>
    <t>任意入院</t>
    <rPh sb="0" eb="2">
      <t>ニンイ</t>
    </rPh>
    <rPh sb="2" eb="4">
      <t>ニュウイン</t>
    </rPh>
    <phoneticPr fontId="2"/>
  </si>
  <si>
    <t>応急入院</t>
    <rPh sb="0" eb="2">
      <t>オウキュウ</t>
    </rPh>
    <rPh sb="2" eb="4">
      <t>ニュウイン</t>
    </rPh>
    <phoneticPr fontId="2"/>
  </si>
  <si>
    <t>その他</t>
    <rPh sb="2" eb="3">
      <t>タ</t>
    </rPh>
    <phoneticPr fontId="2"/>
  </si>
  <si>
    <t>うち寛解・院内寛解群</t>
    <rPh sb="2" eb="4">
      <t>カンカイ</t>
    </rPh>
    <rPh sb="5" eb="7">
      <t>インナイ</t>
    </rPh>
    <rPh sb="7" eb="9">
      <t>カンカイ</t>
    </rPh>
    <rPh sb="9" eb="10">
      <t>グン</t>
    </rPh>
    <phoneticPr fontId="2"/>
  </si>
  <si>
    <t>(再掲：患者全体)</t>
    <rPh sb="1" eb="3">
      <t>サイケイ</t>
    </rPh>
    <rPh sb="4" eb="6">
      <t>カンジャ</t>
    </rPh>
    <rPh sb="6" eb="8">
      <t>ゼンタイ</t>
    </rPh>
    <phoneticPr fontId="2"/>
  </si>
  <si>
    <t>血管性認知症を含む器質性精神障害（F01）</t>
    <phoneticPr fontId="2"/>
  </si>
  <si>
    <t>神経症性障害、ストレス関連障害及び身体表現性障害（F4）</t>
    <phoneticPr fontId="2"/>
  </si>
  <si>
    <t>生理的障害及び身体的要因に関連した行動症候群（F5）</t>
    <phoneticPr fontId="2"/>
  </si>
  <si>
    <t>65歳以上全体</t>
    <rPh sb="2" eb="5">
      <t>サイイジョウ</t>
    </rPh>
    <rPh sb="5" eb="7">
      <t>ゼンタイ</t>
    </rPh>
    <phoneticPr fontId="2"/>
  </si>
  <si>
    <t xml:space="preserve">退院阻害要因がある  </t>
    <rPh sb="0" eb="2">
      <t>タイイン</t>
    </rPh>
    <rPh sb="2" eb="4">
      <t>ソガイ</t>
    </rPh>
    <rPh sb="4" eb="6">
      <t>ヨウイン</t>
    </rPh>
    <phoneticPr fontId="2"/>
  </si>
  <si>
    <t>退院阻害要因はない</t>
    <phoneticPr fontId="2"/>
  </si>
  <si>
    <t>【年齢区分】</t>
    <phoneticPr fontId="2"/>
  </si>
  <si>
    <t>〔寛解・院内寛解群〕</t>
    <phoneticPr fontId="2"/>
  </si>
  <si>
    <t>寛解</t>
    <phoneticPr fontId="2"/>
  </si>
  <si>
    <t>院内寛解</t>
    <phoneticPr fontId="2"/>
  </si>
  <si>
    <t>【入院形態区分】</t>
    <phoneticPr fontId="2"/>
  </si>
  <si>
    <t>【疾患名区分】</t>
    <phoneticPr fontId="2"/>
  </si>
  <si>
    <t>症状性を含む器質性精神障害（F0）</t>
    <phoneticPr fontId="2"/>
  </si>
  <si>
    <t>アルツハイマー病の認知症を含む器質性精神障害（F00）</t>
    <phoneticPr fontId="2"/>
  </si>
  <si>
    <t>血管性認知症を含む器質性精神障害（F01）</t>
    <phoneticPr fontId="2"/>
  </si>
  <si>
    <t>てんかん（症状性を含む器質性障害(F0)に属さないもの）</t>
    <phoneticPr fontId="2"/>
  </si>
  <si>
    <t>【在院期間区分】</t>
    <phoneticPr fontId="2"/>
  </si>
  <si>
    <t>〔寛解・院内寛解群〕</t>
    <phoneticPr fontId="2"/>
  </si>
  <si>
    <t>寛解</t>
    <phoneticPr fontId="2"/>
  </si>
  <si>
    <t>院内寛解</t>
    <phoneticPr fontId="2"/>
  </si>
  <si>
    <t>1ヶ月未満</t>
    <phoneticPr fontId="2"/>
  </si>
  <si>
    <t>1ヶ月～3ヶ月未満</t>
    <phoneticPr fontId="2"/>
  </si>
  <si>
    <t>1ヶ月～3ヶ月未満</t>
    <phoneticPr fontId="2"/>
  </si>
  <si>
    <t>3ヶ月～6ヶ月未満</t>
    <phoneticPr fontId="2"/>
  </si>
  <si>
    <t>6ヶ月～1年未満</t>
    <phoneticPr fontId="2"/>
  </si>
  <si>
    <t>1年～1年6ヶ月未満</t>
    <phoneticPr fontId="2"/>
  </si>
  <si>
    <t>1年6ヶ月～2年未満</t>
    <phoneticPr fontId="2"/>
  </si>
  <si>
    <t>2年～3年未満</t>
    <phoneticPr fontId="2"/>
  </si>
  <si>
    <t>4年～5年未満</t>
    <phoneticPr fontId="2"/>
  </si>
  <si>
    <t>5年～6年未満</t>
    <phoneticPr fontId="2"/>
  </si>
  <si>
    <t>6年～7年未満</t>
    <phoneticPr fontId="2"/>
  </si>
  <si>
    <t>7年～8年未満</t>
    <phoneticPr fontId="2"/>
  </si>
  <si>
    <t>8年～9年未満</t>
    <phoneticPr fontId="2"/>
  </si>
  <si>
    <t>9年～10年未満</t>
    <phoneticPr fontId="2"/>
  </si>
  <si>
    <t>10年～20年未満</t>
    <phoneticPr fontId="2"/>
  </si>
  <si>
    <t>20年以上</t>
    <phoneticPr fontId="2"/>
  </si>
  <si>
    <t>【状態像区分】</t>
    <phoneticPr fontId="2"/>
  </si>
  <si>
    <t>〔寛解・院内寛解群〕</t>
    <phoneticPr fontId="2"/>
  </si>
  <si>
    <t>寛解</t>
    <phoneticPr fontId="2"/>
  </si>
  <si>
    <t>院内寛解</t>
    <phoneticPr fontId="2"/>
  </si>
  <si>
    <t>【入院形態区分（在院期間１年以上）】</t>
    <phoneticPr fontId="2"/>
  </si>
  <si>
    <t>〔寛解・院内寛解群〕</t>
    <phoneticPr fontId="2"/>
  </si>
  <si>
    <t>寛解</t>
    <phoneticPr fontId="2"/>
  </si>
  <si>
    <t>院内寛解</t>
    <phoneticPr fontId="2"/>
  </si>
  <si>
    <t>【疾患名区分（在院期間１年以上）】</t>
    <phoneticPr fontId="2"/>
  </si>
  <si>
    <t>〔寛解・院内寛解群〕</t>
    <phoneticPr fontId="2"/>
  </si>
  <si>
    <t>【状態像区分（在院期間１年以上）】</t>
    <phoneticPr fontId="2"/>
  </si>
  <si>
    <t>65歳未満</t>
    <rPh sb="2" eb="3">
      <t>サイ</t>
    </rPh>
    <rPh sb="3" eb="5">
      <t>ミマン</t>
    </rPh>
    <phoneticPr fontId="2"/>
  </si>
  <si>
    <t>【年齢階層×在院期間区分】〔気分（感情）障害（F３）〕</t>
    <rPh sb="14" eb="16">
      <t>キブン</t>
    </rPh>
    <rPh sb="17" eb="19">
      <t>カンジョウ</t>
    </rPh>
    <rPh sb="20" eb="22">
      <t>ショウガイ</t>
    </rPh>
    <phoneticPr fontId="2"/>
  </si>
  <si>
    <t>【年齢階層×在院期間区分】〔気分（感情）障害（Ｆ３）〕&amp;〔寛解・院内寛解群〕</t>
    <rPh sb="14" eb="16">
      <t>キブン</t>
    </rPh>
    <rPh sb="17" eb="19">
      <t>カンジョウ</t>
    </rPh>
    <rPh sb="20" eb="21">
      <t>ショウ</t>
    </rPh>
    <rPh sb="21" eb="22">
      <t>ガイ</t>
    </rPh>
    <phoneticPr fontId="2"/>
  </si>
  <si>
    <t>　総計</t>
    <rPh sb="1" eb="2">
      <t>ソウ</t>
    </rPh>
    <rPh sb="2" eb="3">
      <t>ケイ</t>
    </rPh>
    <phoneticPr fontId="2"/>
  </si>
  <si>
    <t>　総計</t>
    <rPh sb="1" eb="3">
      <t>ソウケイ</t>
    </rPh>
    <phoneticPr fontId="2"/>
  </si>
  <si>
    <t>90歳～</t>
    <rPh sb="2" eb="3">
      <t>サイ</t>
    </rPh>
    <phoneticPr fontId="2"/>
  </si>
  <si>
    <t>【年齢階層×在院期間区分】〔アルツハイマー病型認知症及び血管性認知症（F00-F01）〕</t>
    <rPh sb="21" eb="22">
      <t>ビョウ</t>
    </rPh>
    <rPh sb="22" eb="23">
      <t>ガタ</t>
    </rPh>
    <rPh sb="23" eb="26">
      <t>ニンチショウ</t>
    </rPh>
    <rPh sb="26" eb="27">
      <t>オヨ</t>
    </rPh>
    <phoneticPr fontId="2"/>
  </si>
  <si>
    <t>【年齢階層×在院期間区分】〔アルツハイマー病型認知症及び血管性認知症（F00-F01）〕&amp;〔寛解・院内寛解群〕</t>
    <phoneticPr fontId="2"/>
  </si>
  <si>
    <t>【年齢階層×在院期間区分】</t>
    <phoneticPr fontId="2"/>
  </si>
  <si>
    <t>合計 / 反社会的行動が予測される</t>
  </si>
  <si>
    <t>合計 / 退院意欲が乏しい</t>
  </si>
  <si>
    <t>合計 / 現実認識が乏しい</t>
  </si>
  <si>
    <t>合計 / 退院による環境変化への不安が強い</t>
  </si>
  <si>
    <t>合計 / 援助者との対人関係がもてない</t>
  </si>
  <si>
    <t>合計 / 家事（食事,洗濯,金銭管理など）ができない</t>
  </si>
  <si>
    <t>合計 / 家族がいない、本人をサポートする機能が実質ない</t>
  </si>
  <si>
    <t>合計 / 家族から退院に反対がある</t>
  </si>
  <si>
    <t>合計 / 住まいの確保ができない</t>
  </si>
  <si>
    <t>合計 / 生活費の確保ができない</t>
  </si>
  <si>
    <t>合計 / 日常生活を支える制度がない</t>
  </si>
  <si>
    <t>合計 / 救急診療体制がない</t>
  </si>
  <si>
    <t>合計 / 退院に向けてサポートする人的資源が乏しい</t>
  </si>
  <si>
    <t>合計 / 退院後サポート・マネジメントする人的資源が乏しい</t>
  </si>
  <si>
    <t>合計 / 住所地と入院先の距離があり支援体制をとりにくい</t>
  </si>
  <si>
    <t>合計 / その他の退院阻害要因がある</t>
  </si>
  <si>
    <t>01_1ヶ月未満</t>
  </si>
  <si>
    <t>02_1ヶ月～3ヶ月未満</t>
  </si>
  <si>
    <t>03_3ヶ月～6ヶ月未満</t>
  </si>
  <si>
    <t>04_6ヶ月～1年未満</t>
  </si>
  <si>
    <t>05_1年～1年6ヶ月未満</t>
  </si>
  <si>
    <t>06_1年6ヶ月～2年未満</t>
  </si>
  <si>
    <t>07_2年～3年未満</t>
  </si>
  <si>
    <t>08_3年～4年未満</t>
  </si>
  <si>
    <t>09_4年～5年未満</t>
  </si>
  <si>
    <t>10_5年～6年未満</t>
  </si>
  <si>
    <t>11_6年～7年未満</t>
  </si>
  <si>
    <t>12_7年～8年未満</t>
  </si>
  <si>
    <t>13_8年～9年未満</t>
  </si>
  <si>
    <t>14_9年～10年未満</t>
  </si>
  <si>
    <t>15_10年～20年未満</t>
  </si>
  <si>
    <t>16_ 20年以上</t>
  </si>
  <si>
    <t>アルツハイマー病型認知症及び血管性認知症（F00-F01）</t>
    <phoneticPr fontId="2"/>
  </si>
  <si>
    <t>左記以外の症状性を含む器質性精神障害（F02-F09）</t>
    <rPh sb="0" eb="2">
      <t>サキ</t>
    </rPh>
    <phoneticPr fontId="2"/>
  </si>
  <si>
    <t>アルコール覚せい剤を除く精神作用物質使用による精神及び行動の障害※</t>
  </si>
  <si>
    <t>覚せい剤による精神及び行動の障害※</t>
  </si>
  <si>
    <t>75歳未満（再掲）</t>
    <rPh sb="2" eb="3">
      <t>サイ</t>
    </rPh>
    <rPh sb="3" eb="5">
      <t>ミマン</t>
    </rPh>
    <rPh sb="6" eb="8">
      <t>サイケイ</t>
    </rPh>
    <phoneticPr fontId="2"/>
  </si>
  <si>
    <t>75歳以上（再掲）</t>
    <rPh sb="2" eb="3">
      <t>サイ</t>
    </rPh>
    <rPh sb="3" eb="5">
      <t>イジョウ</t>
    </rPh>
    <rPh sb="6" eb="8">
      <t>サイケイ</t>
    </rPh>
    <phoneticPr fontId="2"/>
  </si>
  <si>
    <t>【年齢区分（65歳以上在院患者）】</t>
    <rPh sb="8" eb="11">
      <t>サイイジョウ</t>
    </rPh>
    <rPh sb="11" eb="13">
      <t>ザイイン</t>
    </rPh>
    <rPh sb="13" eb="15">
      <t>カンジャ</t>
    </rPh>
    <phoneticPr fontId="2"/>
  </si>
  <si>
    <t>【入院形態区分（65歳以上在院患者）】</t>
    <rPh sb="1" eb="3">
      <t>ニュウイン</t>
    </rPh>
    <rPh sb="3" eb="5">
      <t>ケイタイ</t>
    </rPh>
    <rPh sb="10" eb="13">
      <t>サイイジョウ</t>
    </rPh>
    <rPh sb="13" eb="15">
      <t>ザイイン</t>
    </rPh>
    <rPh sb="15" eb="17">
      <t>カンジャ</t>
    </rPh>
    <phoneticPr fontId="2"/>
  </si>
  <si>
    <t>【在院期間区分（65歳以上在院患者）】</t>
    <rPh sb="1" eb="3">
      <t>ザイイン</t>
    </rPh>
    <rPh sb="3" eb="5">
      <t>キカン</t>
    </rPh>
    <rPh sb="5" eb="7">
      <t>クブン</t>
    </rPh>
    <rPh sb="10" eb="13">
      <t>サイイジョウ</t>
    </rPh>
    <rPh sb="13" eb="15">
      <t>ザイイン</t>
    </rPh>
    <rPh sb="15" eb="17">
      <t>カンジャ</t>
    </rPh>
    <phoneticPr fontId="2"/>
  </si>
  <si>
    <t>1ヶ月～3ヶ月未満</t>
  </si>
  <si>
    <t>3ヶ月～6ヶ月未満</t>
  </si>
  <si>
    <t>6ヶ月～1年未満</t>
  </si>
  <si>
    <t>1年～1年6ヶ月未満</t>
  </si>
  <si>
    <t>1年6ヶ月～2年未満</t>
  </si>
  <si>
    <t>2年～3年未満</t>
  </si>
  <si>
    <t>3年～4年未満</t>
  </si>
  <si>
    <t>4年～5年未満</t>
  </si>
  <si>
    <t>5年～6年未満</t>
  </si>
  <si>
    <t>6年～7年未満</t>
  </si>
  <si>
    <t>7年～8年未満</t>
  </si>
  <si>
    <t>8年～9年未満</t>
  </si>
  <si>
    <t>9年～10年未満</t>
  </si>
  <si>
    <t>10年～20年未満</t>
  </si>
  <si>
    <t>【状態像区分（65歳以上在院患者）】</t>
    <rPh sb="1" eb="3">
      <t>ジョウタイ</t>
    </rPh>
    <rPh sb="3" eb="4">
      <t>ゾウ</t>
    </rPh>
    <rPh sb="4" eb="6">
      <t>クブン</t>
    </rPh>
    <rPh sb="9" eb="12">
      <t>サイイジョウ</t>
    </rPh>
    <rPh sb="12" eb="14">
      <t>ザイイン</t>
    </rPh>
    <rPh sb="14" eb="16">
      <t>カンジャ</t>
    </rPh>
    <phoneticPr fontId="2"/>
  </si>
  <si>
    <t>〔全在院期間〕</t>
    <rPh sb="1" eb="2">
      <t>ゼン</t>
    </rPh>
    <rPh sb="2" eb="4">
      <t>ザイイン</t>
    </rPh>
    <rPh sb="4" eb="6">
      <t>キカン</t>
    </rPh>
    <phoneticPr fontId="2"/>
  </si>
  <si>
    <t>〔1年以上在院患者〕</t>
    <rPh sb="2" eb="5">
      <t>ネンイジョウ</t>
    </rPh>
    <rPh sb="5" eb="7">
      <t>ザイイン</t>
    </rPh>
    <rPh sb="7" eb="9">
      <t>カンジャ</t>
    </rPh>
    <phoneticPr fontId="2"/>
  </si>
  <si>
    <t>病識がなく通院服薬の中断が予測される</t>
  </si>
  <si>
    <t>人数</t>
  </si>
  <si>
    <t>割合</t>
  </si>
  <si>
    <t>〔寛解・院内寛解群〕</t>
    <phoneticPr fontId="2"/>
  </si>
  <si>
    <t>【疾患名区分（65歳以上在院患者）】</t>
    <rPh sb="1" eb="3">
      <t>シッカン</t>
    </rPh>
    <rPh sb="3" eb="4">
      <t>メイ</t>
    </rPh>
    <rPh sb="9" eb="12">
      <t>サイイジョウ</t>
    </rPh>
    <rPh sb="12" eb="14">
      <t>ザイイン</t>
    </rPh>
    <rPh sb="14" eb="16">
      <t>カンジャ</t>
    </rPh>
    <phoneticPr fontId="2"/>
  </si>
  <si>
    <t>〔アルツハイマー病型認知症・血管性認知症以外の症状性を含む器質性精神障害（F02-F09）〕&amp;〔寛解・院内寛解群〕</t>
    <rPh sb="8" eb="9">
      <t>ビョウ</t>
    </rPh>
    <rPh sb="9" eb="10">
      <t>ガタ</t>
    </rPh>
    <rPh sb="10" eb="13">
      <t>ニンチショウ</t>
    </rPh>
    <phoneticPr fontId="2"/>
  </si>
  <si>
    <t>病状（主症状）が落ち着き、入院によらない形で治療ができるまで回復</t>
    <rPh sb="0" eb="2">
      <t>ビョウジョウ</t>
    </rPh>
    <rPh sb="3" eb="4">
      <t>シュ</t>
    </rPh>
    <rPh sb="4" eb="6">
      <t>ショウジョウ</t>
    </rPh>
    <rPh sb="8" eb="9">
      <t>オ</t>
    </rPh>
    <rPh sb="10" eb="11">
      <t>ツ</t>
    </rPh>
    <rPh sb="13" eb="15">
      <t>ニュウイン</t>
    </rPh>
    <rPh sb="20" eb="21">
      <t>カタチ</t>
    </rPh>
    <rPh sb="22" eb="24">
      <t>チリョウ</t>
    </rPh>
    <rPh sb="30" eb="32">
      <t>カイフク</t>
    </rPh>
    <phoneticPr fontId="2"/>
  </si>
  <si>
    <t>病状（主症状）が不安定で入院による治療が必要</t>
    <rPh sb="0" eb="2">
      <t>ビョウジョウ</t>
    </rPh>
    <rPh sb="8" eb="11">
      <t>フアンテイ</t>
    </rPh>
    <rPh sb="12" eb="14">
      <t>ニュウイン</t>
    </rPh>
    <rPh sb="17" eb="19">
      <t>チリョウ</t>
    </rPh>
    <rPh sb="20" eb="22">
      <t>ヒツヨウ</t>
    </rPh>
    <phoneticPr fontId="2"/>
  </si>
  <si>
    <t>退院予定</t>
    <rPh sb="0" eb="2">
      <t>タイイン</t>
    </rPh>
    <rPh sb="2" eb="4">
      <t>ヨテイ</t>
    </rPh>
    <phoneticPr fontId="2"/>
  </si>
  <si>
    <t>病状は落ち着いているが、ときどき不安定な病状が見られ、そのことが退院を阻害する要因になっている</t>
    <phoneticPr fontId="2"/>
  </si>
  <si>
    <t>病状は落ち着いているが、ときどき不安定な病状が見られ、そのことが退院を阻害する要因になっている</t>
    <phoneticPr fontId="2"/>
  </si>
  <si>
    <t>退院阻害要因</t>
  </si>
  <si>
    <t>退院予定の有無</t>
    <rPh sb="0" eb="2">
      <t>タイイン</t>
    </rPh>
    <rPh sb="2" eb="4">
      <t>ヨテイ</t>
    </rPh>
    <rPh sb="5" eb="7">
      <t>ウム</t>
    </rPh>
    <phoneticPr fontId="2"/>
  </si>
  <si>
    <t>病状（主症状）が不安定で入院による治療が必要</t>
    <rPh sb="0" eb="2">
      <t>ビョウジョウ</t>
    </rPh>
    <rPh sb="3" eb="4">
      <t>シュ</t>
    </rPh>
    <rPh sb="4" eb="6">
      <t>ショウジョウ</t>
    </rPh>
    <rPh sb="8" eb="11">
      <t>フアンテイ</t>
    </rPh>
    <rPh sb="12" eb="14">
      <t>ニュウイン</t>
    </rPh>
    <rPh sb="17" eb="19">
      <t>チリョウ</t>
    </rPh>
    <rPh sb="20" eb="22">
      <t>ヒツヨウ</t>
    </rPh>
    <phoneticPr fontId="2"/>
  </si>
  <si>
    <t>退院阻害要因</t>
    <phoneticPr fontId="2"/>
  </si>
  <si>
    <t>退院予定の有無</t>
    <phoneticPr fontId="2"/>
  </si>
  <si>
    <t>家族が退院に反対している</t>
    <rPh sb="3" eb="5">
      <t>タイイン</t>
    </rPh>
    <rPh sb="6" eb="8">
      <t>ハンタイ</t>
    </rPh>
    <phoneticPr fontId="2"/>
  </si>
  <si>
    <t>家族が退院に反対している</t>
    <phoneticPr fontId="2"/>
  </si>
  <si>
    <t>住所地と入院先の距離があり支援体制がとりにくい</t>
    <phoneticPr fontId="2"/>
  </si>
  <si>
    <t>家族が退院に反対している</t>
    <rPh sb="0" eb="2">
      <t>カゾク</t>
    </rPh>
    <rPh sb="3" eb="5">
      <t>タイイン</t>
    </rPh>
    <rPh sb="6" eb="8">
      <t>ハンタイ</t>
    </rPh>
    <phoneticPr fontId="2"/>
  </si>
  <si>
    <t>精神遅滞〔知的障害〕（F7）</t>
    <phoneticPr fontId="2"/>
  </si>
  <si>
    <t>精神作用物質使用による精神及び行動の障害（F1）</t>
    <phoneticPr fontId="2"/>
  </si>
  <si>
    <t>統合失調症、統合失調症型障害及び妄想性障害（F2）</t>
    <phoneticPr fontId="2"/>
  </si>
  <si>
    <t>神経症性障害、ストレス関連障害及び身体表現性障害（F4）</t>
  </si>
  <si>
    <t>生理的障害及び身体的要因に関連した行動症候群（F5）</t>
  </si>
  <si>
    <t>精神遅滞〔知的障害〕（F7）</t>
  </si>
  <si>
    <t>成人のパーソナリティ及び行動の障害（F6)</t>
    <phoneticPr fontId="2"/>
  </si>
  <si>
    <t>精神遅滞〔知的障害〕（F7)</t>
    <phoneticPr fontId="2"/>
  </si>
  <si>
    <t>小児期及び青年期に通常発症する行動及び情緒の障害及び特定不能の精神障害（F9)</t>
    <phoneticPr fontId="2"/>
  </si>
  <si>
    <t>成人のパーソナリティ及び行動の障害（F6)</t>
  </si>
  <si>
    <t>小児期及び青年期に通常発症する行動及び情緒の障害及び特定不能の精神障害（F9)</t>
  </si>
  <si>
    <t>成人のパーソナリティ及び行動の障害（F6)</t>
    <phoneticPr fontId="2"/>
  </si>
  <si>
    <t>総計</t>
  </si>
  <si>
    <t>　＜複数回答＞</t>
    <phoneticPr fontId="2"/>
  </si>
  <si>
    <t>65歳以上</t>
    <rPh sb="2" eb="3">
      <t>サイ</t>
    </rPh>
    <rPh sb="3" eb="5">
      <t>イジョウ</t>
    </rPh>
    <phoneticPr fontId="2"/>
  </si>
  <si>
    <t>年齢</t>
    <rPh sb="0" eb="2">
      <t>ネンレイ</t>
    </rPh>
    <phoneticPr fontId="2"/>
  </si>
  <si>
    <t>65歳未満</t>
    <rPh sb="2" eb="5">
      <t>サイミマン</t>
    </rPh>
    <phoneticPr fontId="2"/>
  </si>
  <si>
    <t>症状性を含む器質性精神障害（F０）</t>
    <phoneticPr fontId="2"/>
  </si>
  <si>
    <t>アルツハイマー病の認知症を含む器質性精神障害（F00）</t>
    <phoneticPr fontId="2"/>
  </si>
  <si>
    <t>1年以上5年未満</t>
    <phoneticPr fontId="2"/>
  </si>
  <si>
    <t>5年以上10年未満</t>
    <phoneticPr fontId="2"/>
  </si>
  <si>
    <t>統合失調症、統合失調症型障害及び妄想性障害（F2）</t>
    <phoneticPr fontId="2"/>
  </si>
  <si>
    <t>割合には「退院阻害要因がある」それぞれの人数に対する割合を表示しています。</t>
    <rPh sb="0" eb="2">
      <t>ワリアイ</t>
    </rPh>
    <rPh sb="5" eb="7">
      <t>タイイン</t>
    </rPh>
    <rPh sb="7" eb="9">
      <t>ソガイ</t>
    </rPh>
    <rPh sb="9" eb="11">
      <t>ヨウイン</t>
    </rPh>
    <rPh sb="20" eb="22">
      <t>ニンズウ</t>
    </rPh>
    <rPh sb="23" eb="24">
      <t>タイ</t>
    </rPh>
    <rPh sb="26" eb="28">
      <t>ワリアイ</t>
    </rPh>
    <rPh sb="29" eb="31">
      <t>ヒョウジ</t>
    </rPh>
    <phoneticPr fontId="2"/>
  </si>
  <si>
    <t>割合には「退院阻害要因がある」それぞれの人数に対する割合を表示しています。</t>
    <phoneticPr fontId="2"/>
  </si>
  <si>
    <t>寛解・院内寛解</t>
    <rPh sb="0" eb="2">
      <t>カンカイ</t>
    </rPh>
    <rPh sb="3" eb="5">
      <t>インナイ</t>
    </rPh>
    <rPh sb="5" eb="7">
      <t>カンカイ</t>
    </rPh>
    <phoneticPr fontId="2"/>
  </si>
  <si>
    <t>寛解</t>
    <rPh sb="0" eb="2">
      <t>カンカイ</t>
    </rPh>
    <phoneticPr fontId="2"/>
  </si>
  <si>
    <t>院内寛解</t>
    <rPh sb="0" eb="2">
      <t>インナイ</t>
    </rPh>
    <rPh sb="2" eb="4">
      <t>カンカイ</t>
    </rPh>
    <phoneticPr fontId="2"/>
  </si>
  <si>
    <t>患者全体</t>
    <rPh sb="0" eb="2">
      <t>カンジャ</t>
    </rPh>
    <rPh sb="2" eb="4">
      <t>ゼンタイ</t>
    </rPh>
    <phoneticPr fontId="2"/>
  </si>
  <si>
    <t>入院形態</t>
    <rPh sb="0" eb="2">
      <t>ニュウイン</t>
    </rPh>
    <rPh sb="2" eb="4">
      <t>ケイタイ</t>
    </rPh>
    <phoneticPr fontId="2"/>
  </si>
  <si>
    <t>疾患名</t>
    <rPh sb="0" eb="2">
      <t>シッカン</t>
    </rPh>
    <rPh sb="2" eb="3">
      <t>メイ</t>
    </rPh>
    <phoneticPr fontId="2"/>
  </si>
  <si>
    <t>F01血管性認知症</t>
  </si>
  <si>
    <t>F02-09上記以外の症状性を含む器質性精神障害</t>
  </si>
  <si>
    <t>F10アルコール使用による精神及び行動の障害</t>
  </si>
  <si>
    <t>F2統合失調症、統合失調症型障害及び妄想性障害</t>
  </si>
  <si>
    <t>F30‐31　躁病エピソード・双極性感情障害［躁うつ病］</t>
  </si>
  <si>
    <t>F32-39　その他の気分障害</t>
  </si>
  <si>
    <t>F4神経症性障害、ストレス関連障害及び身体表現性障害</t>
  </si>
  <si>
    <t>F5生理的障害及び身体的要因に関連した行動症候群</t>
  </si>
  <si>
    <t>F7精神遅滞〔知的障害〕</t>
  </si>
  <si>
    <t>F8心理的発達の障害</t>
  </si>
  <si>
    <t>てんかん（F0に属さないものを計上する）</t>
  </si>
  <si>
    <t>F00アルツハイマー病型認知症</t>
  </si>
  <si>
    <t>F6成人のパーソナリティ及び行動の障害</t>
  </si>
  <si>
    <t>F9小児期及び青年期に通常発症する行動及び情緒の障害及び特定不能の精神障害</t>
  </si>
  <si>
    <t>年齢区分</t>
    <rPh sb="0" eb="2">
      <t>ネンレイ</t>
    </rPh>
    <rPh sb="2" eb="4">
      <t>クブン</t>
    </rPh>
    <phoneticPr fontId="2"/>
  </si>
  <si>
    <t>在院期間</t>
    <rPh sb="0" eb="2">
      <t>ザイイン</t>
    </rPh>
    <rPh sb="2" eb="4">
      <t>キカン</t>
    </rPh>
    <phoneticPr fontId="2"/>
  </si>
  <si>
    <t>65-69歳</t>
  </si>
  <si>
    <t>70-74歳</t>
  </si>
  <si>
    <t>75-79歳</t>
  </si>
  <si>
    <t>80-84歳</t>
  </si>
  <si>
    <t>85-89歳</t>
  </si>
  <si>
    <t>寛解・院内寛解</t>
    <rPh sb="3" eb="7">
      <t>インナイカンカイ</t>
    </rPh>
    <phoneticPr fontId="2"/>
  </si>
  <si>
    <t>65歳未満</t>
  </si>
  <si>
    <t>65歳以上</t>
  </si>
  <si>
    <t>合計 / 病状は落ち着いているが、ときどき不安定な病状が見られ、そのことが退院を阻害する要因になっている</t>
  </si>
  <si>
    <t>合計 / 病識がなく通院服薬の中断が予測される</t>
  </si>
  <si>
    <t>〔アルツハイマー病型認知症・血管性認知症以外の症状性を含む器質性精神障害（F02-F09）〕</t>
  </si>
  <si>
    <t>アルコール覚せい剤を除く精神作用物質使用による精神及び行動の障害※</t>
    <phoneticPr fontId="2"/>
  </si>
  <si>
    <t>覚せい剤による精神及び行動の障害※</t>
    <phoneticPr fontId="2"/>
  </si>
  <si>
    <t>F1</t>
    <phoneticPr fontId="2"/>
  </si>
  <si>
    <t>F2</t>
  </si>
  <si>
    <t>F3</t>
  </si>
  <si>
    <t>F4</t>
  </si>
  <si>
    <t>F5</t>
  </si>
  <si>
    <t>F6</t>
  </si>
  <si>
    <t>F7</t>
  </si>
  <si>
    <t>F8</t>
  </si>
  <si>
    <t>F9</t>
  </si>
  <si>
    <t>てんかん</t>
    <phoneticPr fontId="2"/>
  </si>
  <si>
    <t>その他</t>
    <rPh sb="2" eb="3">
      <t>タ</t>
    </rPh>
    <phoneticPr fontId="2"/>
  </si>
  <si>
    <t>F0</t>
    <phoneticPr fontId="2"/>
  </si>
  <si>
    <t>1年以上5年未満</t>
    <rPh sb="2" eb="4">
      <t>イジョウ</t>
    </rPh>
    <phoneticPr fontId="2"/>
  </si>
  <si>
    <t>5年以上10年未満</t>
    <rPh sb="1" eb="2">
      <t>ネン</t>
    </rPh>
    <rPh sb="2" eb="4">
      <t>イジョウ</t>
    </rPh>
    <phoneticPr fontId="2"/>
  </si>
  <si>
    <t>寛解・院内寛解群</t>
    <rPh sb="0" eb="2">
      <t>カンカイ</t>
    </rPh>
    <rPh sb="3" eb="8">
      <t>インナイカンカイグン</t>
    </rPh>
    <phoneticPr fontId="2"/>
  </si>
  <si>
    <t>【在院期間　※自動入力】</t>
    <rPh sb="1" eb="3">
      <t>ザイイン</t>
    </rPh>
    <rPh sb="3" eb="5">
      <t>キカン</t>
    </rPh>
    <rPh sb="7" eb="9">
      <t>ジドウ</t>
    </rPh>
    <rPh sb="9" eb="11">
      <t>ニュウリョク</t>
    </rPh>
    <phoneticPr fontId="2"/>
  </si>
  <si>
    <t>全在院患者</t>
    <rPh sb="0" eb="1">
      <t>ゼン</t>
    </rPh>
    <rPh sb="1" eb="3">
      <t>ザイイン</t>
    </rPh>
    <rPh sb="3" eb="5">
      <t>カンジャ</t>
    </rPh>
    <phoneticPr fontId="2"/>
  </si>
  <si>
    <t>在院1年以上寛解・院内寛解群</t>
  </si>
  <si>
    <t>病状は落ち着いているが、ときどき不安定な病状が見られ、そのことが退院を阻害する要因になっている</t>
    <rPh sb="0" eb="2">
      <t>ビョウジョウ</t>
    </rPh>
    <rPh sb="3" eb="4">
      <t>オ</t>
    </rPh>
    <rPh sb="5" eb="6">
      <t>ツ</t>
    </rPh>
    <rPh sb="16" eb="19">
      <t>フアンテイ</t>
    </rPh>
    <rPh sb="20" eb="22">
      <t>ビョウジョウ</t>
    </rPh>
    <rPh sb="23" eb="24">
      <t>ミ</t>
    </rPh>
    <rPh sb="32" eb="34">
      <t>タイイン</t>
    </rPh>
    <rPh sb="35" eb="37">
      <t>ソガイ</t>
    </rPh>
    <rPh sb="39" eb="41">
      <t>ヨウイン</t>
    </rPh>
    <phoneticPr fontId="22"/>
  </si>
  <si>
    <t>退院による環境変化への不安が強い</t>
    <phoneticPr fontId="2"/>
  </si>
  <si>
    <t>家事（食事・洗濯・金銭管理など）ができない</t>
    <phoneticPr fontId="2"/>
  </si>
  <si>
    <t>家族がいない、本人をサポートする機能が実質ない</t>
    <phoneticPr fontId="2"/>
  </si>
  <si>
    <t>家族が退院に反対している</t>
    <rPh sb="3" eb="5">
      <t>タイイン</t>
    </rPh>
    <rPh sb="6" eb="8">
      <t>ハンタイ</t>
    </rPh>
    <phoneticPr fontId="22"/>
  </si>
  <si>
    <t>住所地と入院先の距離があり支援体制がとりにくい</t>
  </si>
  <si>
    <t>病状（主症状）が落ち着き、入院によらない形で治療ができる程度まで回復</t>
    <phoneticPr fontId="2"/>
  </si>
  <si>
    <t>病状（主症状）が不安定で入院による治療が必要</t>
  </si>
  <si>
    <t>退院阻害要因がない</t>
    <rPh sb="0" eb="2">
      <t>タイイン</t>
    </rPh>
    <rPh sb="2" eb="4">
      <t>ソガイ</t>
    </rPh>
    <rPh sb="4" eb="6">
      <t>ヨウイン</t>
    </rPh>
    <phoneticPr fontId="2"/>
  </si>
  <si>
    <t>阻害要因　TOP5</t>
    <rPh sb="0" eb="2">
      <t>ソガイ</t>
    </rPh>
    <rPh sb="2" eb="4">
      <t>ヨウイン</t>
    </rPh>
    <phoneticPr fontId="2"/>
  </si>
  <si>
    <t>LANK</t>
    <phoneticPr fontId="2"/>
  </si>
  <si>
    <t>病状（主症状）が不安定で入院による治療が必要</t>
    <phoneticPr fontId="2"/>
  </si>
  <si>
    <t>退院予定</t>
    <phoneticPr fontId="2"/>
  </si>
  <si>
    <t>退院予定の有無</t>
    <rPh sb="2" eb="4">
      <t>ヨテイ</t>
    </rPh>
    <rPh sb="5" eb="7">
      <t>ウム</t>
    </rPh>
    <phoneticPr fontId="2"/>
  </si>
  <si>
    <t>退院阻害要因の有無</t>
    <rPh sb="0" eb="2">
      <t>タイイン</t>
    </rPh>
    <rPh sb="2" eb="4">
      <t>ソガイ</t>
    </rPh>
    <rPh sb="4" eb="6">
      <t>ヨウイン</t>
    </rPh>
    <rPh sb="7" eb="9">
      <t>ウム</t>
    </rPh>
    <phoneticPr fontId="2"/>
  </si>
  <si>
    <t>退院阻害要因の有無2</t>
    <rPh sb="0" eb="6">
      <t>タイインソガイヨウイン</t>
    </rPh>
    <rPh sb="7" eb="9">
      <t>ウム</t>
    </rPh>
    <phoneticPr fontId="2"/>
  </si>
  <si>
    <t>【退院予定及び阻害要因　※自動入力】</t>
    <rPh sb="1" eb="3">
      <t>タイイン</t>
    </rPh>
    <rPh sb="3" eb="5">
      <t>ヨテイ</t>
    </rPh>
    <rPh sb="5" eb="6">
      <t>オヨ</t>
    </rPh>
    <rPh sb="7" eb="9">
      <t>ソガイ</t>
    </rPh>
    <rPh sb="9" eb="11">
      <t>ヨウイン</t>
    </rPh>
    <rPh sb="13" eb="15">
      <t>ジドウ</t>
    </rPh>
    <rPh sb="15" eb="17">
      <t>ニュウリョク</t>
    </rPh>
    <phoneticPr fontId="2"/>
  </si>
  <si>
    <t>全体</t>
    <rPh sb="0" eb="2">
      <t>ゼンタイ</t>
    </rPh>
    <phoneticPr fontId="2"/>
  </si>
  <si>
    <t>寛解院内寛解</t>
    <rPh sb="0" eb="6">
      <t>カンカイインナイカンカイ</t>
    </rPh>
    <phoneticPr fontId="2"/>
  </si>
  <si>
    <t>寛解院内寛解合計</t>
    <rPh sb="0" eb="2">
      <t>カンカイ</t>
    </rPh>
    <rPh sb="2" eb="4">
      <t>インナイ</t>
    </rPh>
    <rPh sb="4" eb="6">
      <t>カンカイ</t>
    </rPh>
    <rPh sb="6" eb="8">
      <t>ゴウケイ</t>
    </rPh>
    <phoneticPr fontId="2"/>
  </si>
  <si>
    <t>F0</t>
  </si>
  <si>
    <t>F1</t>
  </si>
  <si>
    <t>てんかん</t>
  </si>
  <si>
    <t>病状は落ち着いているが、ときどき不安定な病状が見られ、そのことが退院を阻害する要因になっている</t>
  </si>
  <si>
    <t>家族が退院に反対している</t>
  </si>
  <si>
    <t>家族がいない・本人をサポートする機能が実質ない</t>
  </si>
  <si>
    <t>1年未満</t>
  </si>
  <si>
    <t>1年以上5年未満</t>
  </si>
  <si>
    <t>5年以上10年未満</t>
  </si>
  <si>
    <t>10年以上</t>
  </si>
  <si>
    <t>こちらのシートは直接入力です。</t>
    <rPh sb="8" eb="10">
      <t>チョクセツ</t>
    </rPh>
    <rPh sb="10" eb="12">
      <t>ニュウリョク</t>
    </rPh>
    <phoneticPr fontId="2"/>
  </si>
  <si>
    <t>08_3年～4年未満</t>
    <phoneticPr fontId="2"/>
  </si>
  <si>
    <t>患者全体</t>
  </si>
  <si>
    <t>合計</t>
  </si>
  <si>
    <t>寛解・院内寛解群</t>
  </si>
  <si>
    <t>1年以上</t>
    <rPh sb="1" eb="4">
      <t>ネンイジョウ</t>
    </rPh>
    <phoneticPr fontId="2"/>
  </si>
  <si>
    <t>こちらのシートは直接貼り付けです。</t>
    <rPh sb="8" eb="10">
      <t>チョクセツ</t>
    </rPh>
    <rPh sb="10" eb="11">
      <t>ハ</t>
    </rPh>
    <rPh sb="12" eb="13">
      <t>ツ</t>
    </rPh>
    <phoneticPr fontId="2"/>
  </si>
  <si>
    <t>不明</t>
  </si>
  <si>
    <t>不明</t>
    <rPh sb="0" eb="2">
      <t>フメイ</t>
    </rPh>
    <phoneticPr fontId="2"/>
  </si>
  <si>
    <t>不明</t>
    <rPh sb="0" eb="2">
      <t>フメイ</t>
    </rPh>
    <phoneticPr fontId="2"/>
  </si>
  <si>
    <t>身体的機能や状態を原因としたADLの低下がある</t>
    <phoneticPr fontId="2"/>
  </si>
  <si>
    <t>身体合併症の程度が重いなど身体面のフォローが必要であり、地域での生活が困難</t>
    <phoneticPr fontId="2"/>
  </si>
  <si>
    <t>不明</t>
    <rPh sb="0" eb="2">
      <t>フメイ</t>
    </rPh>
    <phoneticPr fontId="2"/>
  </si>
  <si>
    <t>身体的機能や状態を原因としたADLの低下がある</t>
  </si>
  <si>
    <t>身体合併症の程度が重いなど身体面のフォローが必要であり、地域での生活が困難</t>
  </si>
  <si>
    <t>合計 / 身体的機能や状態を原因としたADLの低下がある</t>
  </si>
  <si>
    <t>合計 / 身体合併症の程度が重いなど身体面のフォローが必要であり、地域での生活が困難</t>
  </si>
  <si>
    <t>豊能</t>
  </si>
  <si>
    <t>三島</t>
  </si>
  <si>
    <t>北河内</t>
  </si>
  <si>
    <t>中河内</t>
  </si>
  <si>
    <t>南河内</t>
  </si>
  <si>
    <t>泉州</t>
  </si>
  <si>
    <t>大阪市</t>
  </si>
  <si>
    <t>堺市</t>
  </si>
  <si>
    <t>01豊能北</t>
  </si>
  <si>
    <t>02豊能豊中</t>
  </si>
  <si>
    <t>03豊能吹田</t>
  </si>
  <si>
    <t>04三島</t>
  </si>
  <si>
    <t>05三島高槻</t>
  </si>
  <si>
    <t>06北河内枚方</t>
  </si>
  <si>
    <t>07北河内寝屋川</t>
  </si>
  <si>
    <t>08北河内西</t>
  </si>
  <si>
    <t>09北河内東</t>
  </si>
  <si>
    <t>10中河内東大阪</t>
  </si>
  <si>
    <t>症状性を含む器質性精神障害（F0）</t>
  </si>
  <si>
    <t>アルツハイマー病の認知症を含む器質性精神障害（F00）</t>
  </si>
  <si>
    <t>血管性認知症を含む器質性精神障害（F01）</t>
  </si>
  <si>
    <t>【状態像区分×病院所在地（圏域）】</t>
    <rPh sb="1" eb="3">
      <t>ジョウタイ</t>
    </rPh>
    <rPh sb="3" eb="4">
      <t>ゾウ</t>
    </rPh>
    <phoneticPr fontId="2"/>
  </si>
  <si>
    <t>府外・
その他</t>
    <rPh sb="0" eb="1">
      <t>フ</t>
    </rPh>
    <rPh sb="1" eb="2">
      <t>ガイ</t>
    </rPh>
    <rPh sb="6" eb="7">
      <t>タ</t>
    </rPh>
    <phoneticPr fontId="2"/>
  </si>
  <si>
    <t>【状態像区分×入院時住所地（圏域）】</t>
    <rPh sb="1" eb="3">
      <t>ジョウタイ</t>
    </rPh>
    <rPh sb="3" eb="4">
      <t>ゾウ</t>
    </rPh>
    <phoneticPr fontId="2"/>
  </si>
  <si>
    <t>大阪市</t>
    <rPh sb="0" eb="3">
      <t>オオサカシ</t>
    </rPh>
    <phoneticPr fontId="2"/>
  </si>
  <si>
    <t>堺市</t>
    <rPh sb="0" eb="2">
      <t>サカイシ</t>
    </rPh>
    <phoneticPr fontId="2"/>
  </si>
  <si>
    <t>軽度</t>
    <rPh sb="0" eb="2">
      <t>ケイド</t>
    </rPh>
    <phoneticPr fontId="2"/>
  </si>
  <si>
    <t>中等度</t>
    <rPh sb="0" eb="2">
      <t>チュウトウ</t>
    </rPh>
    <rPh sb="2" eb="3">
      <t>ド</t>
    </rPh>
    <phoneticPr fontId="2"/>
  </si>
  <si>
    <t>重度</t>
    <rPh sb="0" eb="2">
      <t>ジュウド</t>
    </rPh>
    <phoneticPr fontId="2"/>
  </si>
  <si>
    <t>最重度</t>
    <rPh sb="0" eb="1">
      <t>サイ</t>
    </rPh>
    <rPh sb="1" eb="3">
      <t>ジュウド</t>
    </rPh>
    <phoneticPr fontId="2"/>
  </si>
  <si>
    <t>11中河内八尾</t>
  </si>
  <si>
    <t>12中河内南</t>
  </si>
  <si>
    <t>13南河内北</t>
  </si>
  <si>
    <t>14南河内南</t>
  </si>
  <si>
    <t>15泉州北</t>
  </si>
  <si>
    <t>16泉州中</t>
  </si>
  <si>
    <t>17泉州南</t>
  </si>
  <si>
    <t>18大阪市</t>
  </si>
  <si>
    <t>19堺市</t>
  </si>
  <si>
    <t>アルツハイマー病の認知症・血管性認知症以外の、症状性を含む器質性精神障害（F02-F09）</t>
    <phoneticPr fontId="2"/>
  </si>
  <si>
    <t>列21</t>
  </si>
  <si>
    <t>列22</t>
  </si>
  <si>
    <t>列23</t>
  </si>
  <si>
    <t>バージョン　　日付　　　　　内容</t>
    <rPh sb="7" eb="9">
      <t>ヒヅケ</t>
    </rPh>
    <rPh sb="14" eb="16">
      <t>ナイヨウ</t>
    </rPh>
    <phoneticPr fontId="2"/>
  </si>
  <si>
    <t>&lt;患者全体&gt;</t>
    <rPh sb="1" eb="3">
      <t>カンジャ</t>
    </rPh>
    <rPh sb="3" eb="5">
      <t>ゼンタイ</t>
    </rPh>
    <phoneticPr fontId="2"/>
  </si>
  <si>
    <t>全人数</t>
    <rPh sb="0" eb="1">
      <t>ゼン</t>
    </rPh>
    <rPh sb="1" eb="3">
      <t>ニンズウ</t>
    </rPh>
    <phoneticPr fontId="2"/>
  </si>
  <si>
    <t>入院病院圏域</t>
    <rPh sb="0" eb="2">
      <t>ニュウイン</t>
    </rPh>
    <rPh sb="2" eb="4">
      <t>ビョウイン</t>
    </rPh>
    <rPh sb="4" eb="6">
      <t>ケンイキ</t>
    </rPh>
    <phoneticPr fontId="2"/>
  </si>
  <si>
    <t>19歳以下</t>
    <rPh sb="2" eb="3">
      <t>サイ</t>
    </rPh>
    <rPh sb="3" eb="5">
      <t>イカ</t>
    </rPh>
    <phoneticPr fontId="2"/>
  </si>
  <si>
    <t>豊能</t>
    <rPh sb="0" eb="2">
      <t>トヨノ</t>
    </rPh>
    <phoneticPr fontId="2"/>
  </si>
  <si>
    <t>三島</t>
    <rPh sb="0" eb="2">
      <t>ミシマ</t>
    </rPh>
    <phoneticPr fontId="2"/>
  </si>
  <si>
    <t>北河内</t>
    <rPh sb="0" eb="3">
      <t>キタカワチ</t>
    </rPh>
    <phoneticPr fontId="2"/>
  </si>
  <si>
    <t>中河内</t>
    <rPh sb="0" eb="1">
      <t>ナカ</t>
    </rPh>
    <rPh sb="1" eb="3">
      <t>カワチ</t>
    </rPh>
    <phoneticPr fontId="2"/>
  </si>
  <si>
    <t>南河内</t>
    <rPh sb="0" eb="3">
      <t>ミナミカワチ</t>
    </rPh>
    <phoneticPr fontId="2"/>
  </si>
  <si>
    <t>泉州</t>
    <rPh sb="0" eb="2">
      <t>センシュウ</t>
    </rPh>
    <phoneticPr fontId="2"/>
  </si>
  <si>
    <t>65歳未満</t>
    <rPh sb="3" eb="5">
      <t>ミマン</t>
    </rPh>
    <phoneticPr fontId="2"/>
  </si>
  <si>
    <t>65歳以上</t>
    <rPh sb="3" eb="5">
      <t>イジョウ</t>
    </rPh>
    <phoneticPr fontId="2"/>
  </si>
  <si>
    <t>1年未満</t>
    <rPh sb="1" eb="2">
      <t>ネン</t>
    </rPh>
    <rPh sb="2" eb="4">
      <t>ミマン</t>
    </rPh>
    <phoneticPr fontId="2"/>
  </si>
  <si>
    <t>1年以上5年未満</t>
    <rPh sb="1" eb="4">
      <t>ネンイジョウ</t>
    </rPh>
    <rPh sb="5" eb="6">
      <t>ネン</t>
    </rPh>
    <rPh sb="6" eb="8">
      <t>ミマン</t>
    </rPh>
    <phoneticPr fontId="2"/>
  </si>
  <si>
    <t>5年以上10年未満</t>
    <rPh sb="1" eb="4">
      <t>ネンイジョウ</t>
    </rPh>
    <rPh sb="6" eb="7">
      <t>ネン</t>
    </rPh>
    <rPh sb="7" eb="9">
      <t>ミマン</t>
    </rPh>
    <phoneticPr fontId="2"/>
  </si>
  <si>
    <t>10年以上20年未満</t>
    <rPh sb="2" eb="5">
      <t>ネンイジョウ</t>
    </rPh>
    <rPh sb="7" eb="8">
      <t>ネン</t>
    </rPh>
    <rPh sb="8" eb="10">
      <t>ミマン</t>
    </rPh>
    <phoneticPr fontId="2"/>
  </si>
  <si>
    <t>20年以上</t>
    <rPh sb="2" eb="5">
      <t>ネンイジョウ</t>
    </rPh>
    <phoneticPr fontId="2"/>
  </si>
  <si>
    <t>状態像</t>
    <rPh sb="0" eb="2">
      <t>ジョウタイ</t>
    </rPh>
    <rPh sb="2" eb="3">
      <t>ゾウ</t>
    </rPh>
    <phoneticPr fontId="2"/>
  </si>
  <si>
    <t>その他</t>
    <phoneticPr fontId="2"/>
  </si>
  <si>
    <t>精神遅滞〔知的障害〕（F7)</t>
  </si>
  <si>
    <t>&lt;1年以上&gt;</t>
    <rPh sb="2" eb="5">
      <t>ネンイジョウ</t>
    </rPh>
    <phoneticPr fontId="2"/>
  </si>
  <si>
    <t>＜自動計算＿患者全体＞</t>
  </si>
  <si>
    <t>全体</t>
  </si>
  <si>
    <t>疾患名区分</t>
  </si>
  <si>
    <t>状態像</t>
  </si>
  <si>
    <t>全人数</t>
  </si>
  <si>
    <t>アルツハイマー病の認知症・血管性認知症以外の、_x000D_
症状性を含む器質性精神障害（F02-F09）</t>
  </si>
  <si>
    <t>＜自動計算＿1年以上＞</t>
  </si>
  <si>
    <t>【状態像区分×病院所在地（圏域）＿1年以上】</t>
    <rPh sb="1" eb="3">
      <t>ジョウタイ</t>
    </rPh>
    <rPh sb="3" eb="4">
      <t>ゾウ</t>
    </rPh>
    <rPh sb="18" eb="21">
      <t>ネンイジョウ</t>
    </rPh>
    <phoneticPr fontId="2"/>
  </si>
  <si>
    <t>98他府県</t>
  </si>
  <si>
    <t>99不明その他</t>
  </si>
  <si>
    <t>　総計</t>
  </si>
  <si>
    <t>【状態像区分×入院時住所地（圏域）＿1年以上】</t>
    <phoneticPr fontId="2"/>
  </si>
  <si>
    <t>入院時住所地圏域</t>
    <rPh sb="0" eb="2">
      <t>ニュウイン</t>
    </rPh>
    <rPh sb="2" eb="3">
      <t>ジ</t>
    </rPh>
    <rPh sb="3" eb="5">
      <t>ジュウショ</t>
    </rPh>
    <rPh sb="5" eb="6">
      <t>チ</t>
    </rPh>
    <rPh sb="6" eb="8">
      <t>ケンイキ</t>
    </rPh>
    <phoneticPr fontId="2"/>
  </si>
  <si>
    <t>府外・その他</t>
    <rPh sb="0" eb="1">
      <t>フ</t>
    </rPh>
    <rPh sb="1" eb="2">
      <t>ガイ</t>
    </rPh>
    <rPh sb="5" eb="6">
      <t>タ</t>
    </rPh>
    <phoneticPr fontId="2"/>
  </si>
  <si>
    <t>府外・その他</t>
  </si>
  <si>
    <t>行ラベル</t>
  </si>
  <si>
    <t>計</t>
  </si>
  <si>
    <t>65歳未満（再掲）</t>
  </si>
  <si>
    <t>65歳以上（再掲）</t>
  </si>
  <si>
    <t>【退院予定の有無】</t>
    <phoneticPr fontId="2"/>
  </si>
  <si>
    <t>〔全状態像〕</t>
    <phoneticPr fontId="2"/>
  </si>
  <si>
    <t>人数</t>
    <phoneticPr fontId="2"/>
  </si>
  <si>
    <t>割合</t>
    <phoneticPr fontId="2"/>
  </si>
  <si>
    <t>計</t>
    <phoneticPr fontId="2"/>
  </si>
  <si>
    <t>病状（主症状）が落ち着き、入院によらない形で治療ができるまで回復</t>
    <phoneticPr fontId="2"/>
  </si>
  <si>
    <t>総計</t>
    <phoneticPr fontId="2"/>
  </si>
  <si>
    <t>退院阻害要因がある</t>
    <phoneticPr fontId="2"/>
  </si>
  <si>
    <t>回答数</t>
    <phoneticPr fontId="2"/>
  </si>
  <si>
    <t>反社会的行動が予測される</t>
    <phoneticPr fontId="2"/>
  </si>
  <si>
    <t>退院意欲が乏しい</t>
    <phoneticPr fontId="2"/>
  </si>
  <si>
    <t>現実認識が乏しい</t>
    <phoneticPr fontId="2"/>
  </si>
  <si>
    <t>援助者との対人関係がもてない</t>
    <phoneticPr fontId="2"/>
  </si>
  <si>
    <t>住まいの確保ができない</t>
    <phoneticPr fontId="2"/>
  </si>
  <si>
    <t>生活費の確保ができない</t>
    <phoneticPr fontId="2"/>
  </si>
  <si>
    <t>日常生活を支える制度がない</t>
    <phoneticPr fontId="2"/>
  </si>
  <si>
    <t>救急診療体制がない</t>
    <phoneticPr fontId="2"/>
  </si>
  <si>
    <t>退院に向けてサポートする人的資源が乏しい</t>
    <phoneticPr fontId="2"/>
  </si>
  <si>
    <t>退院後サポート・マネジメントする人的資源が乏しい</t>
    <phoneticPr fontId="2"/>
  </si>
  <si>
    <t>その他の退院阻害要因がある</t>
    <phoneticPr fontId="2"/>
  </si>
  <si>
    <t>A1セルを貼り付け先として選択してください</t>
    <rPh sb="5" eb="6">
      <t>ハ</t>
    </rPh>
    <rPh sb="7" eb="8">
      <t>ツ</t>
    </rPh>
    <rPh sb="9" eb="10">
      <t>サキ</t>
    </rPh>
    <rPh sb="13" eb="15">
      <t>センタク</t>
    </rPh>
    <phoneticPr fontId="2"/>
  </si>
  <si>
    <t>データ貼り付け箇所</t>
  </si>
  <si>
    <t>病状（主症状）が落ち着き、入院によらない形で治療ができるまで回復</t>
  </si>
  <si>
    <t>65歳以上</t>
    <phoneticPr fontId="2"/>
  </si>
  <si>
    <t>【退院阻害要因×年齢階層】〔寛解・院内寛解群〕</t>
  </si>
  <si>
    <t>退院予定の有無</t>
  </si>
  <si>
    <t>年齢階層</t>
  </si>
  <si>
    <t>退院阻害要因がある</t>
  </si>
  <si>
    <t>　＜複数回答＞</t>
  </si>
  <si>
    <t>割合には「退院阻害要因がある」それぞれの人数に対する割合を表示しています。</t>
  </si>
  <si>
    <t>データ貼り付け箇所</t>
    <phoneticPr fontId="2"/>
  </si>
  <si>
    <t>寛解・院内寛解群</t>
    <phoneticPr fontId="2"/>
  </si>
  <si>
    <t>【退院阻害要因×年齢階層】</t>
  </si>
  <si>
    <t>年齢</t>
  </si>
  <si>
    <t>65歳以上（再掲）</t>
    <phoneticPr fontId="2"/>
  </si>
  <si>
    <t>入院形態</t>
    <phoneticPr fontId="2"/>
  </si>
  <si>
    <t>寛解・院内寛解</t>
    <phoneticPr fontId="2"/>
  </si>
  <si>
    <t>【退院予定の有無（65歳以上在院患者）】</t>
    <phoneticPr fontId="2"/>
  </si>
  <si>
    <t>　総計</t>
    <phoneticPr fontId="2"/>
  </si>
  <si>
    <t xml:space="preserve">退院阻害要因がある  </t>
    <phoneticPr fontId="2"/>
  </si>
  <si>
    <t>【年齢階層×在院期間区分】〔統合失調症、統合失調症型障害及び妄想性障害（F2）〕</t>
  </si>
  <si>
    <t>【年齢階層×在院期間区分】〔統合失調症、統合失調症型障害及び妄想性障害（F2）〕&amp;〔寛解・院内寛解群〕</t>
  </si>
  <si>
    <t>列1</t>
  </si>
  <si>
    <t>列2</t>
  </si>
  <si>
    <t>列3</t>
  </si>
  <si>
    <t>列4</t>
  </si>
  <si>
    <t>列5</t>
  </si>
  <si>
    <t>列6</t>
  </si>
  <si>
    <t>列7</t>
  </si>
  <si>
    <t>列8</t>
  </si>
  <si>
    <t>列9</t>
  </si>
  <si>
    <t>列10</t>
  </si>
  <si>
    <t>列11</t>
  </si>
  <si>
    <t>列12</t>
  </si>
  <si>
    <t>列13</t>
  </si>
  <si>
    <t>列14</t>
  </si>
  <si>
    <t>列15</t>
  </si>
  <si>
    <t>列16</t>
  </si>
  <si>
    <t>列17</t>
  </si>
  <si>
    <t>列18</t>
  </si>
  <si>
    <t>列19</t>
  </si>
  <si>
    <t>列20</t>
  </si>
  <si>
    <t>【年齢区分×病院所在地（圏域）】</t>
    <phoneticPr fontId="2"/>
  </si>
  <si>
    <t>65歳未満（再掲）</t>
    <rPh sb="2" eb="3">
      <t>サイ</t>
    </rPh>
    <rPh sb="3" eb="5">
      <t>ミマン</t>
    </rPh>
    <rPh sb="6" eb="8">
      <t>サイケイ</t>
    </rPh>
    <phoneticPr fontId="2"/>
  </si>
  <si>
    <t>【入院形態区分×病院所在地（圏域）】</t>
    <phoneticPr fontId="2"/>
  </si>
  <si>
    <t>措置入院・</t>
    <phoneticPr fontId="2"/>
  </si>
  <si>
    <t>緊急措置入院</t>
  </si>
  <si>
    <t>【疾患名区分×病院所在地（圏域）】</t>
    <rPh sb="1" eb="3">
      <t>シッカン</t>
    </rPh>
    <rPh sb="3" eb="4">
      <t>メイ</t>
    </rPh>
    <phoneticPr fontId="2"/>
  </si>
  <si>
    <t>アルツハイマー病の認知症・血管性認知症以外の症状性を含む器質性精神障害（F02-F09）</t>
    <phoneticPr fontId="2"/>
  </si>
  <si>
    <t>成人のパーソナリティ及び行動の障害（F6）</t>
    <phoneticPr fontId="2"/>
  </si>
  <si>
    <t>知的障害（F7）</t>
    <rPh sb="0" eb="2">
      <t>チテキ</t>
    </rPh>
    <rPh sb="2" eb="4">
      <t>ショウガイ</t>
    </rPh>
    <phoneticPr fontId="2"/>
  </si>
  <si>
    <t>小児期及び青年期の通常発症する行動及び情緒の障害及び特定不能の精神障害（F9）</t>
    <phoneticPr fontId="2"/>
  </si>
  <si>
    <t>その他・不明</t>
    <rPh sb="4" eb="6">
      <t>フメイ</t>
    </rPh>
    <phoneticPr fontId="2"/>
  </si>
  <si>
    <t>【在院期間区分×病院所在地（圏域）】</t>
    <rPh sb="1" eb="3">
      <t>ザイイン</t>
    </rPh>
    <rPh sb="3" eb="5">
      <t>キカン</t>
    </rPh>
    <phoneticPr fontId="2"/>
  </si>
  <si>
    <t>1ヶ月～</t>
    <phoneticPr fontId="2"/>
  </si>
  <si>
    <t>3ヶ月未満</t>
    <phoneticPr fontId="2"/>
  </si>
  <si>
    <t>3ヶ月～</t>
    <phoneticPr fontId="2"/>
  </si>
  <si>
    <t>6ヶ月未満</t>
    <phoneticPr fontId="2"/>
  </si>
  <si>
    <t>6ヶ月～</t>
    <phoneticPr fontId="2"/>
  </si>
  <si>
    <t>1年～</t>
    <phoneticPr fontId="2"/>
  </si>
  <si>
    <t>1年6ヶ月未満</t>
    <phoneticPr fontId="2"/>
  </si>
  <si>
    <t>1年6ヶ月</t>
    <phoneticPr fontId="2"/>
  </si>
  <si>
    <t>～2年未満</t>
    <phoneticPr fontId="2"/>
  </si>
  <si>
    <t>2年～</t>
    <phoneticPr fontId="2"/>
  </si>
  <si>
    <t>3年未満</t>
    <phoneticPr fontId="2"/>
  </si>
  <si>
    <t>3年～</t>
    <phoneticPr fontId="2"/>
  </si>
  <si>
    <t>4年未満</t>
    <phoneticPr fontId="2"/>
  </si>
  <si>
    <t>4年～</t>
    <phoneticPr fontId="2"/>
  </si>
  <si>
    <t>5年未満</t>
    <phoneticPr fontId="2"/>
  </si>
  <si>
    <t>5年～</t>
    <phoneticPr fontId="2"/>
  </si>
  <si>
    <t>6年未満</t>
    <phoneticPr fontId="2"/>
  </si>
  <si>
    <t>6年～</t>
    <phoneticPr fontId="2"/>
  </si>
  <si>
    <t>7年未満</t>
    <phoneticPr fontId="2"/>
  </si>
  <si>
    <t>7年～</t>
    <phoneticPr fontId="2"/>
  </si>
  <si>
    <t>8年未満</t>
    <phoneticPr fontId="2"/>
  </si>
  <si>
    <t>8年～</t>
    <phoneticPr fontId="2"/>
  </si>
  <si>
    <t>9年未満</t>
    <phoneticPr fontId="2"/>
  </si>
  <si>
    <t>9年～</t>
    <phoneticPr fontId="2"/>
  </si>
  <si>
    <t>10年未満</t>
    <phoneticPr fontId="2"/>
  </si>
  <si>
    <t>10年～</t>
    <phoneticPr fontId="2"/>
  </si>
  <si>
    <t>20年未満</t>
    <phoneticPr fontId="2"/>
  </si>
  <si>
    <t>1年以上</t>
    <rPh sb="2" eb="4">
      <t>イジョウ</t>
    </rPh>
    <phoneticPr fontId="36"/>
  </si>
  <si>
    <t>5年未満（再掲）</t>
    <phoneticPr fontId="2"/>
  </si>
  <si>
    <t>5年以上</t>
    <rPh sb="1" eb="2">
      <t>ネン</t>
    </rPh>
    <rPh sb="2" eb="4">
      <t>イジョウ</t>
    </rPh>
    <phoneticPr fontId="36"/>
  </si>
  <si>
    <t>10年未満（再掲）</t>
    <phoneticPr fontId="2"/>
  </si>
  <si>
    <t>10年以上（再掲）</t>
    <phoneticPr fontId="2"/>
  </si>
  <si>
    <t>【退院阻害要因の有無×病院所在地（圏域）】</t>
    <phoneticPr fontId="2"/>
  </si>
  <si>
    <t>病状（主症状）が落ち着き、入院によらない形で治療ができるまで回復</t>
    <rPh sb="0" eb="2">
      <t>ビョウジョウ</t>
    </rPh>
    <phoneticPr fontId="2"/>
  </si>
  <si>
    <t>退院阻害要因はない</t>
    <rPh sb="0" eb="2">
      <t>タイイン</t>
    </rPh>
    <rPh sb="2" eb="4">
      <t>ソガイ</t>
    </rPh>
    <rPh sb="4" eb="6">
      <t>ヨウイン</t>
    </rPh>
    <phoneticPr fontId="2"/>
  </si>
  <si>
    <t>【退院阻害要因（複数回答）×病院所在地（圏域）】</t>
    <phoneticPr fontId="2"/>
  </si>
  <si>
    <t>【年齢区分×入院時住所地（圏域）】</t>
    <rPh sb="6" eb="8">
      <t>ニュウイン</t>
    </rPh>
    <rPh sb="8" eb="9">
      <t>ジ</t>
    </rPh>
    <rPh sb="9" eb="11">
      <t>ジュウショ</t>
    </rPh>
    <phoneticPr fontId="2"/>
  </si>
  <si>
    <t>【入院形態区分×入院時住所地（圏域）】</t>
    <rPh sb="8" eb="10">
      <t>ニュウイン</t>
    </rPh>
    <rPh sb="10" eb="11">
      <t>ジ</t>
    </rPh>
    <rPh sb="11" eb="13">
      <t>ジュウショ</t>
    </rPh>
    <rPh sb="13" eb="14">
      <t>チ</t>
    </rPh>
    <rPh sb="15" eb="17">
      <t>ケンイキ</t>
    </rPh>
    <phoneticPr fontId="2"/>
  </si>
  <si>
    <t>【疾患名区分×入院時住所地（圏域）】</t>
    <rPh sb="1" eb="3">
      <t>シッカン</t>
    </rPh>
    <rPh sb="3" eb="4">
      <t>メイ</t>
    </rPh>
    <phoneticPr fontId="2"/>
  </si>
  <si>
    <t>【在院期間区分×入院時住所地（圏域）】</t>
    <rPh sb="1" eb="3">
      <t>ザイイン</t>
    </rPh>
    <rPh sb="3" eb="5">
      <t>キカン</t>
    </rPh>
    <phoneticPr fontId="2"/>
  </si>
  <si>
    <t>【退院阻害要因の有無×入院時住所地（圏域）】</t>
    <phoneticPr fontId="2"/>
  </si>
  <si>
    <t>【退院阻害要因（複数回答）×入院時住所地（圏域）】</t>
    <phoneticPr fontId="2"/>
  </si>
  <si>
    <t>【病院所在地（圏域）×入院時住所地（圏域）】</t>
    <rPh sb="1" eb="3">
      <t>ビョウイン</t>
    </rPh>
    <rPh sb="3" eb="6">
      <t>ショザイチ</t>
    </rPh>
    <rPh sb="7" eb="9">
      <t>ケンイキ</t>
    </rPh>
    <rPh sb="11" eb="13">
      <t>ニュウイン</t>
    </rPh>
    <rPh sb="13" eb="14">
      <t>ジ</t>
    </rPh>
    <rPh sb="14" eb="16">
      <t>ジュウショ</t>
    </rPh>
    <rPh sb="16" eb="17">
      <t>チ</t>
    </rPh>
    <rPh sb="18" eb="20">
      <t>ケンイキ</t>
    </rPh>
    <phoneticPr fontId="2"/>
  </si>
  <si>
    <t>病院所在地</t>
    <rPh sb="0" eb="2">
      <t>ビョウイン</t>
    </rPh>
    <rPh sb="2" eb="5">
      <t>ショザイチ</t>
    </rPh>
    <phoneticPr fontId="2"/>
  </si>
  <si>
    <t>入院時住所地</t>
    <rPh sb="0" eb="2">
      <t>ニュウイン</t>
    </rPh>
    <rPh sb="2" eb="3">
      <t>ジ</t>
    </rPh>
    <rPh sb="3" eb="5">
      <t>ジュウショ</t>
    </rPh>
    <rPh sb="5" eb="6">
      <t>チ</t>
    </rPh>
    <phoneticPr fontId="2"/>
  </si>
  <si>
    <t>（触らない）</t>
    <rPh sb="1" eb="2">
      <t>サワ</t>
    </rPh>
    <phoneticPr fontId="2"/>
  </si>
  <si>
    <t>1_豊能</t>
    <rPh sb="2" eb="4">
      <t>トヨノ</t>
    </rPh>
    <phoneticPr fontId="36"/>
  </si>
  <si>
    <t>2_三島</t>
    <rPh sb="2" eb="4">
      <t>ミシマ</t>
    </rPh>
    <phoneticPr fontId="36"/>
  </si>
  <si>
    <t>3_北河内</t>
    <rPh sb="2" eb="5">
      <t>キタカワチ</t>
    </rPh>
    <phoneticPr fontId="36"/>
  </si>
  <si>
    <t>4_中河内</t>
    <rPh sb="2" eb="3">
      <t>ナカ</t>
    </rPh>
    <rPh sb="3" eb="5">
      <t>カワチ</t>
    </rPh>
    <phoneticPr fontId="36"/>
  </si>
  <si>
    <t>5_南河内</t>
    <rPh sb="2" eb="5">
      <t>ミナミカワチ</t>
    </rPh>
    <phoneticPr fontId="36"/>
  </si>
  <si>
    <t>6_泉州</t>
    <rPh sb="2" eb="4">
      <t>センシュウ</t>
    </rPh>
    <phoneticPr fontId="36"/>
  </si>
  <si>
    <t>7_大阪市</t>
    <rPh sb="2" eb="5">
      <t>オオサカシ</t>
    </rPh>
    <phoneticPr fontId="36"/>
  </si>
  <si>
    <t>8_堺市</t>
    <rPh sb="2" eb="4">
      <t>サカイシ</t>
    </rPh>
    <phoneticPr fontId="36"/>
  </si>
  <si>
    <t>他府県・不明</t>
    <rPh sb="0" eb="1">
      <t>タ</t>
    </rPh>
    <rPh sb="1" eb="3">
      <t>フケン</t>
    </rPh>
    <rPh sb="4" eb="6">
      <t>フメイ</t>
    </rPh>
    <phoneticPr fontId="36"/>
  </si>
  <si>
    <t>【病院所在地（圏域）×入院時住所地（圏域）】〔１年以上入院患者〕</t>
    <rPh sb="1" eb="3">
      <t>ビョウイン</t>
    </rPh>
    <rPh sb="3" eb="6">
      <t>ショザイチ</t>
    </rPh>
    <rPh sb="7" eb="9">
      <t>ケンイキ</t>
    </rPh>
    <rPh sb="11" eb="13">
      <t>ニュウイン</t>
    </rPh>
    <rPh sb="13" eb="14">
      <t>ジ</t>
    </rPh>
    <rPh sb="14" eb="16">
      <t>ジュウショ</t>
    </rPh>
    <rPh sb="16" eb="17">
      <t>チ</t>
    </rPh>
    <rPh sb="18" eb="20">
      <t>ケンイキ</t>
    </rPh>
    <rPh sb="24" eb="27">
      <t>ネンイジョウ</t>
    </rPh>
    <rPh sb="27" eb="29">
      <t>ニュウイン</t>
    </rPh>
    <rPh sb="29" eb="31">
      <t>カンジャ</t>
    </rPh>
    <phoneticPr fontId="2"/>
  </si>
  <si>
    <t>大阪市がない場合注意</t>
    <rPh sb="0" eb="3">
      <t>オオサカシ</t>
    </rPh>
    <rPh sb="6" eb="8">
      <t>バアイ</t>
    </rPh>
    <rPh sb="8" eb="10">
      <t>チュウイ</t>
    </rPh>
    <phoneticPr fontId="2"/>
  </si>
  <si>
    <t>【入院時住所地別在院患者の状況】</t>
    <rPh sb="1" eb="3">
      <t>ニュウイン</t>
    </rPh>
    <rPh sb="3" eb="4">
      <t>ジ</t>
    </rPh>
    <rPh sb="4" eb="6">
      <t>ジュウショ</t>
    </rPh>
    <rPh sb="6" eb="7">
      <t>チ</t>
    </rPh>
    <rPh sb="7" eb="8">
      <t>ベツ</t>
    </rPh>
    <rPh sb="8" eb="10">
      <t>ザイイン</t>
    </rPh>
    <rPh sb="10" eb="12">
      <t>カンジャ</t>
    </rPh>
    <rPh sb="13" eb="15">
      <t>ジョウキョウ</t>
    </rPh>
    <phoneticPr fontId="2"/>
  </si>
  <si>
    <t>在院1年以上</t>
    <rPh sb="0" eb="2">
      <t>ザイイン</t>
    </rPh>
    <rPh sb="3" eb="6">
      <t>ネンイジョウ</t>
    </rPh>
    <phoneticPr fontId="2"/>
  </si>
  <si>
    <t>在院1年未満</t>
    <rPh sb="0" eb="2">
      <t>ザイイン</t>
    </rPh>
    <rPh sb="3" eb="4">
      <t>ネン</t>
    </rPh>
    <rPh sb="4" eb="6">
      <t>ミマン</t>
    </rPh>
    <phoneticPr fontId="2"/>
  </si>
  <si>
    <t>小計</t>
    <rPh sb="0" eb="2">
      <t>ショウケイ</t>
    </rPh>
    <phoneticPr fontId="2"/>
  </si>
  <si>
    <t>池田市</t>
  </si>
  <si>
    <t>箕面市</t>
  </si>
  <si>
    <t>能勢町</t>
  </si>
  <si>
    <t>豊能町</t>
  </si>
  <si>
    <t>豊中市</t>
  </si>
  <si>
    <t>吹田市</t>
  </si>
  <si>
    <t>摂津市</t>
  </si>
  <si>
    <t>茨木市</t>
  </si>
  <si>
    <t>島本町</t>
  </si>
  <si>
    <t>高槻市</t>
    <rPh sb="0" eb="3">
      <t>タカツキシ</t>
    </rPh>
    <phoneticPr fontId="2"/>
  </si>
  <si>
    <t>枚方市</t>
  </si>
  <si>
    <t>寝屋川市</t>
  </si>
  <si>
    <t>交野市</t>
  </si>
  <si>
    <t>四條畷市</t>
  </si>
  <si>
    <t>大東市</t>
    <rPh sb="0" eb="2">
      <t>ダイトウ</t>
    </rPh>
    <phoneticPr fontId="2"/>
  </si>
  <si>
    <t>守口市</t>
    <rPh sb="0" eb="3">
      <t>モリグチシ</t>
    </rPh>
    <phoneticPr fontId="2"/>
  </si>
  <si>
    <t>門真市</t>
    <rPh sb="0" eb="3">
      <t>カドマシ</t>
    </rPh>
    <phoneticPr fontId="2"/>
  </si>
  <si>
    <t>東大阪市</t>
  </si>
  <si>
    <t>八尾市</t>
  </si>
  <si>
    <t>柏原市</t>
  </si>
  <si>
    <t>松原市</t>
  </si>
  <si>
    <t>藤井寺市</t>
  </si>
  <si>
    <t>羽曳野市</t>
  </si>
  <si>
    <t>大阪狭山市</t>
  </si>
  <si>
    <t>富田林市</t>
  </si>
  <si>
    <t>太子町</t>
  </si>
  <si>
    <t>河南町</t>
  </si>
  <si>
    <t>千早赤阪村</t>
  </si>
  <si>
    <t>河内長野市</t>
  </si>
  <si>
    <t>和泉市</t>
  </si>
  <si>
    <t>泉大津市</t>
  </si>
  <si>
    <t>高石市</t>
  </si>
  <si>
    <t>忠岡町</t>
  </si>
  <si>
    <t>岸和田市</t>
  </si>
  <si>
    <t>貝塚市</t>
  </si>
  <si>
    <t>熊取町</t>
  </si>
  <si>
    <t>泉佐野市</t>
  </si>
  <si>
    <t>田尻町</t>
  </si>
  <si>
    <t>泉南市</t>
  </si>
  <si>
    <t>阪南市</t>
  </si>
  <si>
    <t>岬町</t>
  </si>
  <si>
    <t>北区</t>
  </si>
  <si>
    <t>都島区</t>
  </si>
  <si>
    <t>福島区</t>
  </si>
  <si>
    <t>此花区</t>
  </si>
  <si>
    <t>中央区</t>
  </si>
  <si>
    <t>西区</t>
  </si>
  <si>
    <t>港区</t>
  </si>
  <si>
    <t>大正区</t>
  </si>
  <si>
    <t>天王寺区</t>
  </si>
  <si>
    <t>浪速区</t>
  </si>
  <si>
    <t>西淀川区</t>
  </si>
  <si>
    <t>淀川区</t>
  </si>
  <si>
    <t>東淀川区</t>
  </si>
  <si>
    <t>東成区</t>
  </si>
  <si>
    <t>生野区</t>
  </si>
  <si>
    <t>旭区</t>
  </si>
  <si>
    <t>城東区</t>
  </si>
  <si>
    <t>鶴見区</t>
  </si>
  <si>
    <t>阿倍野区</t>
  </si>
  <si>
    <t>住之江区</t>
  </si>
  <si>
    <t>住吉区</t>
  </si>
  <si>
    <t>東住吉区</t>
  </si>
  <si>
    <t>平野区</t>
  </si>
  <si>
    <t>西成区</t>
  </si>
  <si>
    <t>その他大阪市</t>
    <rPh sb="2" eb="3">
      <t>タ</t>
    </rPh>
    <rPh sb="3" eb="5">
      <t>オオサカ</t>
    </rPh>
    <rPh sb="5" eb="6">
      <t>シ</t>
    </rPh>
    <phoneticPr fontId="2"/>
  </si>
  <si>
    <t>堺区</t>
    <rPh sb="0" eb="2">
      <t>サカイク</t>
    </rPh>
    <phoneticPr fontId="2"/>
  </si>
  <si>
    <t>西区</t>
    <rPh sb="0" eb="1">
      <t>ニシ</t>
    </rPh>
    <phoneticPr fontId="2"/>
  </si>
  <si>
    <t>中区</t>
    <rPh sb="0" eb="1">
      <t>ナカ</t>
    </rPh>
    <rPh sb="1" eb="2">
      <t>ク</t>
    </rPh>
    <phoneticPr fontId="2"/>
  </si>
  <si>
    <t>南区</t>
    <rPh sb="0" eb="2">
      <t>ミナミク</t>
    </rPh>
    <phoneticPr fontId="2"/>
  </si>
  <si>
    <t>北区</t>
    <rPh sb="0" eb="2">
      <t>キタク</t>
    </rPh>
    <phoneticPr fontId="2"/>
  </si>
  <si>
    <t>東区</t>
    <rPh sb="0" eb="2">
      <t>ヒガシク</t>
    </rPh>
    <phoneticPr fontId="2"/>
  </si>
  <si>
    <t>美原区</t>
    <rPh sb="0" eb="3">
      <t>ミハラク</t>
    </rPh>
    <phoneticPr fontId="2"/>
  </si>
  <si>
    <t>その他堺市</t>
    <rPh sb="2" eb="3">
      <t>タ</t>
    </rPh>
    <rPh sb="3" eb="5">
      <t>サカイシ</t>
    </rPh>
    <phoneticPr fontId="2"/>
  </si>
  <si>
    <t>他府県</t>
    <rPh sb="0" eb="1">
      <t>タ</t>
    </rPh>
    <rPh sb="1" eb="3">
      <t>フケン</t>
    </rPh>
    <phoneticPr fontId="2"/>
  </si>
  <si>
    <t>滋賀県</t>
  </si>
  <si>
    <t>京都府</t>
  </si>
  <si>
    <t>奈良県</t>
  </si>
  <si>
    <t>兵庫県</t>
  </si>
  <si>
    <t>和歌山県</t>
  </si>
  <si>
    <t>行ラベル</t>
    <phoneticPr fontId="2"/>
  </si>
  <si>
    <t>データの個数 / 年齢</t>
  </si>
  <si>
    <t>データの個数 / 年齢</t>
    <phoneticPr fontId="2"/>
  </si>
  <si>
    <t>データの個数 / 入院</t>
  </si>
  <si>
    <t>措置入院</t>
  </si>
  <si>
    <t>鑑定入院</t>
  </si>
  <si>
    <t>医療観察法による入院</t>
  </si>
  <si>
    <t>入院形態</t>
  </si>
  <si>
    <t>データの個数 / 入院</t>
    <phoneticPr fontId="2"/>
  </si>
  <si>
    <t>任意入院</t>
    <phoneticPr fontId="2"/>
  </si>
  <si>
    <t>措置入院</t>
    <phoneticPr fontId="2"/>
  </si>
  <si>
    <t>鑑定入院</t>
    <phoneticPr fontId="2"/>
  </si>
  <si>
    <t>応急入院</t>
    <phoneticPr fontId="2"/>
  </si>
  <si>
    <t>医療保護入院</t>
    <phoneticPr fontId="2"/>
  </si>
  <si>
    <t>医療観察法による入院</t>
    <phoneticPr fontId="2"/>
  </si>
  <si>
    <t>緊急措置入院</t>
    <phoneticPr fontId="2"/>
  </si>
  <si>
    <t>不明</t>
    <phoneticPr fontId="2"/>
  </si>
  <si>
    <t>データの個数 / 疾患名</t>
    <phoneticPr fontId="2"/>
  </si>
  <si>
    <t>データの個数 / 在院</t>
  </si>
  <si>
    <t>データの個数 / 在院</t>
    <phoneticPr fontId="2"/>
  </si>
  <si>
    <t>65歳未満</t>
    <phoneticPr fontId="2"/>
  </si>
  <si>
    <t>値</t>
    <phoneticPr fontId="2"/>
  </si>
  <si>
    <t>01_1ヶ月未満</t>
    <phoneticPr fontId="2"/>
  </si>
  <si>
    <t>02_1ヶ月～3ヶ月未満</t>
    <phoneticPr fontId="2"/>
  </si>
  <si>
    <t>03_3ヶ月～6ヶ月未満</t>
    <phoneticPr fontId="2"/>
  </si>
  <si>
    <t>04_6ヶ月～1年未満</t>
    <phoneticPr fontId="2"/>
  </si>
  <si>
    <t>05_1年～1年6ヶ月未満</t>
    <phoneticPr fontId="2"/>
  </si>
  <si>
    <t>06_1年6ヶ月～2年未満</t>
    <phoneticPr fontId="2"/>
  </si>
  <si>
    <t>07_2年～3年未満</t>
    <phoneticPr fontId="2"/>
  </si>
  <si>
    <t>09_4年～5年未満</t>
    <phoneticPr fontId="2"/>
  </si>
  <si>
    <t>10_5年～6年未満</t>
    <phoneticPr fontId="2"/>
  </si>
  <si>
    <t>11_6年～7年未満</t>
    <phoneticPr fontId="2"/>
  </si>
  <si>
    <t>12_7年～8年未満</t>
    <phoneticPr fontId="2"/>
  </si>
  <si>
    <t>13_8年～9年未満</t>
    <phoneticPr fontId="2"/>
  </si>
  <si>
    <t>14_9年～10年未満</t>
    <phoneticPr fontId="2"/>
  </si>
  <si>
    <t>15_10年～20年未満</t>
    <phoneticPr fontId="2"/>
  </si>
  <si>
    <t>16_ 20年以上</t>
    <phoneticPr fontId="2"/>
  </si>
  <si>
    <t>合計 / 病状は落ち着いているが、ときどき不安定な病状が見られ、そのことが退院を阻害する要因になっている</t>
    <phoneticPr fontId="2"/>
  </si>
  <si>
    <t>合計 / 病識がなく通院服薬の中断が予測される</t>
    <phoneticPr fontId="2"/>
  </si>
  <si>
    <t>合計 / 反社会的行動が予測される</t>
    <phoneticPr fontId="2"/>
  </si>
  <si>
    <t>合計 / 退院意欲が乏しい</t>
    <phoneticPr fontId="2"/>
  </si>
  <si>
    <t>合計 / 現実認識が乏しい</t>
    <phoneticPr fontId="2"/>
  </si>
  <si>
    <t>合計 / 退院による環境変化への不安が強い</t>
    <phoneticPr fontId="2"/>
  </si>
  <si>
    <t>合計 / 援助者との対人関係がもてない</t>
    <phoneticPr fontId="2"/>
  </si>
  <si>
    <t>合計 / 家事（食事,洗濯,金銭管理など）ができない</t>
    <phoneticPr fontId="2"/>
  </si>
  <si>
    <t>合計 / 家族がいない、本人をサポートする機能が実質ない</t>
    <phoneticPr fontId="2"/>
  </si>
  <si>
    <t>合計 / 家族から退院に反対がある</t>
    <phoneticPr fontId="2"/>
  </si>
  <si>
    <t>合計 / 住まいの確保ができない</t>
    <phoneticPr fontId="2"/>
  </si>
  <si>
    <t>合計 / 生活費の確保ができない</t>
    <phoneticPr fontId="2"/>
  </si>
  <si>
    <t>合計 / 日常生活を支える制度がない</t>
    <phoneticPr fontId="2"/>
  </si>
  <si>
    <t>合計 / 救急診療体制がない</t>
    <phoneticPr fontId="2"/>
  </si>
  <si>
    <t>合計 / 退院に向けてサポートする人的資源が乏しい</t>
    <phoneticPr fontId="2"/>
  </si>
  <si>
    <t>合計 / 退院後サポート・マネジメントする人的資源が乏しい</t>
    <phoneticPr fontId="2"/>
  </si>
  <si>
    <t>合計 / 住所地と入院先の距離があり支援体制をとりにくい</t>
    <phoneticPr fontId="2"/>
  </si>
  <si>
    <t>合計 / 身体的機能や状態を原因としたADLの低下がある</t>
    <phoneticPr fontId="2"/>
  </si>
  <si>
    <t>合計 / 身体合併症の程度が重いなど身体面のフォローが必要であり、地域での生活が困難</t>
    <phoneticPr fontId="2"/>
  </si>
  <si>
    <t>合計 / その他の退院阻害要因がある</t>
    <phoneticPr fontId="2"/>
  </si>
  <si>
    <t>F00アルツハイマー病型認知症</t>
    <phoneticPr fontId="2"/>
  </si>
  <si>
    <t>F01血管性認知症</t>
    <phoneticPr fontId="2"/>
  </si>
  <si>
    <t>F02-09上記以外の症状性を含む器質性精神障害</t>
    <phoneticPr fontId="2"/>
  </si>
  <si>
    <t>F10アルコール使用による精神及び行動の障害</t>
    <phoneticPr fontId="2"/>
  </si>
  <si>
    <t>F2統合失調症、統合失調症型障害及び妄想性障害</t>
    <phoneticPr fontId="2"/>
  </si>
  <si>
    <t>F30‐31　躁病エピソード・双極性感情障害［躁うつ病］</t>
    <phoneticPr fontId="2"/>
  </si>
  <si>
    <t>F32-39　その他の気分障害</t>
    <phoneticPr fontId="2"/>
  </si>
  <si>
    <t>F4神経症性障害、ストレス関連障害及び身体表現性障害</t>
    <phoneticPr fontId="2"/>
  </si>
  <si>
    <t>F5生理的障害及び身体的要因に関連した行動症候群</t>
    <phoneticPr fontId="2"/>
  </si>
  <si>
    <t>F6成人のパーソナリティ及び行動の障害</t>
    <phoneticPr fontId="2"/>
  </si>
  <si>
    <t>F7精神遅滞〔知的障害〕</t>
    <phoneticPr fontId="2"/>
  </si>
  <si>
    <t>F8心理的発達の障害</t>
    <phoneticPr fontId="2"/>
  </si>
  <si>
    <t>F9小児期及び青年期に通常発症する行動及び情緒の障害及び特定不能の精神障害</t>
    <phoneticPr fontId="2"/>
  </si>
  <si>
    <t>てんかん（F0に属さないものを計上する）</t>
    <phoneticPr fontId="2"/>
  </si>
  <si>
    <t>(空白)</t>
  </si>
  <si>
    <t>列1</t>
    <phoneticPr fontId="2"/>
  </si>
  <si>
    <t>01豊能北</t>
    <phoneticPr fontId="2"/>
  </si>
  <si>
    <t>02豊能豊中</t>
    <phoneticPr fontId="2"/>
  </si>
  <si>
    <t>03豊能吹田</t>
    <phoneticPr fontId="2"/>
  </si>
  <si>
    <t>04三島</t>
    <phoneticPr fontId="2"/>
  </si>
  <si>
    <t>05三島高槻</t>
    <phoneticPr fontId="2"/>
  </si>
  <si>
    <t>06北河内枚方</t>
    <phoneticPr fontId="2"/>
  </si>
  <si>
    <t>07北河内寝屋川</t>
    <phoneticPr fontId="2"/>
  </si>
  <si>
    <t>08北河内西</t>
    <phoneticPr fontId="2"/>
  </si>
  <si>
    <t>09北河内東</t>
    <phoneticPr fontId="2"/>
  </si>
  <si>
    <t>10中河内東大阪</t>
    <phoneticPr fontId="2"/>
  </si>
  <si>
    <t>11中河内八尾</t>
    <phoneticPr fontId="2"/>
  </si>
  <si>
    <t>12中河内南</t>
    <phoneticPr fontId="2"/>
  </si>
  <si>
    <t>13南河内北</t>
    <phoneticPr fontId="2"/>
  </si>
  <si>
    <t>14南河内南</t>
    <phoneticPr fontId="2"/>
  </si>
  <si>
    <t>15泉州北</t>
    <phoneticPr fontId="2"/>
  </si>
  <si>
    <t>16泉州中</t>
    <phoneticPr fontId="2"/>
  </si>
  <si>
    <t>17泉州南</t>
    <phoneticPr fontId="2"/>
  </si>
  <si>
    <t>18大阪市</t>
    <phoneticPr fontId="2"/>
  </si>
  <si>
    <t>19堺市</t>
    <phoneticPr fontId="2"/>
  </si>
  <si>
    <t>98他府県</t>
    <phoneticPr fontId="2"/>
  </si>
  <si>
    <t>99不明その他</t>
    <phoneticPr fontId="2"/>
  </si>
  <si>
    <t>値</t>
  </si>
  <si>
    <t>令和7年度
巻末資料</t>
    <rPh sb="0" eb="2">
      <t>レイワ</t>
    </rPh>
    <rPh sb="3" eb="5">
      <t>ネンド</t>
    </rPh>
    <rPh sb="6" eb="8">
      <t>カンマツ</t>
    </rPh>
    <rPh sb="8" eb="10">
      <t>シリョウ</t>
    </rPh>
    <phoneticPr fontId="2"/>
  </si>
  <si>
    <t>Vol.1.0　　　  R8.7.9             新規作成</t>
    <rPh sb="31" eb="33">
      <t>シンキ</t>
    </rPh>
    <rPh sb="33" eb="35">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</si>
</sst>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Red]\-#,##0\ "/>
    <numFmt numFmtId="177" formatCode="0.0%"/>
    <numFmt numFmtId="178" formatCode="\(#,##0\)"/>
    <numFmt numFmtId="179" formatCode="0_);[Red]\(0\)"/>
    <numFmt numFmtId="180" formatCode="\(0.0%\)"/>
    <numFmt numFmtId="181" formatCode="#,##0_);[Red]\(#,##0\)"/>
    <numFmt numFmtId="182" formatCode="#,##0_ "/>
    <numFmt numFmtId="183" formatCode="&quot;「割合」には退院阻害要因がある&quot;#,##0&quot;人に対する割合を表示しています。&quot;"/>
    <numFmt numFmtId="184" formatCode="&quot;「割合」には退院阻害要因がある人の合計&quot;#,##0&quot;人に対する割合を表示しています。&quot;"/>
    <numFmt numFmtId="185" formatCode="#,###&quot;人&quot;"/>
    <numFmt numFmtId="186" formatCode="#,##0&quot;人&quot;"/>
    <numFmt numFmtId="187" formatCode="\(#,##0&quot;人&quot;\)"/>
    <numFmt numFmtId="188" formatCode="0.0"/>
  </numFmts>
  <fonts count="4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11"/>
      <color theme="1"/>
      <name val="メイリオ"/>
      <family val="3"/>
      <charset val="128"/>
    </font>
    <font>
      <b/>
      <sz val="12"/>
      <color theme="1"/>
      <name val="メイリオ"/>
      <family val="3"/>
      <charset val="128"/>
    </font>
    <font>
      <sz val="12"/>
      <color theme="1"/>
      <name val="メイリオ"/>
      <family val="3"/>
      <charset val="128"/>
    </font>
    <font>
      <b/>
      <sz val="11"/>
      <color theme="1"/>
      <name val="メイリオ"/>
      <family val="3"/>
      <charset val="128"/>
    </font>
    <font>
      <sz val="11"/>
      <color rgb="FFFF0000"/>
      <name val="メイリオ"/>
      <family val="3"/>
      <charset val="128"/>
    </font>
    <font>
      <b/>
      <sz val="11"/>
      <color rgb="FFFF0000"/>
      <name val="メイリオ"/>
      <family val="3"/>
      <charset val="128"/>
    </font>
    <font>
      <sz val="11"/>
      <color theme="0"/>
      <name val="メイリオ"/>
      <family val="3"/>
      <charset val="128"/>
    </font>
    <font>
      <sz val="8"/>
      <color theme="1"/>
      <name val="メイリオ"/>
      <family val="3"/>
      <charset val="128"/>
    </font>
    <font>
      <sz val="9"/>
      <color theme="1"/>
      <name val="メイリオ"/>
      <family val="3"/>
      <charset val="128"/>
    </font>
    <font>
      <b/>
      <sz val="9"/>
      <color theme="1"/>
      <name val="メイリオ"/>
      <family val="3"/>
      <charset val="128"/>
    </font>
    <font>
      <b/>
      <sz val="10"/>
      <color theme="1"/>
      <name val="メイリオ"/>
      <family val="3"/>
      <charset val="128"/>
    </font>
    <font>
      <sz val="10"/>
      <color theme="1"/>
      <name val="メイリオ"/>
      <family val="3"/>
      <charset val="128"/>
    </font>
    <font>
      <sz val="11"/>
      <name val="メイリオ"/>
      <family val="3"/>
      <charset val="128"/>
    </font>
    <font>
      <b/>
      <sz val="12"/>
      <name val="メイリオ"/>
      <family val="3"/>
      <charset val="128"/>
    </font>
    <font>
      <sz val="7.5"/>
      <color theme="1"/>
      <name val="メイリオ"/>
      <family val="3"/>
      <charset val="128"/>
    </font>
    <font>
      <b/>
      <sz val="12"/>
      <color theme="0"/>
      <name val="メイリオ"/>
      <family val="3"/>
      <charset val="128"/>
    </font>
    <font>
      <b/>
      <sz val="11"/>
      <color theme="0"/>
      <name val="メイリオ"/>
      <family val="3"/>
      <charset val="128"/>
    </font>
    <font>
      <b/>
      <sz val="11"/>
      <color theme="1"/>
      <name val="ＭＳ Ｐゴシック"/>
      <family val="3"/>
      <charset val="128"/>
    </font>
    <font>
      <b/>
      <sz val="14"/>
      <color theme="1"/>
      <name val="メイリオ"/>
      <family val="3"/>
      <charset val="128"/>
    </font>
    <font>
      <b/>
      <sz val="18"/>
      <color theme="1"/>
      <name val="メイリオ"/>
      <family val="3"/>
      <charset val="128"/>
    </font>
    <font>
      <sz val="11"/>
      <color rgb="FFFF0000"/>
      <name val="ＭＳ Ｐゴシック"/>
      <family val="2"/>
      <charset val="128"/>
      <scheme val="minor"/>
    </font>
    <font>
      <b/>
      <sz val="10"/>
      <color rgb="FFFF0000"/>
      <name val="メイリオ"/>
      <family val="3"/>
      <charset val="128"/>
    </font>
    <font>
      <sz val="11"/>
      <color rgb="FF0066CC"/>
      <name val="メイリオ"/>
      <family val="3"/>
      <charset val="128"/>
    </font>
    <font>
      <sz val="12"/>
      <color rgb="FF0066CC"/>
      <name val="メイリオ"/>
      <family val="3"/>
      <charset val="128"/>
    </font>
    <font>
      <sz val="10"/>
      <color rgb="FFFF0000"/>
      <name val="メイリオ"/>
      <family val="3"/>
      <charset val="128"/>
    </font>
    <font>
      <b/>
      <sz val="12"/>
      <color rgb="FFFF0000"/>
      <name val="メイリオ"/>
      <family val="3"/>
      <charset val="128"/>
    </font>
    <font>
      <sz val="9"/>
      <color rgb="FFFF0000"/>
      <name val="メイリオ"/>
      <family val="3"/>
      <charset val="128"/>
    </font>
    <font>
      <b/>
      <sz val="11"/>
      <name val="メイリオ"/>
      <family val="3"/>
      <charset val="128"/>
    </font>
    <font>
      <sz val="11"/>
      <color rgb="FF000000"/>
      <name val="メイリオ"/>
      <family val="3"/>
      <charset val="128"/>
    </font>
    <font>
      <b/>
      <sz val="48"/>
      <color theme="1"/>
      <name val="メイリオ"/>
      <family val="3"/>
      <charset val="128"/>
    </font>
    <font>
      <sz val="10"/>
      <color theme="1"/>
      <name val="ＭＳ Ｐゴシック"/>
      <family val="2"/>
      <charset val="128"/>
      <scheme val="minor"/>
    </font>
    <font>
      <b/>
      <sz val="11"/>
      <color theme="1"/>
      <name val="ＭＳ Ｐゴシック"/>
      <family val="2"/>
      <charset val="128"/>
      <scheme val="minor"/>
    </font>
    <font>
      <b/>
      <sz val="9"/>
      <name val="メイリオ"/>
      <family val="3"/>
      <charset val="128"/>
    </font>
    <font>
      <sz val="9"/>
      <name val="メイリオ"/>
      <family val="3"/>
      <charset val="128"/>
    </font>
    <font>
      <sz val="9"/>
      <color theme="0"/>
      <name val="メイリオ"/>
      <family val="3"/>
      <charset val="128"/>
    </font>
    <font>
      <sz val="7.8"/>
      <color theme="1"/>
      <name val="メイリオ"/>
      <family val="3"/>
      <charset val="128"/>
    </font>
    <font>
      <sz val="14"/>
      <color rgb="FF000000"/>
      <name val="メイリオ"/>
      <family val="3"/>
      <charset val="128"/>
    </font>
    <font>
      <sz val="12"/>
      <color rgb="FF000000"/>
      <name val="メイリオ"/>
      <family val="3"/>
      <charset val="128"/>
    </font>
    <font>
      <sz val="12"/>
      <name val="メイリオ"/>
      <family val="3"/>
      <charset val="128"/>
    </font>
    <font>
      <sz val="9"/>
      <color theme="1"/>
      <name val="ＭＳ Ｐゴシック"/>
      <family val="2"/>
      <charset val="128"/>
      <scheme val="minor"/>
    </font>
    <font>
      <sz val="12"/>
      <color theme="0"/>
      <name val="メイリオ"/>
      <family val="3"/>
      <charset val="128"/>
    </font>
    <font>
      <b/>
      <sz val="6"/>
      <color theme="1"/>
      <name val="メイリオ"/>
      <family val="3"/>
      <charset val="128"/>
    </font>
  </fonts>
  <fills count="28">
    <fill>
      <patternFill patternType="none"/>
    </fill>
    <fill>
      <patternFill patternType="gray125"/>
    </fill>
    <fill>
      <patternFill patternType="solid">
        <fgColor theme="6" tint="0.59999389629810485"/>
        <bgColor theme="4" tint="0.79998168889431442"/>
      </patternFill>
    </fill>
    <fill>
      <patternFill patternType="solid">
        <fgColor theme="5" tint="-0.49998474074526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theme="4" tint="0.79998168889431442"/>
      </patternFill>
    </fill>
    <fill>
      <patternFill patternType="solid">
        <fgColor theme="3" tint="0.79998168889431442"/>
        <bgColor indexed="64"/>
      </patternFill>
    </fill>
    <fill>
      <patternFill patternType="solid">
        <fgColor rgb="FFFFC000"/>
        <bgColor indexed="64"/>
      </patternFill>
    </fill>
    <fill>
      <patternFill patternType="solid">
        <fgColor rgb="FFFFC000"/>
        <bgColor theme="4" tint="0.79998168889431442"/>
      </patternFill>
    </fill>
    <fill>
      <patternFill patternType="solid">
        <fgColor rgb="FF00B050"/>
        <bgColor indexed="64"/>
      </patternFill>
    </fill>
    <fill>
      <patternFill patternType="solid">
        <fgColor theme="4"/>
        <bgColor theme="4"/>
      </patternFill>
    </fill>
    <fill>
      <patternFill patternType="solid">
        <fgColor theme="5" tint="0.79998168889431442"/>
        <bgColor indexed="64"/>
      </patternFill>
    </fill>
    <fill>
      <patternFill patternType="solid">
        <fgColor rgb="FF00B0F0"/>
        <bgColor theme="4" tint="0.79998168889431442"/>
      </patternFill>
    </fill>
    <fill>
      <patternFill patternType="solid">
        <fgColor theme="9" tint="0.59996337778862885"/>
        <bgColor theme="4" tint="0.79998168889431442"/>
      </patternFill>
    </fill>
    <fill>
      <patternFill patternType="solid">
        <fgColor theme="9" tint="0.599963377788628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59999389629810485"/>
        <bgColor theme="4" tint="0.79998168889431442"/>
      </patternFill>
    </fill>
    <fill>
      <patternFill patternType="solid">
        <fgColor rgb="FFF8FED2"/>
        <bgColor indexed="64"/>
      </patternFill>
    </fill>
    <fill>
      <patternFill patternType="solid">
        <fgColor rgb="FFEAE4D1"/>
        <bgColor theme="4" tint="0.79998168889431442"/>
      </patternFill>
    </fill>
    <fill>
      <patternFill patternType="solid">
        <fgColor rgb="FFEAE4D1"/>
        <bgColor indexed="64"/>
      </patternFill>
    </fill>
    <fill>
      <patternFill patternType="solid">
        <fgColor rgb="FF8BB397"/>
        <bgColor theme="4" tint="0.79998168889431442"/>
      </patternFill>
    </fill>
    <fill>
      <patternFill patternType="solid">
        <fgColor rgb="FF4D99BB"/>
        <bgColor theme="4" tint="0.79998168889431442"/>
      </patternFill>
    </fill>
  </fills>
  <borders count="167">
    <border>
      <left/>
      <right/>
      <top/>
      <bottom/>
      <diagonal/>
    </border>
    <border>
      <left/>
      <right/>
      <top style="thin">
        <color theme="6" tint="-0.499984740745262"/>
      </top>
      <bottom/>
      <diagonal/>
    </border>
    <border>
      <left/>
      <right/>
      <top style="thin">
        <color theme="6" tint="-0.499984740745262"/>
      </top>
      <bottom style="thin">
        <color theme="6" tint="-0.499984740745262"/>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style="thin">
        <color auto="1"/>
      </top>
      <bottom style="hair">
        <color auto="1"/>
      </bottom>
      <diagonal/>
    </border>
    <border>
      <left style="dotted">
        <color auto="1"/>
      </left>
      <right style="thin">
        <color auto="1"/>
      </right>
      <top style="thin">
        <color auto="1"/>
      </top>
      <bottom style="hair">
        <color auto="1"/>
      </bottom>
      <diagonal/>
    </border>
    <border>
      <left style="thin">
        <color auto="1"/>
      </left>
      <right style="dotted">
        <color auto="1"/>
      </right>
      <top style="hair">
        <color auto="1"/>
      </top>
      <bottom style="hair">
        <color auto="1"/>
      </bottom>
      <diagonal/>
    </border>
    <border>
      <left style="dotted">
        <color auto="1"/>
      </left>
      <right style="thin">
        <color auto="1"/>
      </right>
      <top style="hair">
        <color auto="1"/>
      </top>
      <bottom style="hair">
        <color auto="1"/>
      </bottom>
      <diagonal/>
    </border>
    <border>
      <left style="thin">
        <color auto="1"/>
      </left>
      <right style="dotted">
        <color auto="1"/>
      </right>
      <top style="hair">
        <color auto="1"/>
      </top>
      <bottom style="thin">
        <color auto="1"/>
      </bottom>
      <diagonal/>
    </border>
    <border>
      <left style="dotted">
        <color auto="1"/>
      </left>
      <right style="thin">
        <color auto="1"/>
      </right>
      <top style="hair">
        <color auto="1"/>
      </top>
      <bottom style="thin">
        <color auto="1"/>
      </bottom>
      <diagonal/>
    </border>
    <border>
      <left style="thin">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thin">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theme="4" tint="0.39997558519241921"/>
      </top>
      <bottom/>
      <diagonal/>
    </border>
    <border>
      <left/>
      <right/>
      <top style="thin">
        <color rgb="FF0070C0"/>
      </top>
      <bottom/>
      <diagonal/>
    </border>
    <border>
      <left/>
      <right/>
      <top/>
      <bottom style="thin">
        <color rgb="FF0070C0"/>
      </bottom>
      <diagonal/>
    </border>
    <border>
      <left style="dotted">
        <color auto="1"/>
      </left>
      <right style="thin">
        <color auto="1"/>
      </right>
      <top/>
      <bottom style="hair">
        <color auto="1"/>
      </bottom>
      <diagonal/>
    </border>
    <border>
      <left style="dotted">
        <color auto="1"/>
      </left>
      <right style="thin">
        <color auto="1"/>
      </right>
      <top style="hair">
        <color auto="1"/>
      </top>
      <bottom/>
      <diagonal/>
    </border>
    <border>
      <left style="thin">
        <color auto="1"/>
      </left>
      <right style="dotted">
        <color auto="1"/>
      </right>
      <top style="hair">
        <color indexed="64"/>
      </top>
      <bottom/>
      <diagonal/>
    </border>
    <border>
      <left style="thin">
        <color auto="1"/>
      </left>
      <right style="dotted">
        <color auto="1"/>
      </right>
      <top/>
      <bottom style="hair">
        <color auto="1"/>
      </bottom>
      <diagonal/>
    </border>
    <border>
      <left style="thin">
        <color auto="1"/>
      </left>
      <right style="dotted">
        <color auto="1"/>
      </right>
      <top/>
      <bottom/>
      <diagonal/>
    </border>
    <border>
      <left style="hair">
        <color indexed="64"/>
      </left>
      <right style="dotted">
        <color auto="1"/>
      </right>
      <top style="hair">
        <color indexed="64"/>
      </top>
      <bottom style="hair">
        <color indexed="64"/>
      </bottom>
      <diagonal/>
    </border>
    <border>
      <left/>
      <right/>
      <top style="thin">
        <color theme="6" tint="-0.499984740745262"/>
      </top>
      <bottom style="thin">
        <color indexed="64"/>
      </bottom>
      <diagonal/>
    </border>
    <border>
      <left style="hair">
        <color auto="1"/>
      </left>
      <right style="thin">
        <color auto="1"/>
      </right>
      <top style="thin">
        <color auto="1"/>
      </top>
      <bottom style="thin">
        <color auto="1"/>
      </bottom>
      <diagonal/>
    </border>
    <border>
      <left style="thin">
        <color auto="1"/>
      </left>
      <right/>
      <top/>
      <bottom/>
      <diagonal/>
    </border>
    <border>
      <left style="thin">
        <color auto="1"/>
      </left>
      <right style="hair">
        <color indexed="64"/>
      </right>
      <top style="thin">
        <color auto="1"/>
      </top>
      <bottom style="thin">
        <color auto="1"/>
      </bottom>
      <diagonal/>
    </border>
    <border>
      <left style="thin">
        <color auto="1"/>
      </left>
      <right/>
      <top/>
      <bottom style="thin">
        <color auto="1"/>
      </bottom>
      <diagonal/>
    </border>
    <border>
      <left style="thin">
        <color auto="1"/>
      </left>
      <right style="thin">
        <color auto="1"/>
      </right>
      <top style="hair">
        <color auto="1"/>
      </top>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hair">
        <color indexed="64"/>
      </left>
      <right style="double">
        <color indexed="64"/>
      </right>
      <top style="thin">
        <color auto="1"/>
      </top>
      <bottom style="thin">
        <color auto="1"/>
      </bottom>
      <diagonal/>
    </border>
    <border>
      <left style="double">
        <color indexed="64"/>
      </left>
      <right style="hair">
        <color indexed="64"/>
      </right>
      <top style="thin">
        <color indexed="64"/>
      </top>
      <bottom style="thin">
        <color indexed="64"/>
      </bottom>
      <diagonal/>
    </border>
    <border>
      <left/>
      <right style="dotted">
        <color auto="1"/>
      </right>
      <top style="hair">
        <color indexed="64"/>
      </top>
      <bottom style="hair">
        <color indexed="64"/>
      </bottom>
      <diagonal/>
    </border>
    <border>
      <left/>
      <right style="hair">
        <color indexed="64"/>
      </right>
      <top style="hair">
        <color indexed="64"/>
      </top>
      <bottom style="hair">
        <color indexed="64"/>
      </bottom>
      <diagonal/>
    </border>
    <border>
      <left/>
      <right style="dotted">
        <color auto="1"/>
      </right>
      <top/>
      <bottom/>
      <diagonal/>
    </border>
    <border>
      <left/>
      <right style="dotted">
        <color auto="1"/>
      </right>
      <top style="hair">
        <color auto="1"/>
      </top>
      <bottom/>
      <diagonal/>
    </border>
    <border>
      <left/>
      <right style="hair">
        <color indexed="64"/>
      </right>
      <top style="hair">
        <color indexed="64"/>
      </top>
      <bottom/>
      <diagonal/>
    </border>
    <border>
      <left style="thin">
        <color theme="0"/>
      </left>
      <right style="thin">
        <color theme="0"/>
      </right>
      <top style="thin">
        <color theme="0"/>
      </top>
      <bottom style="thin">
        <color theme="0"/>
      </bottom>
      <diagonal/>
    </border>
    <border>
      <left/>
      <right style="dotted">
        <color auto="1"/>
      </right>
      <top style="thin">
        <color auto="1"/>
      </top>
      <bottom style="hair">
        <color auto="1"/>
      </bottom>
      <diagonal/>
    </border>
    <border>
      <left/>
      <right style="dotted">
        <color auto="1"/>
      </right>
      <top style="thin">
        <color auto="1"/>
      </top>
      <bottom style="thin">
        <color auto="1"/>
      </bottom>
      <diagonal/>
    </border>
    <border>
      <left/>
      <right style="dotted">
        <color auto="1"/>
      </right>
      <top/>
      <bottom style="hair">
        <color auto="1"/>
      </bottom>
      <diagonal/>
    </border>
    <border>
      <left style="thin">
        <color auto="1"/>
      </left>
      <right style="dotted">
        <color auto="1"/>
      </right>
      <top/>
      <bottom style="thin">
        <color auto="1"/>
      </bottom>
      <diagonal/>
    </border>
    <border>
      <left style="dotted">
        <color auto="1"/>
      </left>
      <right style="thin">
        <color auto="1"/>
      </right>
      <top/>
      <bottom/>
      <diagonal/>
    </border>
    <border>
      <left/>
      <right style="thin">
        <color theme="0"/>
      </right>
      <top style="thin">
        <color theme="0"/>
      </top>
      <bottom style="thin">
        <color theme="0"/>
      </bottom>
      <diagonal/>
    </border>
    <border>
      <left style="dotted">
        <color auto="1"/>
      </left>
      <right/>
      <top style="thin">
        <color auto="1"/>
      </top>
      <bottom style="thin">
        <color auto="1"/>
      </bottom>
      <diagonal/>
    </border>
    <border>
      <left style="dotted">
        <color auto="1"/>
      </left>
      <right style="thin">
        <color auto="1"/>
      </right>
      <top/>
      <bottom style="thin">
        <color auto="1"/>
      </bottom>
      <diagonal/>
    </border>
    <border>
      <left style="thin">
        <color indexed="64"/>
      </left>
      <right/>
      <top style="thin">
        <color theme="6" tint="-0.499984740745262"/>
      </top>
      <bottom/>
      <diagonal/>
    </border>
    <border>
      <left style="thin">
        <color auto="1"/>
      </left>
      <right/>
      <top style="thin">
        <color auto="1"/>
      </top>
      <bottom style="thin">
        <color theme="6" tint="-0.499984740745262"/>
      </bottom>
      <diagonal/>
    </border>
    <border>
      <left/>
      <right/>
      <top style="thin">
        <color auto="1"/>
      </top>
      <bottom style="thin">
        <color theme="6" tint="-0.499984740745262"/>
      </bottom>
      <diagonal/>
    </border>
    <border>
      <left style="thin">
        <color auto="1"/>
      </left>
      <right style="thin">
        <color theme="6" tint="-0.499984740745262"/>
      </right>
      <top/>
      <bottom/>
      <diagonal/>
    </border>
    <border>
      <left style="thin">
        <color auto="1"/>
      </left>
      <right style="thin">
        <color theme="6" tint="-0.499984740745262"/>
      </right>
      <top/>
      <bottom style="thin">
        <color theme="6" tint="-0.499984740745262"/>
      </bottom>
      <diagonal/>
    </border>
    <border>
      <left style="thin">
        <color auto="1"/>
      </left>
      <right/>
      <top style="thin">
        <color theme="6" tint="-0.499984740745262"/>
      </top>
      <bottom style="thin">
        <color theme="6" tint="-0.499984740745262"/>
      </bottom>
      <diagonal/>
    </border>
    <border>
      <left style="thin">
        <color auto="1"/>
      </left>
      <right/>
      <top style="thin">
        <color theme="6" tint="-0.499984740745262"/>
      </top>
      <bottom style="thin">
        <color auto="1"/>
      </bottom>
      <diagonal/>
    </border>
    <border>
      <left style="thin">
        <color theme="6" tint="-0.499984740745262"/>
      </left>
      <right/>
      <top style="thin">
        <color theme="6" tint="-0.499984740745262"/>
      </top>
      <bottom style="hair">
        <color theme="6" tint="-0.499984740745262"/>
      </bottom>
      <diagonal/>
    </border>
    <border>
      <left style="thin">
        <color theme="6" tint="-0.499984740745262"/>
      </left>
      <right/>
      <top style="hair">
        <color theme="6" tint="-0.499984740745262"/>
      </top>
      <bottom style="hair">
        <color theme="6" tint="-0.499984740745262"/>
      </bottom>
      <diagonal/>
    </border>
    <border>
      <left style="thin">
        <color theme="6" tint="-0.499984740745262"/>
      </left>
      <right/>
      <top style="hair">
        <color theme="6" tint="-0.499984740745262"/>
      </top>
      <bottom style="thin">
        <color theme="6" tint="-0.499984740745262"/>
      </bottom>
      <diagonal/>
    </border>
    <border>
      <left style="thin">
        <color theme="6" tint="-0.499984740745262"/>
      </left>
      <right/>
      <top style="thin">
        <color auto="1"/>
      </top>
      <bottom style="hair">
        <color theme="6" tint="-0.499984740745262"/>
      </bottom>
      <diagonal/>
    </border>
    <border>
      <left style="thin">
        <color theme="6" tint="-0.499984740745262"/>
      </left>
      <right/>
      <top style="hair">
        <color theme="6" tint="-0.499984740745262"/>
      </top>
      <bottom style="thin">
        <color auto="1"/>
      </bottom>
      <diagonal/>
    </border>
    <border>
      <left style="thin">
        <color auto="1"/>
      </left>
      <right style="thin">
        <color auto="1"/>
      </right>
      <top style="thin">
        <color auto="1"/>
      </top>
      <bottom style="hair">
        <color theme="6" tint="-0.499984740745262"/>
      </bottom>
      <diagonal/>
    </border>
    <border>
      <left style="thin">
        <color auto="1"/>
      </left>
      <right style="thin">
        <color auto="1"/>
      </right>
      <top style="hair">
        <color theme="6" tint="-0.499984740745262"/>
      </top>
      <bottom style="hair">
        <color theme="6" tint="-0.499984740745262"/>
      </bottom>
      <diagonal/>
    </border>
    <border>
      <left style="thin">
        <color auto="1"/>
      </left>
      <right style="thin">
        <color auto="1"/>
      </right>
      <top style="hair">
        <color theme="6" tint="-0.499984740745262"/>
      </top>
      <bottom style="thin">
        <color auto="1"/>
      </bottom>
      <diagonal/>
    </border>
    <border>
      <left style="thin">
        <color auto="1"/>
      </left>
      <right style="thin">
        <color theme="6" tint="-0.499984740745262"/>
      </right>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ck">
        <color rgb="FFFFFF00"/>
      </left>
      <right style="thick">
        <color rgb="FFFFFF00"/>
      </right>
      <top style="thick">
        <color rgb="FFFFFF00"/>
      </top>
      <bottom style="thick">
        <color rgb="FFFFFF00"/>
      </bottom>
      <diagonal/>
    </border>
    <border>
      <left style="thin">
        <color theme="4" tint="0.39997558519241921"/>
      </left>
      <right/>
      <top style="thin">
        <color theme="4" tint="0.3999755851924192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dotted">
        <color auto="1"/>
      </left>
      <right style="medium">
        <color auto="1"/>
      </right>
      <top style="thin">
        <color auto="1"/>
      </top>
      <bottom style="medium">
        <color auto="1"/>
      </bottom>
      <diagonal/>
    </border>
    <border>
      <left/>
      <right style="thin">
        <color auto="1"/>
      </right>
      <top style="thin">
        <color theme="6" tint="-0.499984740745262"/>
      </top>
      <bottom style="thin">
        <color theme="6" tint="-0.499984740745262"/>
      </bottom>
      <diagonal/>
    </border>
    <border>
      <left/>
      <right style="thin">
        <color theme="4" tint="0.39997558519241921"/>
      </right>
      <top style="thin">
        <color theme="4" tint="0.39997558519241921"/>
      </top>
      <bottom style="thin">
        <color theme="4" tint="0.39997558519241921"/>
      </bottom>
      <diagonal/>
    </border>
    <border>
      <left style="thin">
        <color theme="0"/>
      </left>
      <right style="thin">
        <color theme="0"/>
      </right>
      <top/>
      <bottom style="thin">
        <color theme="0"/>
      </bottom>
      <diagonal/>
    </border>
    <border>
      <left style="thin">
        <color theme="0"/>
      </left>
      <right/>
      <top/>
      <bottom/>
      <diagonal/>
    </border>
    <border>
      <left/>
      <right style="dotted">
        <color auto="1"/>
      </right>
      <top style="hair">
        <color auto="1"/>
      </top>
      <bottom style="thin">
        <color indexed="64"/>
      </bottom>
      <diagonal/>
    </border>
    <border>
      <left style="thin">
        <color auto="1"/>
      </left>
      <right style="thin">
        <color auto="1"/>
      </right>
      <top/>
      <bottom style="hair">
        <color auto="1"/>
      </bottom>
      <diagonal/>
    </border>
    <border>
      <left/>
      <right style="thin">
        <color theme="4" tint="0.39997558519241921"/>
      </right>
      <top style="thin">
        <color theme="4" tint="0.39997558519241921"/>
      </top>
      <bottom/>
      <diagonal/>
    </border>
    <border>
      <left style="thin">
        <color indexed="64"/>
      </left>
      <right style="thin">
        <color indexed="64"/>
      </right>
      <top style="thin">
        <color indexed="64"/>
      </top>
      <bottom style="double">
        <color indexed="64"/>
      </bottom>
      <diagonal/>
    </border>
    <border>
      <left/>
      <right style="thin">
        <color auto="1"/>
      </right>
      <top style="thin">
        <color auto="1"/>
      </top>
      <bottom style="thin">
        <color theme="6" tint="-0.499984740745262"/>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auto="1"/>
      </left>
      <right style="thin">
        <color auto="1"/>
      </right>
      <top style="double">
        <color indexed="64"/>
      </top>
      <bottom style="thin">
        <color auto="1"/>
      </bottom>
      <diagonal/>
    </border>
    <border>
      <left/>
      <right style="thin">
        <color auto="1"/>
      </right>
      <top style="thin">
        <color theme="6" tint="-0.499984740745262"/>
      </top>
      <bottom/>
      <diagonal/>
    </border>
    <border>
      <left style="thin">
        <color indexed="64"/>
      </left>
      <right/>
      <top/>
      <bottom style="double">
        <color indexed="64"/>
      </bottom>
      <diagonal/>
    </border>
    <border>
      <left/>
      <right style="thin">
        <color auto="1"/>
      </right>
      <top/>
      <bottom style="double">
        <color indexed="64"/>
      </bottom>
      <diagonal/>
    </border>
    <border>
      <left style="thin">
        <color indexed="64"/>
      </left>
      <right style="thin">
        <color indexed="64"/>
      </right>
      <top/>
      <bottom style="double">
        <color indexed="64"/>
      </bottom>
      <diagonal/>
    </border>
    <border>
      <left/>
      <right style="thin">
        <color auto="1"/>
      </right>
      <top style="thin">
        <color theme="6" tint="-0.499984740745262"/>
      </top>
      <bottom style="thin">
        <color indexed="64"/>
      </bottom>
      <diagonal/>
    </border>
    <border>
      <left style="thin">
        <color theme="8"/>
      </left>
      <right style="thin">
        <color theme="8"/>
      </right>
      <top style="thin">
        <color theme="8"/>
      </top>
      <bottom style="medium">
        <color theme="8"/>
      </bottom>
      <diagonal/>
    </border>
    <border>
      <left style="thin">
        <color theme="8"/>
      </left>
      <right style="thin">
        <color theme="8"/>
      </right>
      <top style="thin">
        <color theme="8"/>
      </top>
      <bottom style="thin">
        <color theme="8"/>
      </bottom>
      <diagonal/>
    </border>
    <border>
      <left style="thin">
        <color auto="1"/>
      </left>
      <right style="thin">
        <color auto="1"/>
      </right>
      <top style="hair">
        <color theme="6" tint="-0.499984740745262"/>
      </top>
      <bottom style="hair">
        <color auto="1"/>
      </bottom>
      <diagonal/>
    </border>
    <border>
      <left style="medium">
        <color indexed="64"/>
      </left>
      <right style="medium">
        <color indexed="64"/>
      </right>
      <top style="medium">
        <color indexed="64"/>
      </top>
      <bottom style="medium">
        <color indexed="64"/>
      </bottom>
      <diagonal/>
    </border>
    <border>
      <left/>
      <right style="thin">
        <color rgb="FFFFFF00"/>
      </right>
      <top style="medium">
        <color indexed="64"/>
      </top>
      <bottom style="medium">
        <color indexed="64"/>
      </bottom>
      <diagonal/>
    </border>
    <border>
      <left style="thin">
        <color rgb="FFFFFF00"/>
      </left>
      <right style="thin">
        <color rgb="FFFFFF00"/>
      </right>
      <top style="medium">
        <color indexed="64"/>
      </top>
      <bottom style="medium">
        <color indexed="64"/>
      </bottom>
      <diagonal/>
    </border>
    <border>
      <left style="thin">
        <color rgb="FFFFFF00"/>
      </left>
      <right style="medium">
        <color indexed="64"/>
      </right>
      <top style="medium">
        <color indexed="64"/>
      </top>
      <bottom style="medium">
        <color indexed="64"/>
      </bottom>
      <diagonal/>
    </border>
    <border>
      <left style="medium">
        <color indexed="64"/>
      </left>
      <right style="medium">
        <color indexed="64"/>
      </right>
      <top/>
      <bottom style="thin">
        <color rgb="FFFFFF00"/>
      </bottom>
      <diagonal/>
    </border>
    <border>
      <left/>
      <right style="thin">
        <color rgb="FFFFFF00"/>
      </right>
      <top/>
      <bottom style="thin">
        <color rgb="FFFFFF00"/>
      </bottom>
      <diagonal/>
    </border>
    <border>
      <left style="thin">
        <color rgb="FFFFFF00"/>
      </left>
      <right style="thin">
        <color rgb="FFFFFF00"/>
      </right>
      <top/>
      <bottom style="thin">
        <color rgb="FFFFFF00"/>
      </bottom>
      <diagonal/>
    </border>
    <border>
      <left style="medium">
        <color indexed="64"/>
      </left>
      <right style="medium">
        <color indexed="64"/>
      </right>
      <top style="thin">
        <color rgb="FFFFFF00"/>
      </top>
      <bottom style="thin">
        <color rgb="FFFFFF00"/>
      </bottom>
      <diagonal/>
    </border>
    <border>
      <left/>
      <right style="thin">
        <color rgb="FFFFFF00"/>
      </right>
      <top style="thin">
        <color rgb="FFFFFF00"/>
      </top>
      <bottom style="thin">
        <color rgb="FFFFFF00"/>
      </bottom>
      <diagonal/>
    </border>
    <border>
      <left style="thin">
        <color rgb="FFFFFF00"/>
      </left>
      <right style="thin">
        <color rgb="FFFFFF00"/>
      </right>
      <top style="thin">
        <color rgb="FFFFFF00"/>
      </top>
      <bottom style="thin">
        <color rgb="FFFFFF00"/>
      </bottom>
      <diagonal/>
    </border>
    <border>
      <left style="medium">
        <color indexed="64"/>
      </left>
      <right style="medium">
        <color indexed="64"/>
      </right>
      <top style="thin">
        <color rgb="FFFFFF00"/>
      </top>
      <bottom style="medium">
        <color indexed="64"/>
      </bottom>
      <diagonal/>
    </border>
    <border>
      <left style="thin">
        <color theme="8"/>
      </left>
      <right/>
      <top style="thin">
        <color theme="8"/>
      </top>
      <bottom style="medium">
        <color theme="8"/>
      </bottom>
      <diagonal/>
    </border>
    <border>
      <left style="thin">
        <color theme="8"/>
      </left>
      <right/>
      <top style="thin">
        <color theme="8"/>
      </top>
      <bottom style="thin">
        <color theme="8"/>
      </bottom>
      <diagonal/>
    </border>
    <border>
      <left/>
      <right style="thin">
        <color rgb="FF00B050"/>
      </right>
      <top style="medium">
        <color indexed="64"/>
      </top>
      <bottom style="medium">
        <color indexed="64"/>
      </bottom>
      <diagonal/>
    </border>
    <border>
      <left style="thin">
        <color rgb="FF00B050"/>
      </left>
      <right style="thin">
        <color rgb="FF00B050"/>
      </right>
      <top style="medium">
        <color indexed="64"/>
      </top>
      <bottom style="medium">
        <color indexed="64"/>
      </bottom>
      <diagonal/>
    </border>
    <border>
      <left style="thin">
        <color rgb="FF00B050"/>
      </left>
      <right style="medium">
        <color indexed="64"/>
      </right>
      <top style="medium">
        <color indexed="64"/>
      </top>
      <bottom style="medium">
        <color indexed="64"/>
      </bottom>
      <diagonal/>
    </border>
    <border>
      <left style="medium">
        <color indexed="64"/>
      </left>
      <right style="medium">
        <color indexed="64"/>
      </right>
      <top/>
      <bottom style="thin">
        <color rgb="FF00B050"/>
      </bottom>
      <diagonal/>
    </border>
    <border>
      <left/>
      <right style="thin">
        <color rgb="FF00B050"/>
      </right>
      <top/>
      <bottom style="thin">
        <color rgb="FF00B050"/>
      </bottom>
      <diagonal/>
    </border>
    <border>
      <left style="thin">
        <color rgb="FF00B050"/>
      </left>
      <right style="thin">
        <color rgb="FF00B050"/>
      </right>
      <top/>
      <bottom style="thin">
        <color rgb="FF00B050"/>
      </bottom>
      <diagonal/>
    </border>
    <border>
      <left style="thin">
        <color rgb="FF00B050"/>
      </left>
      <right style="medium">
        <color rgb="FF00B050"/>
      </right>
      <top/>
      <bottom style="thin">
        <color rgb="FF00B050"/>
      </bottom>
      <diagonal/>
    </border>
    <border>
      <left style="medium">
        <color indexed="64"/>
      </left>
      <right style="medium">
        <color indexed="64"/>
      </right>
      <top style="thin">
        <color rgb="FF00B050"/>
      </top>
      <bottom style="thin">
        <color rgb="FF00B050"/>
      </bottom>
      <diagonal/>
    </border>
    <border>
      <left style="thin">
        <color theme="8"/>
      </left>
      <right style="thin">
        <color theme="8"/>
      </right>
      <top style="thin">
        <color theme="8"/>
      </top>
      <bottom/>
      <diagonal/>
    </border>
    <border>
      <left style="thin">
        <color theme="8"/>
      </left>
      <right/>
      <top style="thin">
        <color theme="8"/>
      </top>
      <bottom/>
      <diagonal/>
    </border>
    <border>
      <left style="medium">
        <color indexed="64"/>
      </left>
      <right style="medium">
        <color indexed="64"/>
      </right>
      <top style="thin">
        <color rgb="FF00B050"/>
      </top>
      <bottom style="medium">
        <color indexed="64"/>
      </bottom>
      <diagonal/>
    </border>
    <border>
      <left/>
      <right style="thin">
        <color auto="1"/>
      </right>
      <top style="double">
        <color indexed="64"/>
      </top>
      <bottom style="thin">
        <color auto="1"/>
      </bottom>
      <diagonal/>
    </border>
    <border>
      <left style="thin">
        <color theme="4" tint="0.39997558519241921"/>
      </left>
      <right/>
      <top style="thick">
        <color rgb="FFFFFF00"/>
      </top>
      <bottom/>
      <diagonal/>
    </border>
    <border>
      <left style="thick">
        <color rgb="FFFFFF00"/>
      </left>
      <right style="thin">
        <color theme="4" tint="0.39997558519241921"/>
      </right>
      <top style="thin">
        <color theme="4" tint="0.39997558519241921"/>
      </top>
      <bottom/>
      <diagonal/>
    </border>
    <border>
      <left style="thick">
        <color rgb="FFFFFF00"/>
      </left>
      <right/>
      <top style="thick">
        <color rgb="FFFFFF00"/>
      </top>
      <bottom/>
      <diagonal/>
    </border>
    <border>
      <left style="thin">
        <color theme="4" tint="0.39997558519241921"/>
      </left>
      <right/>
      <top/>
      <bottom/>
      <diagonal/>
    </border>
    <border>
      <left/>
      <right style="thin">
        <color theme="4" tint="0.39997558519241921"/>
      </right>
      <top/>
      <bottom/>
      <diagonal/>
    </border>
    <border>
      <left style="thick">
        <color theme="0"/>
      </left>
      <right style="thick">
        <color theme="0"/>
      </right>
      <top style="thick">
        <color theme="0"/>
      </top>
      <bottom style="thick">
        <color theme="0"/>
      </bottom>
      <diagonal/>
    </border>
    <border>
      <left style="thin">
        <color theme="0"/>
      </left>
      <right style="thin">
        <color theme="4" tint="0.39997558519241921"/>
      </right>
      <top style="thin">
        <color theme="0"/>
      </top>
      <bottom style="thin">
        <color theme="0"/>
      </bottom>
      <diagonal/>
    </border>
    <border>
      <left style="thin">
        <color theme="0"/>
      </left>
      <right style="thin">
        <color theme="4" tint="0.39997558519241921"/>
      </right>
      <top style="thin">
        <color theme="0"/>
      </top>
      <bottom/>
      <diagonal/>
    </border>
    <border>
      <left style="thin">
        <color theme="0"/>
      </left>
      <right/>
      <top style="thin">
        <color theme="4" tint="0.39997558519241921"/>
      </top>
      <bottom/>
      <diagonal/>
    </border>
    <border>
      <left style="thin">
        <color theme="0"/>
      </left>
      <right/>
      <top style="thin">
        <color theme="4" tint="0.39997558519241921"/>
      </top>
      <bottom style="thin">
        <color theme="4" tint="0.39997558519241921"/>
      </bottom>
      <diagonal/>
    </border>
    <border>
      <left style="thick">
        <color rgb="FFFFFF00"/>
      </left>
      <right/>
      <top style="thin">
        <color theme="4" tint="0.39997558519241921"/>
      </top>
      <bottom/>
      <diagonal/>
    </border>
    <border>
      <left style="thin">
        <color theme="0"/>
      </left>
      <right/>
      <top style="thin">
        <color theme="0"/>
      </top>
      <bottom/>
      <diagonal/>
    </border>
    <border>
      <left/>
      <right/>
      <top style="thin">
        <color theme="0"/>
      </top>
      <bottom style="thin">
        <color theme="0"/>
      </bottom>
      <diagonal/>
    </border>
    <border>
      <left/>
      <right style="thin">
        <color theme="0"/>
      </right>
      <top style="thin">
        <color theme="0"/>
      </top>
      <bottom/>
      <diagonal/>
    </border>
    <border>
      <left/>
      <right style="thin">
        <color theme="8"/>
      </right>
      <top style="thin">
        <color theme="8"/>
      </top>
      <bottom style="medium">
        <color theme="8"/>
      </bottom>
      <diagonal/>
    </border>
    <border>
      <left style="thin">
        <color theme="8"/>
      </left>
      <right style="thin">
        <color theme="8"/>
      </right>
      <top/>
      <bottom style="thin">
        <color theme="8"/>
      </bottom>
      <diagonal/>
    </border>
    <border>
      <left/>
      <right/>
      <top/>
      <bottom style="thin">
        <color theme="4" tint="0.39997558519241921"/>
      </bottom>
      <diagonal/>
    </border>
    <border>
      <left style="thick">
        <color rgb="FFFFFF00"/>
      </left>
      <right/>
      <top style="thin">
        <color theme="0"/>
      </top>
      <bottom/>
      <diagonal/>
    </border>
    <border>
      <left style="thin">
        <color theme="0"/>
      </left>
      <right style="thin">
        <color theme="0"/>
      </right>
      <top style="thin">
        <color rgb="FFFFFF00"/>
      </top>
      <bottom style="thin">
        <color theme="0"/>
      </bottom>
      <diagonal/>
    </border>
    <border>
      <left style="thin">
        <color theme="0"/>
      </left>
      <right/>
      <top style="thick">
        <color rgb="FFFFFF00"/>
      </top>
      <bottom/>
      <diagonal/>
    </border>
    <border>
      <left style="thick">
        <color theme="0"/>
      </left>
      <right/>
      <top style="thin">
        <color theme="0"/>
      </top>
      <bottom/>
      <diagonal/>
    </border>
    <border>
      <left style="thin">
        <color theme="0"/>
      </left>
      <right/>
      <top style="thick">
        <color theme="0"/>
      </top>
      <bottom/>
      <diagonal/>
    </border>
    <border>
      <left/>
      <right/>
      <top style="thin">
        <color theme="0"/>
      </top>
      <bottom/>
      <diagonal/>
    </border>
    <border>
      <left/>
      <right style="thin">
        <color auto="1"/>
      </right>
      <top/>
      <bottom style="hair">
        <color auto="1"/>
      </bottom>
      <diagonal/>
    </border>
    <border>
      <left style="thin">
        <color auto="1"/>
      </left>
      <right style="thin">
        <color auto="1"/>
      </right>
      <top style="medium">
        <color indexed="64"/>
      </top>
      <bottom style="medium">
        <color indexed="64"/>
      </bottom>
      <diagonal/>
    </border>
    <border>
      <left style="thin">
        <color auto="1"/>
      </left>
      <right style="thin">
        <color auto="1"/>
      </right>
      <top style="thin">
        <color auto="1"/>
      </top>
      <bottom style="medium">
        <color indexed="64"/>
      </bottom>
      <diagonal/>
    </border>
  </borders>
  <cellStyleXfs count="9">
    <xf numFmtId="0" fontId="0" fillId="0" borderId="0">
      <alignment vertical="center"/>
    </xf>
    <xf numFmtId="9" fontId="1" fillId="0" borderId="0" applyFont="0" applyFill="0" applyBorder="0" applyAlignment="0" applyProtection="0">
      <alignment vertical="center"/>
    </xf>
    <xf numFmtId="0" fontId="3"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1162">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Border="1">
      <alignment vertical="center"/>
    </xf>
    <xf numFmtId="0" fontId="7" fillId="0" borderId="0" xfId="0" applyFont="1" applyBorder="1">
      <alignment vertical="center"/>
    </xf>
    <xf numFmtId="0" fontId="5" fillId="0" borderId="0" xfId="0" applyFont="1" applyBorder="1" applyAlignment="1">
      <alignment horizontal="left" vertical="center"/>
    </xf>
    <xf numFmtId="176" fontId="5" fillId="0" borderId="0" xfId="0" applyNumberFormat="1" applyFont="1" applyBorder="1">
      <alignment vertical="center"/>
    </xf>
    <xf numFmtId="0" fontId="9" fillId="0" borderId="0" xfId="0" applyFont="1">
      <alignment vertical="center"/>
    </xf>
    <xf numFmtId="0" fontId="9" fillId="0" borderId="0" xfId="0" applyFont="1" applyBorder="1">
      <alignment vertical="center"/>
    </xf>
    <xf numFmtId="0" fontId="9" fillId="0" borderId="0" xfId="0" applyFont="1" applyAlignment="1">
      <alignment horizontal="left" vertical="center"/>
    </xf>
    <xf numFmtId="176" fontId="9" fillId="0" borderId="0" xfId="0" applyNumberFormat="1" applyFont="1">
      <alignment vertical="center"/>
    </xf>
    <xf numFmtId="10" fontId="9" fillId="0" borderId="0" xfId="0" applyNumberFormat="1" applyFont="1" applyAlignment="1">
      <alignment horizontal="right" vertical="center" indent="1"/>
    </xf>
    <xf numFmtId="0" fontId="8" fillId="2" borderId="39" xfId="0" applyFont="1" applyFill="1" applyBorder="1" applyAlignment="1">
      <alignment horizontal="left" vertical="center" indent="1"/>
    </xf>
    <xf numFmtId="177" fontId="5" fillId="0" borderId="4" xfId="1" applyNumberFormat="1" applyFont="1" applyBorder="1">
      <alignment vertical="center"/>
    </xf>
    <xf numFmtId="0" fontId="5" fillId="0" borderId="0" xfId="0" applyFont="1" applyBorder="1">
      <alignment vertical="center"/>
    </xf>
    <xf numFmtId="38" fontId="5" fillId="0" borderId="0" xfId="0" applyNumberFormat="1" applyFont="1">
      <alignment vertical="center"/>
    </xf>
    <xf numFmtId="177" fontId="5" fillId="0" borderId="0" xfId="1" applyNumberFormat="1" applyFont="1" applyBorder="1">
      <alignment vertical="center"/>
    </xf>
    <xf numFmtId="0" fontId="9" fillId="0" borderId="0" xfId="0" applyNumberFormat="1" applyFont="1">
      <alignment vertical="center"/>
    </xf>
    <xf numFmtId="0" fontId="5" fillId="0" borderId="0" xfId="0" applyFont="1" applyAlignment="1">
      <alignment horizontal="center" vertical="center" wrapText="1"/>
    </xf>
    <xf numFmtId="0" fontId="11" fillId="3" borderId="0" xfId="0" applyFont="1" applyFill="1" applyAlignment="1">
      <alignment horizontal="right" vertical="center"/>
    </xf>
    <xf numFmtId="0" fontId="11" fillId="0" borderId="0" xfId="0" applyFont="1" applyAlignment="1">
      <alignment horizontal="center" vertical="center"/>
    </xf>
    <xf numFmtId="10" fontId="5" fillId="0" borderId="0" xfId="0" applyNumberFormat="1" applyFont="1" applyAlignment="1">
      <alignment horizontal="right" vertical="center" indent="1"/>
    </xf>
    <xf numFmtId="0" fontId="12" fillId="0" borderId="0" xfId="0" applyFont="1" applyAlignment="1">
      <alignment vertical="center" wrapText="1"/>
    </xf>
    <xf numFmtId="0" fontId="5" fillId="0" borderId="0" xfId="0" applyFont="1" applyAlignment="1">
      <alignment horizontal="left" vertical="center"/>
    </xf>
    <xf numFmtId="176" fontId="5" fillId="0" borderId="0" xfId="0" applyNumberFormat="1" applyFont="1">
      <alignment vertical="center"/>
    </xf>
    <xf numFmtId="176" fontId="11" fillId="0" borderId="0" xfId="0" applyNumberFormat="1" applyFont="1">
      <alignment vertical="center"/>
    </xf>
    <xf numFmtId="181" fontId="5" fillId="0" borderId="54" xfId="0" applyNumberFormat="1" applyFont="1" applyBorder="1" applyAlignment="1">
      <alignment vertical="center"/>
    </xf>
    <xf numFmtId="0" fontId="5" fillId="0" borderId="0" xfId="0" applyFont="1" applyAlignment="1">
      <alignment vertical="center"/>
    </xf>
    <xf numFmtId="0" fontId="11" fillId="0" borderId="0" xfId="0" applyFont="1">
      <alignment vertical="center"/>
    </xf>
    <xf numFmtId="0" fontId="5" fillId="0" borderId="0" xfId="0" applyNumberFormat="1" applyFont="1">
      <alignment vertical="center"/>
    </xf>
    <xf numFmtId="177" fontId="5" fillId="0" borderId="0" xfId="0" applyNumberFormat="1" applyFont="1">
      <alignment vertical="center"/>
    </xf>
    <xf numFmtId="0" fontId="8" fillId="6" borderId="0" xfId="0" applyFont="1" applyFill="1" applyBorder="1" applyAlignment="1">
      <alignment horizontal="center" vertical="center"/>
    </xf>
    <xf numFmtId="0" fontId="8" fillId="6" borderId="0" xfId="0" applyFont="1" applyFill="1" applyBorder="1" applyAlignment="1">
      <alignment horizontal="center" vertical="center" wrapText="1"/>
    </xf>
    <xf numFmtId="176" fontId="5" fillId="0" borderId="54" xfId="0" applyNumberFormat="1" applyFont="1" applyBorder="1" applyAlignment="1">
      <alignment vertical="center"/>
    </xf>
    <xf numFmtId="10" fontId="5" fillId="0" borderId="0" xfId="0" applyNumberFormat="1" applyFont="1" applyBorder="1" applyAlignment="1">
      <alignment horizontal="right" vertical="center" indent="1"/>
    </xf>
    <xf numFmtId="0" fontId="8" fillId="6" borderId="0" xfId="0" applyFont="1" applyFill="1" applyBorder="1" applyAlignment="1">
      <alignment horizontal="left" vertical="center"/>
    </xf>
    <xf numFmtId="176" fontId="8" fillId="6" borderId="0" xfId="0" applyNumberFormat="1" applyFont="1" applyFill="1" applyBorder="1">
      <alignment vertical="center"/>
    </xf>
    <xf numFmtId="10" fontId="8" fillId="6" borderId="0" xfId="0" applyNumberFormat="1" applyFont="1" applyFill="1" applyBorder="1" applyAlignment="1">
      <alignment horizontal="right" vertical="center" indent="1"/>
    </xf>
    <xf numFmtId="0" fontId="11" fillId="3" borderId="0" xfId="0" applyFont="1" applyFill="1" applyAlignment="1">
      <alignment horizontal="center" vertical="center"/>
    </xf>
    <xf numFmtId="0" fontId="11" fillId="3" borderId="0" xfId="0" applyFont="1" applyFill="1">
      <alignment vertical="center"/>
    </xf>
    <xf numFmtId="0" fontId="11" fillId="0" borderId="0" xfId="0" applyFont="1" applyAlignment="1">
      <alignment vertical="center"/>
    </xf>
    <xf numFmtId="0" fontId="11" fillId="3" borderId="0" xfId="0" applyFont="1" applyFill="1" applyAlignment="1">
      <alignment horizontal="left" vertical="center"/>
    </xf>
    <xf numFmtId="0" fontId="8" fillId="0" borderId="0" xfId="0" applyFont="1" applyFill="1" applyBorder="1" applyAlignment="1">
      <alignment horizontal="left" vertical="center" indent="1"/>
    </xf>
    <xf numFmtId="0" fontId="5" fillId="0" borderId="0" xfId="0" applyFont="1" applyFill="1" applyBorder="1">
      <alignment vertical="center"/>
    </xf>
    <xf numFmtId="0" fontId="5" fillId="0" borderId="54" xfId="0" applyFont="1" applyBorder="1">
      <alignment vertical="center"/>
    </xf>
    <xf numFmtId="176" fontId="17" fillId="0" borderId="0" xfId="0" applyNumberFormat="1" applyFont="1">
      <alignment vertical="center"/>
    </xf>
    <xf numFmtId="0" fontId="11" fillId="3" borderId="0" xfId="0" applyFont="1" applyFill="1" applyAlignment="1">
      <alignment horizontal="center" vertical="center" wrapText="1"/>
    </xf>
    <xf numFmtId="176" fontId="5" fillId="0" borderId="54" xfId="0" applyNumberFormat="1" applyFont="1" applyBorder="1">
      <alignment vertical="center"/>
    </xf>
    <xf numFmtId="179" fontId="5" fillId="0" borderId="0" xfId="0" applyNumberFormat="1" applyFont="1">
      <alignment vertical="center"/>
    </xf>
    <xf numFmtId="0" fontId="5" fillId="0" borderId="41" xfId="0" applyFont="1" applyBorder="1">
      <alignment vertical="center"/>
    </xf>
    <xf numFmtId="0" fontId="8" fillId="6" borderId="0" xfId="0" applyFont="1" applyFill="1" applyAlignment="1">
      <alignment horizontal="left" vertical="center"/>
    </xf>
    <xf numFmtId="38" fontId="8" fillId="6" borderId="0" xfId="0" applyNumberFormat="1" applyFont="1" applyFill="1">
      <alignment vertical="center"/>
    </xf>
    <xf numFmtId="179" fontId="5" fillId="0" borderId="0" xfId="0" applyNumberFormat="1" applyFont="1" applyBorder="1">
      <alignment vertical="center"/>
    </xf>
    <xf numFmtId="0" fontId="11" fillId="3" borderId="0" xfId="0" applyFont="1" applyFill="1" applyBorder="1">
      <alignment vertical="center"/>
    </xf>
    <xf numFmtId="0" fontId="11" fillId="3" borderId="0" xfId="0" applyFont="1" applyFill="1" applyBorder="1" applyAlignment="1">
      <alignment horizontal="center" vertical="center"/>
    </xf>
    <xf numFmtId="38" fontId="8" fillId="6" borderId="0" xfId="0" applyNumberFormat="1" applyFont="1" applyFill="1" applyBorder="1">
      <alignment vertical="center"/>
    </xf>
    <xf numFmtId="38" fontId="5" fillId="0" borderId="0" xfId="0" applyNumberFormat="1" applyFont="1" applyBorder="1">
      <alignment vertical="center"/>
    </xf>
    <xf numFmtId="0" fontId="11" fillId="0" borderId="0" xfId="0" applyFont="1" applyAlignment="1">
      <alignment vertical="center" wrapText="1"/>
    </xf>
    <xf numFmtId="0" fontId="15" fillId="0" borderId="23" xfId="0" applyFont="1" applyBorder="1" applyAlignment="1">
      <alignment vertical="center" wrapText="1"/>
    </xf>
    <xf numFmtId="0" fontId="16" fillId="0" borderId="25" xfId="0" applyFont="1" applyBorder="1" applyAlignment="1">
      <alignment vertical="center" shrinkToFit="1"/>
    </xf>
    <xf numFmtId="0" fontId="16" fillId="0" borderId="25" xfId="0" applyFont="1" applyBorder="1">
      <alignment vertical="center"/>
    </xf>
    <xf numFmtId="0" fontId="15" fillId="4" borderId="5" xfId="0" applyFont="1" applyFill="1" applyBorder="1" applyAlignment="1">
      <alignment horizontal="left" vertical="center"/>
    </xf>
    <xf numFmtId="0" fontId="8" fillId="0" borderId="0" xfId="0" applyFont="1" applyBorder="1" applyAlignment="1">
      <alignment horizontal="left" vertical="center"/>
    </xf>
    <xf numFmtId="176" fontId="8" fillId="0" borderId="0" xfId="0" applyNumberFormat="1" applyFont="1" applyBorder="1">
      <alignment vertical="center"/>
    </xf>
    <xf numFmtId="177" fontId="8" fillId="0" borderId="0" xfId="0" applyNumberFormat="1" applyFont="1" applyBorder="1" applyAlignment="1">
      <alignment horizontal="right" vertical="center"/>
    </xf>
    <xf numFmtId="182" fontId="8" fillId="0" borderId="0" xfId="0" applyNumberFormat="1" applyFont="1" applyBorder="1" applyAlignment="1">
      <alignment horizontal="right" vertical="center"/>
    </xf>
    <xf numFmtId="0" fontId="15" fillId="4" borderId="5" xfId="0" applyFont="1" applyFill="1" applyBorder="1" applyAlignment="1">
      <alignment horizontal="center" vertical="center"/>
    </xf>
    <xf numFmtId="0" fontId="15" fillId="0" borderId="23" xfId="0" applyFont="1" applyBorder="1">
      <alignment vertical="center"/>
    </xf>
    <xf numFmtId="0" fontId="15" fillId="4" borderId="5" xfId="0" applyFont="1" applyFill="1" applyBorder="1">
      <alignment vertical="center"/>
    </xf>
    <xf numFmtId="0" fontId="13" fillId="0" borderId="10" xfId="0" applyFont="1" applyBorder="1" applyAlignment="1">
      <alignment horizontal="left" vertical="center" wrapText="1" indent="1"/>
    </xf>
    <xf numFmtId="0" fontId="13" fillId="0" borderId="11" xfId="0" applyFont="1" applyBorder="1" applyAlignment="1">
      <alignment horizontal="left" vertical="center" indent="1"/>
    </xf>
    <xf numFmtId="0" fontId="13" fillId="0" borderId="12" xfId="0" applyFont="1" applyBorder="1" applyAlignment="1">
      <alignment horizontal="left" vertical="center" indent="1"/>
    </xf>
    <xf numFmtId="0" fontId="15" fillId="0" borderId="10" xfId="0" applyFont="1" applyBorder="1" applyAlignment="1">
      <alignment vertical="center" wrapText="1"/>
    </xf>
    <xf numFmtId="0" fontId="16" fillId="0" borderId="11" xfId="0" applyFont="1" applyBorder="1" applyAlignment="1">
      <alignment vertical="center" shrinkToFit="1"/>
    </xf>
    <xf numFmtId="0" fontId="16" fillId="0" borderId="44" xfId="0" applyFont="1" applyBorder="1">
      <alignment vertical="center"/>
    </xf>
    <xf numFmtId="0" fontId="8" fillId="4" borderId="5" xfId="0" applyFont="1" applyFill="1" applyBorder="1" applyAlignment="1">
      <alignment horizontal="left" vertical="center"/>
    </xf>
    <xf numFmtId="0" fontId="15" fillId="0" borderId="10" xfId="0" applyFont="1" applyBorder="1">
      <alignment vertical="center"/>
    </xf>
    <xf numFmtId="0" fontId="16" fillId="0" borderId="11" xfId="0" applyFont="1" applyBorder="1">
      <alignment vertical="center"/>
    </xf>
    <xf numFmtId="0" fontId="5" fillId="0" borderId="3" xfId="0" applyFont="1" applyBorder="1">
      <alignment vertical="center"/>
    </xf>
    <xf numFmtId="0" fontId="16" fillId="0" borderId="24" xfId="0" applyFont="1" applyBorder="1">
      <alignment vertical="center"/>
    </xf>
    <xf numFmtId="0" fontId="5" fillId="0" borderId="60" xfId="0" applyFont="1" applyBorder="1">
      <alignment vertical="center"/>
    </xf>
    <xf numFmtId="0" fontId="16" fillId="0" borderId="10" xfId="0" applyFont="1" applyBorder="1" applyAlignment="1">
      <alignment horizontal="left" vertical="center" wrapText="1" indent="1"/>
    </xf>
    <xf numFmtId="0" fontId="16" fillId="0" borderId="11" xfId="0" applyFont="1" applyBorder="1" applyAlignment="1">
      <alignment horizontal="left" vertical="center" indent="1"/>
    </xf>
    <xf numFmtId="0" fontId="16" fillId="0" borderId="12" xfId="0" applyFont="1" applyBorder="1" applyAlignment="1">
      <alignment horizontal="left" vertical="center" indent="1"/>
    </xf>
    <xf numFmtId="0" fontId="8" fillId="0" borderId="0" xfId="0" applyFont="1" applyFill="1" applyBorder="1" applyAlignment="1">
      <alignment horizontal="left" vertical="center"/>
    </xf>
    <xf numFmtId="38" fontId="8" fillId="0" borderId="0" xfId="0" applyNumberFormat="1" applyFont="1" applyFill="1" applyBorder="1">
      <alignment vertical="center"/>
    </xf>
    <xf numFmtId="177" fontId="8" fillId="0" borderId="0" xfId="1" applyNumberFormat="1" applyFont="1" applyFill="1" applyBorder="1">
      <alignment vertical="center"/>
    </xf>
    <xf numFmtId="0" fontId="5" fillId="0" borderId="0" xfId="0" applyFont="1" applyFill="1">
      <alignment vertical="center"/>
    </xf>
    <xf numFmtId="0" fontId="13" fillId="0" borderId="0" xfId="0" applyFont="1" applyBorder="1" applyAlignment="1">
      <alignment horizontal="left" vertical="center"/>
    </xf>
    <xf numFmtId="38" fontId="5" fillId="0" borderId="4" xfId="0" applyNumberFormat="1" applyFont="1" applyBorder="1">
      <alignment vertical="center"/>
    </xf>
    <xf numFmtId="0" fontId="5" fillId="0" borderId="0" xfId="0" applyFont="1" applyAlignment="1">
      <alignment horizontal="center" vertical="center"/>
    </xf>
    <xf numFmtId="177" fontId="5" fillId="0" borderId="0" xfId="1" applyNumberFormat="1" applyFont="1">
      <alignment vertical="center"/>
    </xf>
    <xf numFmtId="38" fontId="5" fillId="0" borderId="0" xfId="7" applyFont="1">
      <alignment vertical="center"/>
    </xf>
    <xf numFmtId="0" fontId="5" fillId="8" borderId="0" xfId="0" applyFont="1" applyFill="1">
      <alignment vertical="center"/>
    </xf>
    <xf numFmtId="0" fontId="5" fillId="7" borderId="0" xfId="0" applyFont="1" applyFill="1">
      <alignment vertical="center"/>
    </xf>
    <xf numFmtId="0" fontId="8" fillId="0" borderId="0" xfId="0" applyFont="1" applyAlignment="1">
      <alignment horizontal="center" vertical="center" wrapText="1"/>
    </xf>
    <xf numFmtId="0" fontId="5" fillId="0" borderId="0" xfId="0" applyFont="1" applyAlignment="1">
      <alignment horizontal="right" vertical="center"/>
    </xf>
    <xf numFmtId="0" fontId="13" fillId="8" borderId="41" xfId="0" applyFont="1" applyFill="1" applyBorder="1" applyAlignment="1">
      <alignment vertical="center"/>
    </xf>
    <xf numFmtId="0" fontId="12" fillId="0" borderId="6" xfId="0" applyFont="1" applyBorder="1" applyAlignment="1">
      <alignment vertical="center" wrapText="1"/>
    </xf>
    <xf numFmtId="182" fontId="5" fillId="0" borderId="54" xfId="0" applyNumberFormat="1" applyFont="1" applyBorder="1">
      <alignment vertical="center"/>
    </xf>
    <xf numFmtId="0" fontId="12" fillId="0" borderId="11" xfId="0" applyFont="1" applyBorder="1" applyAlignment="1">
      <alignment vertical="center" wrapText="1"/>
    </xf>
    <xf numFmtId="0" fontId="13" fillId="8" borderId="43" xfId="0" applyFont="1" applyFill="1" applyBorder="1" applyAlignment="1">
      <alignment vertical="center"/>
    </xf>
    <xf numFmtId="0" fontId="12" fillId="0" borderId="29" xfId="0" applyFont="1" applyBorder="1" applyAlignment="1">
      <alignment vertical="center" wrapText="1"/>
    </xf>
    <xf numFmtId="176" fontId="5" fillId="0" borderId="0" xfId="0" applyNumberFormat="1" applyFont="1" applyFill="1" applyBorder="1">
      <alignment vertical="center"/>
    </xf>
    <xf numFmtId="0" fontId="5" fillId="0" borderId="0" xfId="0" applyFont="1" applyFill="1" applyAlignment="1">
      <alignment horizontal="left" vertical="center"/>
    </xf>
    <xf numFmtId="38" fontId="5" fillId="0" borderId="0" xfId="0" applyNumberFormat="1" applyFont="1" applyFill="1">
      <alignment vertical="center"/>
    </xf>
    <xf numFmtId="0" fontId="5" fillId="0" borderId="0" xfId="0" applyFont="1" applyBorder="1" applyAlignment="1">
      <alignment horizontal="center" vertical="center"/>
    </xf>
    <xf numFmtId="176" fontId="5" fillId="0" borderId="0" xfId="0" applyNumberFormat="1" applyFont="1" applyFill="1" applyBorder="1" applyAlignment="1">
      <alignment horizontal="right" vertical="center"/>
    </xf>
    <xf numFmtId="177" fontId="5" fillId="0" borderId="0" xfId="0" applyNumberFormat="1" applyFont="1" applyFill="1" applyBorder="1" applyAlignment="1">
      <alignment horizontal="right" vertical="center"/>
    </xf>
    <xf numFmtId="0" fontId="5" fillId="0" borderId="0" xfId="0" applyFont="1" applyBorder="1" applyAlignment="1">
      <alignment horizontal="right" vertical="center" wrapText="1"/>
    </xf>
    <xf numFmtId="0" fontId="5" fillId="5" borderId="0" xfId="0" applyFont="1" applyFill="1" applyBorder="1" applyAlignment="1">
      <alignment horizontal="right" vertical="center" wrapText="1"/>
    </xf>
    <xf numFmtId="0" fontId="5" fillId="0" borderId="0" xfId="0" applyFont="1" applyBorder="1" applyAlignment="1">
      <alignment horizontal="right" vertical="center"/>
    </xf>
    <xf numFmtId="10" fontId="8" fillId="6" borderId="30" xfId="0" applyNumberFormat="1" applyFont="1" applyFill="1" applyBorder="1" applyAlignment="1">
      <alignment horizontal="right" vertical="center" indent="1"/>
    </xf>
    <xf numFmtId="0" fontId="18" fillId="0" borderId="0" xfId="0" applyFont="1">
      <alignment vertical="center"/>
    </xf>
    <xf numFmtId="38" fontId="5" fillId="0" borderId="0" xfId="0" applyNumberFormat="1" applyFont="1" applyFill="1" applyBorder="1">
      <alignment vertical="center"/>
    </xf>
    <xf numFmtId="0" fontId="5" fillId="0" borderId="31" xfId="0" applyFont="1" applyBorder="1">
      <alignment vertical="center"/>
    </xf>
    <xf numFmtId="0" fontId="5" fillId="0" borderId="31" xfId="0" applyFont="1" applyBorder="1" applyAlignment="1">
      <alignment horizontal="left" vertical="center"/>
    </xf>
    <xf numFmtId="38" fontId="5" fillId="0" borderId="31" xfId="0" applyNumberFormat="1" applyFont="1" applyBorder="1">
      <alignment vertical="center"/>
    </xf>
    <xf numFmtId="0" fontId="5" fillId="0" borderId="32" xfId="0" applyFont="1" applyBorder="1">
      <alignment vertical="center"/>
    </xf>
    <xf numFmtId="0" fontId="5" fillId="0" borderId="32" xfId="0" applyFont="1" applyBorder="1" applyAlignment="1">
      <alignment horizontal="left" vertical="center"/>
    </xf>
    <xf numFmtId="38" fontId="5" fillId="0" borderId="32" xfId="0" applyNumberFormat="1" applyFont="1" applyBorder="1">
      <alignment vertical="center"/>
    </xf>
    <xf numFmtId="0" fontId="5" fillId="0" borderId="0" xfId="0" applyFont="1" applyFill="1" applyBorder="1" applyAlignment="1">
      <alignment horizontal="left" vertical="center"/>
    </xf>
    <xf numFmtId="176" fontId="8" fillId="0" borderId="15" xfId="0" applyNumberFormat="1" applyFont="1" applyBorder="1" applyAlignment="1">
      <alignment vertical="center" shrinkToFit="1"/>
    </xf>
    <xf numFmtId="177" fontId="8" fillId="0" borderId="14" xfId="0" applyNumberFormat="1" applyFont="1" applyBorder="1" applyAlignment="1">
      <alignment horizontal="right" vertical="center" shrinkToFit="1"/>
    </xf>
    <xf numFmtId="177" fontId="8" fillId="0" borderId="16" xfId="0" applyNumberFormat="1" applyFont="1" applyBorder="1" applyAlignment="1">
      <alignment horizontal="right" vertical="center" shrinkToFit="1"/>
    </xf>
    <xf numFmtId="176" fontId="5" fillId="0" borderId="17" xfId="0" applyNumberFormat="1" applyFont="1" applyBorder="1" applyAlignment="1">
      <alignment vertical="center" shrinkToFit="1"/>
    </xf>
    <xf numFmtId="177" fontId="5" fillId="0" borderId="18" xfId="0" applyNumberFormat="1" applyFont="1" applyBorder="1" applyAlignment="1">
      <alignment horizontal="right" vertical="center" shrinkToFit="1"/>
    </xf>
    <xf numFmtId="177" fontId="5" fillId="0" borderId="59" xfId="0" applyNumberFormat="1" applyFont="1" applyBorder="1" applyAlignment="1">
      <alignment horizontal="right" vertical="center" shrinkToFit="1"/>
    </xf>
    <xf numFmtId="176" fontId="5" fillId="0" borderId="19" xfId="0" applyNumberFormat="1" applyFont="1" applyBorder="1" applyAlignment="1">
      <alignment vertical="center" shrinkToFit="1"/>
    </xf>
    <xf numFmtId="177" fontId="5" fillId="0" borderId="33" xfId="0" applyNumberFormat="1" applyFont="1" applyBorder="1" applyAlignment="1">
      <alignment horizontal="right" vertical="center" shrinkToFit="1"/>
    </xf>
    <xf numFmtId="177" fontId="5" fillId="0" borderId="20" xfId="0" applyNumberFormat="1" applyFont="1" applyBorder="1" applyAlignment="1">
      <alignment horizontal="right" vertical="center" shrinkToFit="1"/>
    </xf>
    <xf numFmtId="176" fontId="8" fillId="4" borderId="56" xfId="0" applyNumberFormat="1" applyFont="1" applyFill="1" applyBorder="1" applyAlignment="1">
      <alignment vertical="center" shrinkToFit="1"/>
    </xf>
    <xf numFmtId="177" fontId="8" fillId="4" borderId="22" xfId="0" applyNumberFormat="1" applyFont="1" applyFill="1" applyBorder="1" applyAlignment="1">
      <alignment horizontal="right" vertical="center" shrinkToFit="1"/>
    </xf>
    <xf numFmtId="182" fontId="8" fillId="4" borderId="61" xfId="0" applyNumberFormat="1" applyFont="1" applyFill="1" applyBorder="1" applyAlignment="1">
      <alignment horizontal="right" vertical="center" shrinkToFit="1"/>
    </xf>
    <xf numFmtId="176" fontId="8" fillId="0" borderId="0" xfId="0" applyNumberFormat="1" applyFont="1" applyBorder="1" applyAlignment="1">
      <alignment vertical="center" shrinkToFit="1"/>
    </xf>
    <xf numFmtId="177" fontId="8" fillId="0" borderId="0" xfId="0" applyNumberFormat="1" applyFont="1" applyBorder="1" applyAlignment="1">
      <alignment horizontal="right" vertical="center" shrinkToFit="1"/>
    </xf>
    <xf numFmtId="182" fontId="8" fillId="0" borderId="0" xfId="0" applyNumberFormat="1" applyFont="1" applyBorder="1" applyAlignment="1">
      <alignment horizontal="right" vertical="center" shrinkToFit="1"/>
    </xf>
    <xf numFmtId="176" fontId="5" fillId="4" borderId="26" xfId="0" applyNumberFormat="1" applyFont="1" applyFill="1" applyBorder="1" applyAlignment="1">
      <alignment vertical="center" shrinkToFit="1"/>
    </xf>
    <xf numFmtId="176" fontId="5" fillId="4" borderId="28" xfId="0" applyNumberFormat="1" applyFont="1" applyFill="1" applyBorder="1" applyAlignment="1">
      <alignment vertical="center" shrinkToFit="1"/>
    </xf>
    <xf numFmtId="176" fontId="5" fillId="4" borderId="27" xfId="0" applyNumberFormat="1" applyFont="1" applyFill="1" applyBorder="1" applyAlignment="1">
      <alignment vertical="center" shrinkToFit="1"/>
    </xf>
    <xf numFmtId="176" fontId="5" fillId="0" borderId="15" xfId="0" applyNumberFormat="1" applyFont="1" applyBorder="1" applyAlignment="1">
      <alignment vertical="center" shrinkToFit="1"/>
    </xf>
    <xf numFmtId="177" fontId="5" fillId="0" borderId="14" xfId="0" applyNumberFormat="1" applyFont="1" applyBorder="1" applyAlignment="1">
      <alignment horizontal="right" vertical="center" shrinkToFit="1"/>
    </xf>
    <xf numFmtId="177" fontId="5" fillId="0" borderId="34" xfId="0" applyNumberFormat="1" applyFont="1" applyBorder="1" applyAlignment="1">
      <alignment horizontal="right" vertical="center" shrinkToFit="1"/>
    </xf>
    <xf numFmtId="0" fontId="5" fillId="0" borderId="0" xfId="0" applyFont="1" applyAlignment="1">
      <alignment vertical="center" shrinkToFit="1"/>
    </xf>
    <xf numFmtId="0" fontId="5" fillId="0" borderId="0" xfId="0" applyFont="1" applyBorder="1" applyAlignment="1">
      <alignment vertical="center" shrinkToFit="1"/>
    </xf>
    <xf numFmtId="0" fontId="5" fillId="0" borderId="10" xfId="0" applyFont="1" applyBorder="1" applyAlignment="1">
      <alignment vertical="center" shrinkToFit="1"/>
    </xf>
    <xf numFmtId="176" fontId="5" fillId="0" borderId="13" xfId="0" applyNumberFormat="1" applyFont="1" applyBorder="1" applyAlignment="1">
      <alignment vertical="center" shrinkToFit="1"/>
    </xf>
    <xf numFmtId="0" fontId="5" fillId="0" borderId="11" xfId="0" applyFont="1" applyBorder="1" applyAlignment="1">
      <alignment vertical="center" shrinkToFit="1"/>
    </xf>
    <xf numFmtId="176" fontId="5" fillId="0" borderId="35" xfId="0" applyNumberFormat="1" applyFont="1" applyBorder="1" applyAlignment="1">
      <alignment vertical="center" shrinkToFit="1"/>
    </xf>
    <xf numFmtId="176" fontId="5" fillId="0" borderId="37" xfId="0" applyNumberFormat="1" applyFont="1" applyBorder="1" applyAlignment="1">
      <alignment vertical="center" shrinkToFit="1"/>
    </xf>
    <xf numFmtId="0" fontId="5" fillId="0" borderId="12" xfId="0" applyFont="1" applyBorder="1" applyAlignment="1">
      <alignment vertical="center" shrinkToFit="1"/>
    </xf>
    <xf numFmtId="176" fontId="5" fillId="0" borderId="36" xfId="0" applyNumberFormat="1" applyFont="1" applyBorder="1" applyAlignment="1">
      <alignment vertical="center" shrinkToFit="1"/>
    </xf>
    <xf numFmtId="0" fontId="8" fillId="4" borderId="5" xfId="0" applyFont="1" applyFill="1" applyBorder="1" applyAlignment="1">
      <alignment vertical="center" shrinkToFit="1"/>
    </xf>
    <xf numFmtId="176" fontId="8" fillId="4" borderId="21" xfId="0" applyNumberFormat="1" applyFont="1" applyFill="1" applyBorder="1" applyAlignment="1">
      <alignment vertical="center" shrinkToFit="1"/>
    </xf>
    <xf numFmtId="177" fontId="8" fillId="9" borderId="22" xfId="0" applyNumberFormat="1" applyFont="1" applyFill="1" applyBorder="1" applyAlignment="1">
      <alignment horizontal="right" vertical="center" shrinkToFit="1"/>
    </xf>
    <xf numFmtId="0" fontId="13" fillId="0" borderId="26" xfId="0" applyFont="1" applyFill="1" applyBorder="1" applyAlignment="1">
      <alignment vertical="center" shrinkToFit="1"/>
    </xf>
    <xf numFmtId="176" fontId="5" fillId="0" borderId="21" xfId="0" applyNumberFormat="1" applyFont="1" applyFill="1" applyBorder="1" applyAlignment="1">
      <alignment vertical="center" shrinkToFit="1"/>
    </xf>
    <xf numFmtId="0" fontId="13" fillId="0" borderId="5" xfId="0" applyFont="1" applyFill="1" applyBorder="1" applyAlignment="1">
      <alignment vertical="center" shrinkToFit="1"/>
    </xf>
    <xf numFmtId="177" fontId="5" fillId="0" borderId="22" xfId="0" applyNumberFormat="1" applyFont="1" applyBorder="1" applyAlignment="1">
      <alignment horizontal="right" vertical="center" shrinkToFit="1"/>
    </xf>
    <xf numFmtId="177" fontId="5" fillId="0" borderId="16" xfId="0" applyNumberFormat="1" applyFont="1" applyBorder="1" applyAlignment="1">
      <alignment horizontal="right" vertical="center" shrinkToFit="1"/>
    </xf>
    <xf numFmtId="177" fontId="8" fillId="9" borderId="59" xfId="0" applyNumberFormat="1" applyFont="1" applyFill="1" applyBorder="1" applyAlignment="1">
      <alignment horizontal="right" vertical="center" shrinkToFit="1"/>
    </xf>
    <xf numFmtId="177" fontId="8" fillId="4" borderId="16" xfId="0" applyNumberFormat="1" applyFont="1" applyFill="1" applyBorder="1" applyAlignment="1">
      <alignment horizontal="right" vertical="center" shrinkToFit="1"/>
    </xf>
    <xf numFmtId="177" fontId="8" fillId="9" borderId="62" xfId="0" applyNumberFormat="1" applyFont="1" applyFill="1" applyBorder="1" applyAlignment="1">
      <alignment horizontal="right" vertical="center" shrinkToFit="1"/>
    </xf>
    <xf numFmtId="177" fontId="8" fillId="9" borderId="14" xfId="0" applyNumberFormat="1" applyFont="1" applyFill="1" applyBorder="1" applyAlignment="1">
      <alignment horizontal="right" vertical="center" shrinkToFit="1"/>
    </xf>
    <xf numFmtId="0" fontId="13" fillId="0" borderId="26" xfId="0" applyFont="1" applyBorder="1" applyAlignment="1">
      <alignment vertical="center" shrinkToFit="1"/>
    </xf>
    <xf numFmtId="176" fontId="5" fillId="0" borderId="21" xfId="0" applyNumberFormat="1" applyFont="1" applyBorder="1" applyAlignment="1">
      <alignment vertical="center" shrinkToFit="1"/>
    </xf>
    <xf numFmtId="0" fontId="13" fillId="0" borderId="5" xfId="0" applyFont="1" applyBorder="1" applyAlignment="1">
      <alignment vertical="center" shrinkToFit="1"/>
    </xf>
    <xf numFmtId="0" fontId="8" fillId="2" borderId="64" xfId="0" applyFont="1" applyFill="1" applyBorder="1" applyAlignment="1">
      <alignment horizontal="center" vertical="center"/>
    </xf>
    <xf numFmtId="0" fontId="8" fillId="2" borderId="65" xfId="0" applyFont="1" applyFill="1" applyBorder="1" applyAlignment="1">
      <alignment horizontal="center" vertical="center"/>
    </xf>
    <xf numFmtId="0" fontId="5" fillId="0" borderId="66" xfId="0" applyFont="1" applyBorder="1">
      <alignment vertical="center"/>
    </xf>
    <xf numFmtId="0" fontId="5" fillId="0" borderId="67" xfId="0" applyFont="1" applyBorder="1">
      <alignment vertical="center"/>
    </xf>
    <xf numFmtId="0" fontId="8" fillId="2" borderId="69" xfId="0" applyFont="1" applyFill="1" applyBorder="1" applyAlignment="1">
      <alignment horizontal="left" vertical="center" indent="1"/>
    </xf>
    <xf numFmtId="0" fontId="5" fillId="0" borderId="71" xfId="0" applyFont="1" applyBorder="1" applyAlignment="1">
      <alignment horizontal="left" vertical="center" indent="1"/>
    </xf>
    <xf numFmtId="0" fontId="5" fillId="0" borderId="72" xfId="0" applyFont="1" applyBorder="1" applyAlignment="1">
      <alignment horizontal="left" vertical="center" wrapText="1" indent="1"/>
    </xf>
    <xf numFmtId="0" fontId="8" fillId="2" borderId="5" xfId="0" applyFont="1" applyFill="1" applyBorder="1" applyAlignment="1">
      <alignment horizontal="center" vertical="center"/>
    </xf>
    <xf numFmtId="176" fontId="5" fillId="0" borderId="5" xfId="0" applyNumberFormat="1" applyFont="1" applyBorder="1" applyAlignment="1">
      <alignment horizontal="right" vertical="center"/>
    </xf>
    <xf numFmtId="176" fontId="5" fillId="0" borderId="5" xfId="0" applyNumberFormat="1" applyFont="1" applyBorder="1">
      <alignment vertical="center"/>
    </xf>
    <xf numFmtId="178" fontId="5" fillId="0" borderId="10" xfId="0" applyNumberFormat="1" applyFont="1" applyBorder="1">
      <alignment vertical="center"/>
    </xf>
    <xf numFmtId="180" fontId="5" fillId="0" borderId="10" xfId="1" applyNumberFormat="1" applyFont="1" applyBorder="1" applyAlignment="1">
      <alignment horizontal="right" vertical="center"/>
    </xf>
    <xf numFmtId="178" fontId="5" fillId="0" borderId="11" xfId="0" applyNumberFormat="1" applyFont="1" applyBorder="1">
      <alignment vertical="center"/>
    </xf>
    <xf numFmtId="180" fontId="5" fillId="0" borderId="11" xfId="1" applyNumberFormat="1" applyFont="1" applyBorder="1" applyAlignment="1">
      <alignment horizontal="right" vertical="center"/>
    </xf>
    <xf numFmtId="178" fontId="5" fillId="0" borderId="12" xfId="0" applyNumberFormat="1" applyFont="1" applyBorder="1">
      <alignment vertical="center"/>
    </xf>
    <xf numFmtId="180" fontId="5" fillId="0" borderId="12" xfId="1" applyNumberFormat="1" applyFont="1" applyBorder="1" applyAlignment="1">
      <alignment horizontal="right" vertical="center"/>
    </xf>
    <xf numFmtId="0" fontId="8" fillId="2" borderId="26"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26" xfId="0" applyFont="1" applyFill="1" applyBorder="1" applyAlignment="1">
      <alignment horizontal="left" vertical="center" indent="1"/>
    </xf>
    <xf numFmtId="0" fontId="8" fillId="2" borderId="28" xfId="0" applyFont="1" applyFill="1" applyBorder="1" applyAlignment="1">
      <alignment horizontal="left" vertical="center" indent="1"/>
    </xf>
    <xf numFmtId="0" fontId="5" fillId="0" borderId="78" xfId="0" applyFont="1" applyBorder="1">
      <alignment vertical="center"/>
    </xf>
    <xf numFmtId="0" fontId="13" fillId="0" borderId="5" xfId="0" applyFont="1" applyFill="1" applyBorder="1" applyAlignment="1">
      <alignment horizontal="left" vertical="center" wrapText="1"/>
    </xf>
    <xf numFmtId="0" fontId="13" fillId="0" borderId="5" xfId="0" applyFont="1" applyFill="1" applyBorder="1" applyAlignment="1">
      <alignment horizontal="left" vertical="center"/>
    </xf>
    <xf numFmtId="0" fontId="13" fillId="0" borderId="5" xfId="0" applyFont="1" applyBorder="1" applyAlignment="1">
      <alignment horizontal="left" vertical="center" wrapText="1"/>
    </xf>
    <xf numFmtId="0" fontId="13" fillId="0" borderId="5" xfId="0" applyFont="1" applyBorder="1" applyAlignment="1">
      <alignment horizontal="left" vertical="center"/>
    </xf>
    <xf numFmtId="177" fontId="5" fillId="0" borderId="5" xfId="0" applyNumberFormat="1" applyFont="1" applyBorder="1" applyAlignment="1">
      <alignment horizontal="right" vertical="center"/>
    </xf>
    <xf numFmtId="0" fontId="8" fillId="2" borderId="5" xfId="0" applyFont="1" applyFill="1" applyBorder="1" applyAlignment="1">
      <alignment horizontal="left" vertical="center" indent="1"/>
    </xf>
    <xf numFmtId="0" fontId="5" fillId="0" borderId="5" xfId="0" applyFont="1" applyBorder="1">
      <alignment vertical="center"/>
    </xf>
    <xf numFmtId="0" fontId="8" fillId="2" borderId="5" xfId="0" applyFont="1" applyFill="1" applyBorder="1">
      <alignment vertical="center"/>
    </xf>
    <xf numFmtId="0" fontId="5" fillId="0" borderId="5" xfId="0" applyFont="1" applyBorder="1" applyAlignment="1">
      <alignment vertical="center" wrapText="1"/>
    </xf>
    <xf numFmtId="0" fontId="5" fillId="0" borderId="5" xfId="0" applyFont="1" applyFill="1" applyBorder="1" applyAlignment="1">
      <alignment vertical="center" wrapText="1"/>
    </xf>
    <xf numFmtId="0" fontId="5" fillId="0" borderId="5" xfId="0" applyFont="1" applyFill="1" applyBorder="1">
      <alignment vertical="center"/>
    </xf>
    <xf numFmtId="0" fontId="8" fillId="10" borderId="5" xfId="0" applyFont="1" applyFill="1" applyBorder="1" applyAlignment="1">
      <alignment horizontal="center" vertical="center"/>
    </xf>
    <xf numFmtId="0" fontId="8" fillId="10" borderId="5" xfId="0" applyFont="1" applyFill="1" applyBorder="1" applyAlignment="1">
      <alignment horizontal="left" vertical="center" indent="1"/>
    </xf>
    <xf numFmtId="176" fontId="8" fillId="10" borderId="5" xfId="0" applyNumberFormat="1" applyFont="1" applyFill="1" applyBorder="1" applyAlignment="1">
      <alignment horizontal="right" vertical="center"/>
    </xf>
    <xf numFmtId="177" fontId="8" fillId="10" borderId="5" xfId="1" applyNumberFormat="1" applyFont="1" applyFill="1" applyBorder="1" applyAlignment="1">
      <alignment horizontal="right" vertical="center"/>
    </xf>
    <xf numFmtId="0" fontId="8" fillId="10" borderId="64" xfId="0" applyFont="1" applyFill="1" applyBorder="1" applyAlignment="1">
      <alignment horizontal="center" vertical="center"/>
    </xf>
    <xf numFmtId="0" fontId="8" fillId="10" borderId="65" xfId="0" applyFont="1" applyFill="1" applyBorder="1" applyAlignment="1">
      <alignment horizontal="center" vertical="center"/>
    </xf>
    <xf numFmtId="0" fontId="8" fillId="10" borderId="26" xfId="0" applyFont="1" applyFill="1" applyBorder="1" applyAlignment="1">
      <alignment horizontal="center" vertical="center"/>
    </xf>
    <xf numFmtId="0" fontId="8" fillId="10" borderId="28" xfId="0" applyFont="1" applyFill="1" applyBorder="1" applyAlignment="1">
      <alignment horizontal="center" vertical="center"/>
    </xf>
    <xf numFmtId="0" fontId="8" fillId="10" borderId="69" xfId="0" applyFont="1" applyFill="1" applyBorder="1" applyAlignment="1">
      <alignment horizontal="left" vertical="center" indent="1"/>
    </xf>
    <xf numFmtId="0" fontId="8" fillId="10" borderId="39" xfId="0" applyFont="1" applyFill="1" applyBorder="1" applyAlignment="1">
      <alignment horizontal="left" vertical="center" indent="1"/>
    </xf>
    <xf numFmtId="0" fontId="8" fillId="10" borderId="26" xfId="0" applyFont="1" applyFill="1" applyBorder="1" applyAlignment="1">
      <alignment horizontal="left" vertical="center" indent="1"/>
    </xf>
    <xf numFmtId="0" fontId="8" fillId="10" borderId="28" xfId="0" applyFont="1" applyFill="1" applyBorder="1" applyAlignment="1">
      <alignment horizontal="left" vertical="center" indent="1"/>
    </xf>
    <xf numFmtId="0" fontId="11" fillId="6" borderId="0" xfId="0" applyFont="1" applyFill="1" applyBorder="1" applyAlignment="1">
      <alignment horizontal="center" vertical="center"/>
    </xf>
    <xf numFmtId="0" fontId="16" fillId="0" borderId="5" xfId="0" applyFont="1" applyBorder="1" applyAlignment="1">
      <alignment vertical="center" wrapText="1"/>
    </xf>
    <xf numFmtId="0" fontId="8" fillId="10" borderId="5" xfId="0" applyFont="1" applyFill="1" applyBorder="1">
      <alignment vertical="center"/>
    </xf>
    <xf numFmtId="0" fontId="8" fillId="12" borderId="5" xfId="0" applyFont="1" applyFill="1" applyBorder="1" applyAlignment="1">
      <alignment vertical="center"/>
    </xf>
    <xf numFmtId="0" fontId="8" fillId="12" borderId="5" xfId="0" applyFont="1" applyFill="1" applyBorder="1" applyAlignment="1">
      <alignment horizontal="left" vertical="center"/>
    </xf>
    <xf numFmtId="38" fontId="8" fillId="12" borderId="48" xfId="0" applyNumberFormat="1" applyFont="1" applyFill="1" applyBorder="1" applyAlignment="1">
      <alignment vertical="center" shrinkToFit="1"/>
    </xf>
    <xf numFmtId="0" fontId="19" fillId="0" borderId="0" xfId="0" applyFont="1" applyAlignment="1">
      <alignment vertical="center"/>
    </xf>
    <xf numFmtId="0" fontId="11" fillId="3" borderId="0" xfId="0" applyFont="1" applyFill="1" applyAlignment="1">
      <alignment horizontal="center" vertical="center"/>
    </xf>
    <xf numFmtId="0" fontId="5" fillId="0" borderId="5" xfId="0" applyFont="1" applyBorder="1" applyAlignment="1">
      <alignment vertical="center" shrinkToFit="1"/>
    </xf>
    <xf numFmtId="0" fontId="11" fillId="0" borderId="0" xfId="0" applyFont="1" applyBorder="1" applyAlignment="1">
      <alignment horizontal="left" vertical="center"/>
    </xf>
    <xf numFmtId="0" fontId="11" fillId="0" borderId="0" xfId="0" applyFont="1" applyBorder="1" applyAlignment="1">
      <alignment horizontal="left" vertical="center" shrinkToFit="1"/>
    </xf>
    <xf numFmtId="0" fontId="11" fillId="3" borderId="0" xfId="0" applyFont="1" applyFill="1" applyBorder="1" applyAlignment="1">
      <alignment horizontal="left" vertical="center"/>
    </xf>
    <xf numFmtId="0" fontId="11" fillId="0" borderId="0" xfId="0" applyFont="1" applyAlignment="1">
      <alignment horizontal="center" vertical="center" shrinkToFit="1"/>
    </xf>
    <xf numFmtId="176" fontId="8" fillId="0" borderId="13" xfId="0" applyNumberFormat="1" applyFont="1" applyBorder="1" applyAlignment="1">
      <alignment vertical="center" shrinkToFit="1"/>
    </xf>
    <xf numFmtId="181" fontId="5" fillId="0" borderId="0" xfId="0" applyNumberFormat="1" applyFont="1" applyBorder="1" applyAlignment="1">
      <alignment vertical="center"/>
    </xf>
    <xf numFmtId="0" fontId="21" fillId="15" borderId="81" xfId="0" applyFont="1" applyFill="1" applyBorder="1" applyAlignment="1">
      <alignment horizontal="center" vertical="center"/>
    </xf>
    <xf numFmtId="182" fontId="5" fillId="6" borderId="54" xfId="0" applyNumberFormat="1" applyFont="1" applyFill="1" applyBorder="1">
      <alignment vertical="center"/>
    </xf>
    <xf numFmtId="0" fontId="11" fillId="6" borderId="82" xfId="0" applyFont="1" applyFill="1" applyBorder="1">
      <alignment vertical="center"/>
    </xf>
    <xf numFmtId="0" fontId="11" fillId="6" borderId="30" xfId="0" applyFont="1" applyFill="1" applyBorder="1" applyAlignment="1">
      <alignment vertical="center" wrapText="1"/>
    </xf>
    <xf numFmtId="182" fontId="5" fillId="6" borderId="83" xfId="0" applyNumberFormat="1" applyFont="1" applyFill="1" applyBorder="1">
      <alignment vertical="center"/>
    </xf>
    <xf numFmtId="0" fontId="11" fillId="0" borderId="30" xfId="0" applyFont="1" applyBorder="1" applyAlignment="1">
      <alignment vertical="center" wrapText="1"/>
    </xf>
    <xf numFmtId="182" fontId="5" fillId="0" borderId="83" xfId="0" applyNumberFormat="1" applyFont="1" applyBorder="1">
      <alignment vertical="center"/>
    </xf>
    <xf numFmtId="0" fontId="11" fillId="0" borderId="30" xfId="0" applyFont="1" applyBorder="1">
      <alignment vertical="center"/>
    </xf>
    <xf numFmtId="0" fontId="20" fillId="15" borderId="0" xfId="0" applyFont="1" applyFill="1" applyBorder="1" applyAlignment="1">
      <alignment horizontal="center" vertical="center"/>
    </xf>
    <xf numFmtId="0" fontId="11" fillId="6" borderId="0" xfId="0" applyFont="1" applyFill="1" applyBorder="1" applyAlignment="1">
      <alignment vertical="center"/>
    </xf>
    <xf numFmtId="0" fontId="11" fillId="0" borderId="0" xfId="0" applyFont="1" applyBorder="1" applyAlignment="1">
      <alignment vertical="center"/>
    </xf>
    <xf numFmtId="0" fontId="7" fillId="0" borderId="0" xfId="0" applyFont="1" applyAlignment="1">
      <alignment vertical="center"/>
    </xf>
    <xf numFmtId="0" fontId="5" fillId="0" borderId="84" xfId="0" applyFont="1" applyBorder="1">
      <alignment vertical="center"/>
    </xf>
    <xf numFmtId="176" fontId="17" fillId="0" borderId="54" xfId="0" applyNumberFormat="1" applyFont="1" applyBorder="1" applyProtection="1">
      <alignment vertical="center"/>
      <protection locked="0"/>
    </xf>
    <xf numFmtId="0" fontId="5" fillId="0" borderId="0" xfId="0" applyFont="1" applyBorder="1" applyAlignment="1">
      <alignment vertical="center"/>
    </xf>
    <xf numFmtId="182" fontId="5" fillId="0" borderId="0" xfId="0" applyNumberFormat="1" applyFont="1" applyBorder="1" applyAlignment="1">
      <alignment vertical="center"/>
    </xf>
    <xf numFmtId="0" fontId="11" fillId="0" borderId="81" xfId="0" applyFont="1" applyBorder="1">
      <alignment vertical="center"/>
    </xf>
    <xf numFmtId="0" fontId="11" fillId="6" borderId="81" xfId="0" applyFont="1" applyFill="1" applyBorder="1">
      <alignment vertical="center"/>
    </xf>
    <xf numFmtId="0" fontId="11" fillId="3" borderId="81" xfId="0" applyFont="1" applyFill="1" applyBorder="1" applyAlignment="1">
      <alignment horizontal="left" vertical="center"/>
    </xf>
    <xf numFmtId="0" fontId="11" fillId="0" borderId="0" xfId="0" applyFont="1" applyBorder="1">
      <alignment vertical="center"/>
    </xf>
    <xf numFmtId="0" fontId="11" fillId="6" borderId="0" xfId="0" applyFont="1" applyFill="1" applyBorder="1">
      <alignment vertical="center"/>
    </xf>
    <xf numFmtId="176" fontId="11" fillId="0" borderId="15" xfId="0" applyNumberFormat="1" applyFont="1" applyBorder="1" applyAlignment="1">
      <alignment horizontal="left" vertical="center"/>
    </xf>
    <xf numFmtId="0" fontId="11" fillId="0" borderId="0" xfId="0" applyFont="1" applyAlignment="1">
      <alignment horizontal="left" vertical="center"/>
    </xf>
    <xf numFmtId="0" fontId="11" fillId="0" borderId="0" xfId="0" applyFont="1" applyAlignment="1">
      <alignment horizontal="right" vertical="center"/>
    </xf>
    <xf numFmtId="0" fontId="5" fillId="0" borderId="0" xfId="0" applyFont="1" applyAlignment="1">
      <alignment vertical="center" wrapText="1"/>
    </xf>
    <xf numFmtId="176" fontId="5" fillId="0" borderId="0" xfId="0" applyNumberFormat="1" applyFont="1" applyAlignment="1">
      <alignment vertical="center" wrapText="1"/>
    </xf>
    <xf numFmtId="0" fontId="11" fillId="0" borderId="0" xfId="0" applyFont="1" applyAlignment="1">
      <alignment horizontal="right" vertical="center" wrapText="1"/>
    </xf>
    <xf numFmtId="0" fontId="6" fillId="0" borderId="0" xfId="0" applyFont="1" applyAlignment="1">
      <alignment horizontal="center" vertical="center" shrinkToFit="1"/>
    </xf>
    <xf numFmtId="0" fontId="6" fillId="0" borderId="0" xfId="0" applyFont="1" applyAlignment="1">
      <alignment horizontal="left" vertical="center"/>
    </xf>
    <xf numFmtId="0" fontId="6" fillId="0" borderId="0" xfId="0" applyFont="1" applyAlignment="1">
      <alignment vertical="center"/>
    </xf>
    <xf numFmtId="176" fontId="11" fillId="14" borderId="85" xfId="0" applyNumberFormat="1" applyFont="1" applyFill="1" applyBorder="1" applyAlignment="1">
      <alignment vertical="center" shrinkToFit="1"/>
    </xf>
    <xf numFmtId="182" fontId="5" fillId="0" borderId="60" xfId="0" applyNumberFormat="1" applyFont="1" applyBorder="1">
      <alignment vertical="center"/>
    </xf>
    <xf numFmtId="0" fontId="11" fillId="0" borderId="85" xfId="0" applyFont="1" applyBorder="1">
      <alignment vertical="center"/>
    </xf>
    <xf numFmtId="0" fontId="11" fillId="0" borderId="0" xfId="0" applyFont="1" applyBorder="1" applyAlignment="1">
      <alignment vertical="center" wrapText="1"/>
    </xf>
    <xf numFmtId="0" fontId="11" fillId="5" borderId="0" xfId="0" applyFont="1" applyFill="1" applyBorder="1" applyAlignment="1">
      <alignment horizontal="left" vertical="center" shrinkToFit="1"/>
    </xf>
    <xf numFmtId="176" fontId="11" fillId="0" borderId="85" xfId="0" applyNumberFormat="1" applyFont="1" applyBorder="1">
      <alignment vertical="center"/>
    </xf>
    <xf numFmtId="0" fontId="11" fillId="5" borderId="85" xfId="0" applyFont="1" applyFill="1" applyBorder="1" applyAlignment="1">
      <alignment horizontal="center" vertical="center" shrinkToFit="1"/>
    </xf>
    <xf numFmtId="0" fontId="21" fillId="15" borderId="86" xfId="0" applyFont="1" applyFill="1" applyBorder="1" applyAlignment="1">
      <alignment horizontal="center" vertical="center"/>
    </xf>
    <xf numFmtId="0" fontId="11" fillId="3" borderId="85" xfId="0" applyFont="1" applyFill="1" applyBorder="1">
      <alignment vertical="center"/>
    </xf>
    <xf numFmtId="0" fontId="11" fillId="3" borderId="0" xfId="0" applyFont="1" applyFill="1" applyAlignment="1" applyProtection="1">
      <alignment horizontal="left" vertical="center"/>
      <protection locked="0"/>
    </xf>
    <xf numFmtId="0" fontId="9" fillId="0" borderId="0" xfId="0" applyFont="1" applyAlignment="1" applyProtection="1">
      <alignment horizontal="left" vertical="center"/>
      <protection locked="0"/>
    </xf>
    <xf numFmtId="176" fontId="17" fillId="0" borderId="0" xfId="0" applyNumberFormat="1" applyFont="1" applyProtection="1">
      <alignment vertical="center"/>
      <protection locked="0"/>
    </xf>
    <xf numFmtId="0" fontId="11" fillId="3" borderId="0" xfId="0" applyFont="1" applyFill="1" applyAlignment="1" applyProtection="1">
      <alignment horizontal="left" vertical="center" shrinkToFit="1"/>
      <protection locked="0"/>
    </xf>
    <xf numFmtId="0" fontId="11" fillId="0" borderId="0" xfId="0" applyFont="1" applyAlignment="1" applyProtection="1">
      <alignment horizontal="center" vertical="center"/>
      <protection locked="0"/>
    </xf>
    <xf numFmtId="0" fontId="5" fillId="0" borderId="0" xfId="0" applyFont="1" applyProtection="1">
      <alignment vertical="center"/>
      <protection locked="0"/>
    </xf>
    <xf numFmtId="0" fontId="10" fillId="6" borderId="0" xfId="0" applyFont="1" applyFill="1" applyBorder="1" applyAlignment="1" applyProtection="1">
      <alignment horizontal="center" vertical="center" wrapText="1"/>
      <protection locked="0"/>
    </xf>
    <xf numFmtId="10" fontId="9" fillId="0" borderId="0" xfId="0" applyNumberFormat="1" applyFont="1" applyBorder="1" applyAlignment="1" applyProtection="1">
      <alignment horizontal="right" vertical="center" indent="1"/>
      <protection locked="0"/>
    </xf>
    <xf numFmtId="10" fontId="9" fillId="0" borderId="0" xfId="0" applyNumberFormat="1" applyFont="1" applyAlignment="1" applyProtection="1">
      <alignment horizontal="right" vertical="center" indent="1"/>
      <protection locked="0"/>
    </xf>
    <xf numFmtId="0" fontId="9" fillId="0" borderId="0" xfId="0" applyFont="1" applyProtection="1">
      <alignment vertical="center"/>
      <protection locked="0"/>
    </xf>
    <xf numFmtId="0" fontId="23" fillId="0" borderId="0" xfId="0" applyFont="1" applyAlignment="1">
      <alignment horizontal="center" vertical="center"/>
    </xf>
    <xf numFmtId="0" fontId="16" fillId="0" borderId="21" xfId="0" applyFont="1" applyBorder="1" applyAlignment="1">
      <alignment vertical="center" wrapText="1"/>
    </xf>
    <xf numFmtId="177" fontId="5" fillId="0" borderId="22" xfId="1" applyNumberFormat="1" applyFont="1" applyBorder="1">
      <alignment vertical="center"/>
    </xf>
    <xf numFmtId="0" fontId="23" fillId="0" borderId="89" xfId="0" applyFont="1" applyBorder="1" applyAlignment="1">
      <alignment horizontal="center" vertical="center"/>
    </xf>
    <xf numFmtId="0" fontId="24" fillId="0" borderId="90" xfId="0" applyFont="1" applyBorder="1" applyAlignment="1">
      <alignment horizontal="center" vertical="center"/>
    </xf>
    <xf numFmtId="177" fontId="5" fillId="0" borderId="91" xfId="1" applyNumberFormat="1" applyFont="1" applyBorder="1">
      <alignment vertical="center"/>
    </xf>
    <xf numFmtId="0" fontId="24" fillId="0" borderId="92" xfId="0" applyFont="1" applyBorder="1" applyAlignment="1">
      <alignment horizontal="center" vertical="center"/>
    </xf>
    <xf numFmtId="0" fontId="16" fillId="0" borderId="93" xfId="0" applyFont="1" applyBorder="1" applyAlignment="1">
      <alignment vertical="center" wrapText="1"/>
    </xf>
    <xf numFmtId="177" fontId="5" fillId="0" borderId="94" xfId="1" applyNumberFormat="1" applyFont="1" applyBorder="1">
      <alignment vertical="center"/>
    </xf>
    <xf numFmtId="177" fontId="5" fillId="0" borderId="95" xfId="1" applyNumberFormat="1" applyFont="1" applyBorder="1">
      <alignment vertical="center"/>
    </xf>
    <xf numFmtId="0" fontId="10" fillId="2" borderId="5" xfId="0" applyFont="1" applyFill="1" applyBorder="1" applyAlignment="1">
      <alignment horizontal="center" vertical="center"/>
    </xf>
    <xf numFmtId="0" fontId="25" fillId="0" borderId="0" xfId="0" applyFont="1">
      <alignment vertical="center"/>
    </xf>
    <xf numFmtId="0" fontId="9" fillId="0" borderId="5" xfId="0" applyFont="1" applyBorder="1" applyAlignment="1">
      <alignment horizontal="left" vertical="center"/>
    </xf>
    <xf numFmtId="185" fontId="9" fillId="0" borderId="5" xfId="0" applyNumberFormat="1" applyFont="1" applyBorder="1">
      <alignment vertical="center"/>
    </xf>
    <xf numFmtId="0" fontId="9" fillId="0" borderId="5" xfId="0" applyFont="1" applyBorder="1">
      <alignment vertical="center"/>
    </xf>
    <xf numFmtId="182" fontId="17" fillId="0" borderId="54" xfId="0" applyNumberFormat="1" applyFont="1" applyBorder="1">
      <alignment vertical="center"/>
    </xf>
    <xf numFmtId="0" fontId="15" fillId="4" borderId="5" xfId="0" applyFont="1" applyFill="1" applyBorder="1" applyAlignment="1">
      <alignment horizontal="center" vertical="center" wrapText="1"/>
    </xf>
    <xf numFmtId="177" fontId="5" fillId="0" borderId="5" xfId="1" applyNumberFormat="1" applyFont="1" applyFill="1" applyBorder="1" applyAlignment="1">
      <alignment horizontal="right" vertical="center"/>
    </xf>
    <xf numFmtId="0" fontId="21" fillId="3" borderId="0" xfId="0" applyFont="1" applyFill="1" applyBorder="1" applyAlignment="1">
      <alignment horizontal="left" vertical="center"/>
    </xf>
    <xf numFmtId="0" fontId="21" fillId="3" borderId="0" xfId="0" applyFont="1" applyFill="1" applyBorder="1" applyAlignment="1">
      <alignment horizontal="left" vertical="center" wrapText="1"/>
    </xf>
    <xf numFmtId="177" fontId="9" fillId="0" borderId="5" xfId="1" applyNumberFormat="1" applyFont="1" applyBorder="1">
      <alignment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16" fillId="0" borderId="26" xfId="0" applyFont="1" applyBorder="1" applyAlignment="1">
      <alignment vertical="top" wrapText="1"/>
    </xf>
    <xf numFmtId="0" fontId="16" fillId="0" borderId="26" xfId="0" applyFont="1" applyFill="1" applyBorder="1" applyAlignment="1">
      <alignment vertical="top" wrapText="1"/>
    </xf>
    <xf numFmtId="0" fontId="21" fillId="15" borderId="97" xfId="0" applyFont="1" applyFill="1" applyBorder="1" applyAlignment="1">
      <alignment horizontal="center" vertical="center"/>
    </xf>
    <xf numFmtId="0" fontId="20" fillId="15" borderId="81" xfId="0" applyFont="1" applyFill="1" applyBorder="1" applyAlignment="1">
      <alignment horizontal="center" vertical="center"/>
    </xf>
    <xf numFmtId="0" fontId="21" fillId="15" borderId="97" xfId="0" applyFont="1" applyFill="1" applyBorder="1" applyAlignment="1">
      <alignment horizontal="center" vertical="center" shrinkToFit="1"/>
    </xf>
    <xf numFmtId="0" fontId="11" fillId="3" borderId="85" xfId="0" applyFont="1" applyFill="1" applyBorder="1" applyAlignment="1">
      <alignment horizontal="left" vertical="center"/>
    </xf>
    <xf numFmtId="0" fontId="11" fillId="3" borderId="0" xfId="0" applyFont="1" applyFill="1" applyAlignment="1">
      <alignment horizontal="left" vertical="center" wrapText="1"/>
    </xf>
    <xf numFmtId="0" fontId="29" fillId="0" borderId="0" xfId="0" applyFont="1">
      <alignment vertical="center"/>
    </xf>
    <xf numFmtId="186" fontId="9" fillId="0" borderId="5" xfId="0" applyNumberFormat="1" applyFont="1" applyBorder="1" applyAlignment="1">
      <alignment horizontal="right" vertical="center"/>
    </xf>
    <xf numFmtId="186" fontId="9" fillId="0" borderId="5" xfId="0" applyNumberFormat="1" applyFont="1" applyBorder="1">
      <alignment vertical="center"/>
    </xf>
    <xf numFmtId="0" fontId="10" fillId="2" borderId="64" xfId="0" applyFont="1" applyFill="1" applyBorder="1" applyAlignment="1">
      <alignment horizontal="center" vertical="center"/>
    </xf>
    <xf numFmtId="0" fontId="10" fillId="2" borderId="65" xfId="0" applyFont="1" applyFill="1" applyBorder="1" applyAlignment="1">
      <alignment horizontal="center" vertical="center"/>
    </xf>
    <xf numFmtId="0" fontId="9" fillId="0" borderId="0" xfId="0" applyFont="1" applyAlignment="1">
      <alignment vertical="center"/>
    </xf>
    <xf numFmtId="0" fontId="10" fillId="17" borderId="64" xfId="0" applyFont="1" applyFill="1" applyBorder="1" applyAlignment="1">
      <alignment horizontal="center" vertical="center"/>
    </xf>
    <xf numFmtId="0" fontId="10" fillId="17" borderId="65" xfId="0" applyFont="1" applyFill="1" applyBorder="1" applyAlignment="1">
      <alignment horizontal="center" vertical="center"/>
    </xf>
    <xf numFmtId="0" fontId="10" fillId="17" borderId="5" xfId="0" applyFont="1" applyFill="1" applyBorder="1" applyAlignment="1">
      <alignment horizontal="center" vertical="center"/>
    </xf>
    <xf numFmtId="0" fontId="10" fillId="13" borderId="64" xfId="0" applyFont="1" applyFill="1" applyBorder="1" applyAlignment="1">
      <alignment horizontal="center" vertical="center"/>
    </xf>
    <xf numFmtId="0" fontId="10" fillId="13" borderId="65" xfId="0" applyFont="1" applyFill="1" applyBorder="1" applyAlignment="1">
      <alignment horizontal="center" vertical="center"/>
    </xf>
    <xf numFmtId="0" fontId="10" fillId="13" borderId="5" xfId="0" applyFont="1" applyFill="1" applyBorder="1" applyAlignment="1">
      <alignment horizontal="center" vertical="center"/>
    </xf>
    <xf numFmtId="0" fontId="10" fillId="13" borderId="5" xfId="0" applyFont="1" applyFill="1" applyBorder="1" applyAlignment="1">
      <alignment horizontal="center" vertical="center" shrinkToFit="1"/>
    </xf>
    <xf numFmtId="0" fontId="10" fillId="0" borderId="41" xfId="0" applyFont="1" applyFill="1" applyBorder="1" applyAlignment="1">
      <alignment horizontal="center" vertical="center"/>
    </xf>
    <xf numFmtId="0" fontId="10" fillId="0" borderId="0" xfId="0" applyFont="1" applyFill="1" applyBorder="1" applyAlignment="1">
      <alignment horizontal="center" vertical="center"/>
    </xf>
    <xf numFmtId="176" fontId="9" fillId="0" borderId="41" xfId="0" applyNumberFormat="1" applyFont="1" applyFill="1" applyBorder="1" applyAlignment="1">
      <alignment horizontal="right" vertical="center"/>
    </xf>
    <xf numFmtId="176" fontId="9" fillId="0" borderId="0" xfId="0" applyNumberFormat="1" applyFont="1" applyFill="1" applyBorder="1" applyAlignment="1">
      <alignment horizontal="right" vertical="center"/>
    </xf>
    <xf numFmtId="0" fontId="9" fillId="0" borderId="0" xfId="0" applyFont="1" applyAlignment="1">
      <alignment horizontal="center" vertical="center"/>
    </xf>
    <xf numFmtId="0" fontId="9" fillId="0" borderId="0" xfId="0" applyFont="1" applyBorder="1" applyAlignment="1">
      <alignment horizontal="center" vertical="center"/>
    </xf>
    <xf numFmtId="0" fontId="9" fillId="0" borderId="54" xfId="0" applyFont="1" applyBorder="1">
      <alignment vertical="center"/>
    </xf>
    <xf numFmtId="0" fontId="9" fillId="0" borderId="54" xfId="0" applyFont="1" applyBorder="1" applyAlignment="1">
      <alignment horizontal="center" vertical="center"/>
    </xf>
    <xf numFmtId="0" fontId="9" fillId="0" borderId="54" xfId="0" applyFont="1" applyBorder="1" applyAlignment="1">
      <alignment horizontal="center" vertical="center" shrinkToFit="1"/>
    </xf>
    <xf numFmtId="0" fontId="9" fillId="0" borderId="54" xfId="0" applyFont="1" applyBorder="1" applyAlignment="1">
      <alignment horizontal="left" vertical="center"/>
    </xf>
    <xf numFmtId="186" fontId="9" fillId="0" borderId="54" xfId="0" applyNumberFormat="1" applyFont="1" applyBorder="1">
      <alignment vertical="center"/>
    </xf>
    <xf numFmtId="177" fontId="9" fillId="0" borderId="54" xfId="1" applyNumberFormat="1" applyFont="1" applyBorder="1">
      <alignment vertical="center"/>
    </xf>
    <xf numFmtId="0" fontId="30" fillId="0" borderId="54" xfId="0" applyFont="1" applyFill="1" applyBorder="1" applyAlignment="1">
      <alignment horizontal="center" vertical="center"/>
    </xf>
    <xf numFmtId="0" fontId="9" fillId="0" borderId="54" xfId="0" applyFont="1" applyBorder="1" applyAlignment="1">
      <alignment horizontal="left" vertical="center" wrapText="1"/>
    </xf>
    <xf numFmtId="186" fontId="9" fillId="0" borderId="54" xfId="7" applyNumberFormat="1" applyFont="1" applyBorder="1">
      <alignment vertical="center"/>
    </xf>
    <xf numFmtId="177" fontId="9" fillId="0" borderId="0" xfId="1" applyNumberFormat="1" applyFont="1">
      <alignment vertical="center"/>
    </xf>
    <xf numFmtId="0" fontId="30" fillId="0" borderId="54" xfId="0" applyFont="1" applyBorder="1" applyAlignment="1">
      <alignment horizontal="center" vertical="center"/>
    </xf>
    <xf numFmtId="0" fontId="31" fillId="0" borderId="54" xfId="0" applyFont="1" applyBorder="1" applyAlignment="1">
      <alignment vertical="center" wrapText="1"/>
    </xf>
    <xf numFmtId="0" fontId="9" fillId="16" borderId="0" xfId="0" applyNumberFormat="1" applyFont="1" applyFill="1">
      <alignment vertical="center"/>
    </xf>
    <xf numFmtId="0" fontId="9" fillId="0" borderId="54" xfId="0" applyFont="1" applyBorder="1" applyAlignment="1">
      <alignment vertical="center" wrapText="1"/>
    </xf>
    <xf numFmtId="0" fontId="29" fillId="0" borderId="5" xfId="0" applyFont="1" applyBorder="1" applyAlignment="1">
      <alignment vertical="top" wrapText="1"/>
    </xf>
    <xf numFmtId="0" fontId="29" fillId="0" borderId="5" xfId="0" applyFont="1" applyFill="1" applyBorder="1" applyAlignment="1">
      <alignment vertical="top" wrapText="1"/>
    </xf>
    <xf numFmtId="176" fontId="5" fillId="0" borderId="84" xfId="0" applyNumberFormat="1" applyFont="1" applyBorder="1">
      <alignment vertical="center"/>
    </xf>
    <xf numFmtId="0" fontId="11" fillId="3" borderId="99" xfId="0" applyFont="1" applyFill="1" applyBorder="1" applyAlignment="1">
      <alignment horizontal="center" vertical="center"/>
    </xf>
    <xf numFmtId="176" fontId="5" fillId="0" borderId="99" xfId="0" applyNumberFormat="1" applyFont="1" applyBorder="1">
      <alignment vertical="center"/>
    </xf>
    <xf numFmtId="0" fontId="9" fillId="0" borderId="54" xfId="0" applyFont="1" applyBorder="1" applyAlignment="1">
      <alignment horizontal="center" vertical="center" shrinkToFit="1"/>
    </xf>
    <xf numFmtId="0" fontId="5" fillId="0" borderId="5" xfId="0" applyFont="1" applyFill="1" applyBorder="1" applyAlignment="1">
      <alignment horizontal="left" vertical="center" wrapText="1"/>
    </xf>
    <xf numFmtId="0" fontId="5" fillId="0" borderId="5" xfId="0" applyFont="1" applyFill="1" applyBorder="1" applyAlignment="1">
      <alignment vertical="center" shrinkToFit="1"/>
    </xf>
    <xf numFmtId="0" fontId="5"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9" fillId="0" borderId="0" xfId="0" applyFont="1">
      <alignment vertical="center"/>
    </xf>
    <xf numFmtId="0" fontId="5" fillId="0" borderId="0" xfId="0" applyFont="1">
      <alignment vertical="center"/>
    </xf>
    <xf numFmtId="3" fontId="5" fillId="0" borderId="54" xfId="0" applyNumberFormat="1" applyFont="1" applyBorder="1">
      <alignment vertical="center"/>
    </xf>
    <xf numFmtId="0" fontId="16" fillId="0" borderId="44" xfId="0" applyFont="1" applyBorder="1" applyAlignment="1">
      <alignment horizontal="left" vertical="center" indent="1"/>
    </xf>
    <xf numFmtId="176" fontId="5" fillId="0" borderId="60" xfId="0" applyNumberFormat="1" applyFont="1" applyBorder="1">
      <alignment vertical="center"/>
    </xf>
    <xf numFmtId="0" fontId="13" fillId="0" borderId="44" xfId="0" applyFont="1" applyBorder="1" applyAlignment="1">
      <alignment horizontal="left" vertical="center" indent="1"/>
    </xf>
    <xf numFmtId="0" fontId="13" fillId="0" borderId="44" xfId="0" applyFont="1" applyBorder="1" applyAlignment="1">
      <alignment horizontal="left" vertical="center" wrapText="1" indent="1"/>
    </xf>
    <xf numFmtId="0" fontId="12" fillId="0" borderId="10" xfId="0" applyFont="1" applyBorder="1" applyAlignment="1">
      <alignment horizontal="left" vertical="center" wrapText="1" indent="1"/>
    </xf>
    <xf numFmtId="0" fontId="8" fillId="18" borderId="5" xfId="0" applyFont="1" applyFill="1" applyBorder="1" applyAlignment="1">
      <alignment horizontal="center" vertical="center"/>
    </xf>
    <xf numFmtId="176" fontId="8" fillId="18" borderId="10" xfId="0" applyNumberFormat="1" applyFont="1" applyFill="1" applyBorder="1" applyAlignment="1">
      <alignment horizontal="right" vertical="center" shrinkToFit="1"/>
    </xf>
    <xf numFmtId="176" fontId="8" fillId="19" borderId="10" xfId="0" applyNumberFormat="1" applyFont="1" applyFill="1" applyBorder="1" applyAlignment="1">
      <alignment vertical="center" shrinkToFit="1"/>
    </xf>
    <xf numFmtId="177" fontId="8" fillId="18" borderId="29" xfId="0" applyNumberFormat="1" applyFont="1" applyFill="1" applyBorder="1" applyAlignment="1">
      <alignment horizontal="right" vertical="center" shrinkToFit="1"/>
    </xf>
    <xf numFmtId="0" fontId="10" fillId="0" borderId="0" xfId="0" applyFont="1">
      <alignment vertical="center"/>
    </xf>
    <xf numFmtId="0" fontId="13" fillId="0" borderId="0" xfId="0" applyFont="1">
      <alignment vertical="center"/>
    </xf>
    <xf numFmtId="0" fontId="17" fillId="8" borderId="0" xfId="0" applyFont="1" applyFill="1">
      <alignment vertical="center"/>
    </xf>
    <xf numFmtId="0" fontId="17" fillId="8" borderId="0" xfId="0" applyFont="1" applyFill="1" applyAlignment="1">
      <alignment horizontal="center" vertical="center"/>
    </xf>
    <xf numFmtId="38" fontId="17" fillId="8" borderId="0" xfId="0" applyNumberFormat="1" applyFont="1" applyFill="1">
      <alignment vertical="center"/>
    </xf>
    <xf numFmtId="0" fontId="17" fillId="8" borderId="0" xfId="0" applyFont="1" applyFill="1" applyBorder="1">
      <alignment vertical="center"/>
    </xf>
    <xf numFmtId="38" fontId="17" fillId="8" borderId="0" xfId="0" applyNumberFormat="1" applyFont="1" applyFill="1" applyBorder="1">
      <alignment vertical="center"/>
    </xf>
    <xf numFmtId="0" fontId="11" fillId="8" borderId="0" xfId="0" applyFont="1" applyFill="1" applyAlignment="1">
      <alignment horizontal="left" vertical="center"/>
    </xf>
    <xf numFmtId="0" fontId="11" fillId="8" borderId="0" xfId="0" applyFont="1" applyFill="1" applyAlignment="1">
      <alignment horizontal="center" vertical="center"/>
    </xf>
    <xf numFmtId="38" fontId="17" fillId="6" borderId="30" xfId="0" applyNumberFormat="1" applyFont="1" applyFill="1" applyBorder="1">
      <alignment vertical="center"/>
    </xf>
    <xf numFmtId="0" fontId="17" fillId="6" borderId="30" xfId="0" applyFont="1" applyFill="1" applyBorder="1">
      <alignment vertical="center"/>
    </xf>
    <xf numFmtId="38" fontId="17" fillId="0" borderId="30" xfId="0" applyNumberFormat="1" applyFont="1" applyBorder="1">
      <alignment vertical="center"/>
    </xf>
    <xf numFmtId="0" fontId="17" fillId="0" borderId="30" xfId="0" applyFont="1" applyBorder="1">
      <alignment vertical="center"/>
    </xf>
    <xf numFmtId="0" fontId="16" fillId="0" borderId="44" xfId="0" applyFont="1" applyBorder="1" applyAlignment="1">
      <alignment horizontal="left" vertical="center" wrapText="1" indent="1"/>
    </xf>
    <xf numFmtId="0" fontId="9" fillId="0" borderId="5" xfId="0" applyFont="1" applyBorder="1" applyAlignment="1">
      <alignment vertical="center" wrapText="1"/>
    </xf>
    <xf numFmtId="0" fontId="16" fillId="0" borderId="73" xfId="0" applyFont="1" applyBorder="1" applyAlignment="1">
      <alignment horizontal="left" vertical="center" wrapText="1" indent="1"/>
    </xf>
    <xf numFmtId="0" fontId="16" fillId="0" borderId="74" xfId="0" applyFont="1" applyBorder="1" applyAlignment="1">
      <alignment horizontal="left" vertical="center" wrapText="1" indent="1"/>
    </xf>
    <xf numFmtId="0" fontId="34" fillId="0" borderId="0" xfId="0" applyFont="1" applyAlignment="1">
      <alignment horizontal="distributed" vertical="center" wrapText="1"/>
    </xf>
    <xf numFmtId="0" fontId="13" fillId="0" borderId="0" xfId="0" applyFont="1" applyAlignment="1">
      <alignment horizontal="left" vertical="center" wrapText="1"/>
    </xf>
    <xf numFmtId="0" fontId="5" fillId="0" borderId="98" xfId="0" applyFont="1" applyBorder="1">
      <alignment vertical="center"/>
    </xf>
    <xf numFmtId="0" fontId="5" fillId="0" borderId="83" xfId="0" applyFont="1" applyBorder="1">
      <alignment vertical="center"/>
    </xf>
    <xf numFmtId="176" fontId="5" fillId="0" borderId="83" xfId="0" applyNumberFormat="1" applyFont="1" applyBorder="1">
      <alignment vertical="center"/>
    </xf>
    <xf numFmtId="0" fontId="17" fillId="8" borderId="85" xfId="0" applyFont="1" applyFill="1" applyBorder="1" applyAlignment="1">
      <alignment horizontal="center" vertical="center"/>
    </xf>
    <xf numFmtId="0" fontId="32" fillId="15" borderId="85" xfId="0" applyFont="1" applyFill="1" applyBorder="1" applyAlignment="1">
      <alignment horizontal="center" vertical="center"/>
    </xf>
    <xf numFmtId="0" fontId="8" fillId="20" borderId="103"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186" fontId="9" fillId="0" borderId="5" xfId="7" applyNumberFormat="1" applyFont="1" applyFill="1" applyBorder="1" applyAlignment="1">
      <alignment vertical="center"/>
    </xf>
    <xf numFmtId="186" fontId="5" fillId="0" borderId="29" xfId="0" applyNumberFormat="1" applyFont="1" applyBorder="1" applyAlignment="1">
      <alignment vertical="center" shrinkToFit="1"/>
    </xf>
    <xf numFmtId="186" fontId="5" fillId="0" borderId="5" xfId="0" applyNumberFormat="1" applyFont="1" applyBorder="1" applyAlignment="1">
      <alignment vertical="center" shrinkToFit="1"/>
    </xf>
    <xf numFmtId="186" fontId="5" fillId="0" borderId="5" xfId="1" applyNumberFormat="1" applyFont="1" applyFill="1" applyBorder="1" applyAlignment="1">
      <alignment horizontal="right" vertical="center" shrinkToFit="1"/>
    </xf>
    <xf numFmtId="186" fontId="5" fillId="0" borderId="6" xfId="1" applyNumberFormat="1" applyFont="1" applyFill="1" applyBorder="1" applyAlignment="1">
      <alignment horizontal="right" vertical="center" shrinkToFit="1"/>
    </xf>
    <xf numFmtId="0" fontId="5" fillId="0" borderId="103" xfId="0" applyFont="1" applyBorder="1" applyAlignment="1">
      <alignment vertical="center" shrinkToFit="1"/>
    </xf>
    <xf numFmtId="186" fontId="5" fillId="0" borderId="103" xfId="0" applyNumberFormat="1" applyFont="1" applyBorder="1" applyAlignment="1">
      <alignment vertical="center" shrinkToFit="1"/>
    </xf>
    <xf numFmtId="0" fontId="8" fillId="2" borderId="105" xfId="0" applyFont="1" applyFill="1" applyBorder="1" applyAlignment="1">
      <alignment horizontal="left" vertical="center"/>
    </xf>
    <xf numFmtId="0" fontId="8" fillId="2" borderId="106" xfId="0" applyFont="1" applyFill="1" applyBorder="1" applyAlignment="1">
      <alignment horizontal="left" vertical="center"/>
    </xf>
    <xf numFmtId="186" fontId="8" fillId="2" borderId="107" xfId="1" applyNumberFormat="1" applyFont="1" applyFill="1" applyBorder="1" applyAlignment="1">
      <alignment horizontal="right" vertical="center" shrinkToFit="1"/>
    </xf>
    <xf numFmtId="0" fontId="8" fillId="20" borderId="7" xfId="0" applyFont="1" applyFill="1" applyBorder="1" applyAlignment="1">
      <alignment vertical="center" shrinkToFit="1"/>
    </xf>
    <xf numFmtId="177" fontId="5" fillId="0" borderId="0" xfId="1" applyNumberFormat="1" applyFont="1" applyFill="1" applyBorder="1" applyAlignment="1">
      <alignment horizontal="right" vertical="center"/>
    </xf>
    <xf numFmtId="0" fontId="5" fillId="0" borderId="107" xfId="0" applyFont="1" applyBorder="1" applyAlignment="1">
      <alignment vertical="center" shrinkToFit="1"/>
    </xf>
    <xf numFmtId="0" fontId="8" fillId="20" borderId="6" xfId="0" applyFont="1" applyFill="1" applyBorder="1" applyAlignment="1">
      <alignment vertical="center" shrinkToFit="1"/>
    </xf>
    <xf numFmtId="0" fontId="8" fillId="20" borderId="6" xfId="0" applyFont="1" applyFill="1" applyBorder="1" applyAlignment="1">
      <alignment horizontal="center" vertical="center" shrinkToFit="1"/>
    </xf>
    <xf numFmtId="186" fontId="5" fillId="0" borderId="5" xfId="0" applyNumberFormat="1" applyFont="1" applyBorder="1" applyAlignment="1">
      <alignment horizontal="right" vertical="center"/>
    </xf>
    <xf numFmtId="0" fontId="5" fillId="0" borderId="66" xfId="0" applyFont="1" applyBorder="1" applyAlignment="1">
      <alignment vertical="center" shrinkToFit="1"/>
    </xf>
    <xf numFmtId="0" fontId="5" fillId="0" borderId="70" xfId="0" applyFont="1" applyBorder="1" applyAlignment="1">
      <alignment horizontal="left" vertical="center" shrinkToFit="1"/>
    </xf>
    <xf numFmtId="0" fontId="5" fillId="0" borderId="71" xfId="0" applyFont="1" applyBorder="1" applyAlignment="1">
      <alignment horizontal="left" vertical="center" shrinkToFit="1"/>
    </xf>
    <xf numFmtId="0" fontId="5" fillId="0" borderId="67" xfId="0" applyFont="1" applyBorder="1" applyAlignment="1">
      <alignment vertical="center" shrinkToFit="1"/>
    </xf>
    <xf numFmtId="0" fontId="5" fillId="0" borderId="72" xfId="0" applyFont="1" applyBorder="1" applyAlignment="1">
      <alignment horizontal="left" vertical="center" shrinkToFit="1"/>
    </xf>
    <xf numFmtId="186" fontId="5" fillId="0" borderId="5" xfId="1" applyNumberFormat="1" applyFont="1" applyFill="1" applyBorder="1" applyAlignment="1">
      <alignment horizontal="right" vertical="center"/>
    </xf>
    <xf numFmtId="0" fontId="8" fillId="20" borderId="29" xfId="0" applyFont="1" applyFill="1" applyBorder="1" applyAlignment="1">
      <alignment vertical="center" shrinkToFit="1"/>
    </xf>
    <xf numFmtId="186" fontId="5" fillId="0" borderId="107" xfId="0" applyNumberFormat="1" applyFont="1" applyBorder="1" applyAlignment="1">
      <alignment vertical="center" shrinkToFit="1"/>
    </xf>
    <xf numFmtId="186" fontId="9" fillId="0" borderId="5" xfId="7" applyNumberFormat="1" applyFont="1" applyFill="1" applyBorder="1" applyAlignment="1">
      <alignment vertical="center" shrinkToFit="1"/>
    </xf>
    <xf numFmtId="186" fontId="8" fillId="20" borderId="29" xfId="0" applyNumberFormat="1" applyFont="1" applyFill="1" applyBorder="1" applyAlignment="1">
      <alignment vertical="center" shrinkToFit="1"/>
    </xf>
    <xf numFmtId="9" fontId="8" fillId="20" borderId="29" xfId="1" applyFont="1" applyFill="1" applyBorder="1" applyAlignment="1">
      <alignment horizontal="right" vertical="center" shrinkToFit="1"/>
    </xf>
    <xf numFmtId="0" fontId="8" fillId="2" borderId="43" xfId="0" applyFont="1" applyFill="1" applyBorder="1" applyAlignment="1">
      <alignment horizontal="left" vertical="center"/>
    </xf>
    <xf numFmtId="0" fontId="8" fillId="2" borderId="3" xfId="0" applyFont="1" applyFill="1" applyBorder="1" applyAlignment="1">
      <alignment horizontal="left" vertical="center"/>
    </xf>
    <xf numFmtId="186" fontId="8" fillId="2" borderId="29" xfId="0" applyNumberFormat="1" applyFont="1" applyFill="1" applyBorder="1" applyAlignment="1">
      <alignment horizontal="right" vertical="center"/>
    </xf>
    <xf numFmtId="186" fontId="8" fillId="2" borderId="29" xfId="1" applyNumberFormat="1" applyFont="1" applyFill="1" applyBorder="1" applyAlignment="1">
      <alignment horizontal="right" vertical="center"/>
    </xf>
    <xf numFmtId="0" fontId="8" fillId="21" borderId="103" xfId="0" applyFont="1" applyFill="1" applyBorder="1" applyAlignment="1">
      <alignment horizontal="center" vertical="center" shrinkToFit="1"/>
    </xf>
    <xf numFmtId="0" fontId="8" fillId="22" borderId="5" xfId="0" applyFont="1" applyFill="1" applyBorder="1" applyAlignment="1">
      <alignment horizontal="center" vertical="center" shrinkToFit="1"/>
    </xf>
    <xf numFmtId="186" fontId="8" fillId="22" borderId="107" xfId="1" applyNumberFormat="1" applyFont="1" applyFill="1" applyBorder="1" applyAlignment="1">
      <alignment horizontal="right" vertical="center" shrinkToFit="1"/>
    </xf>
    <xf numFmtId="0" fontId="8" fillId="21" borderId="7" xfId="0" applyFont="1" applyFill="1" applyBorder="1" applyAlignment="1">
      <alignment vertical="center" shrinkToFit="1"/>
    </xf>
    <xf numFmtId="0" fontId="8" fillId="21" borderId="29" xfId="0" applyFont="1" applyFill="1" applyBorder="1" applyAlignment="1">
      <alignment vertical="center" shrinkToFit="1"/>
    </xf>
    <xf numFmtId="186" fontId="8" fillId="21" borderId="29" xfId="0" applyNumberFormat="1" applyFont="1" applyFill="1" applyBorder="1" applyAlignment="1">
      <alignment vertical="center" shrinkToFit="1"/>
    </xf>
    <xf numFmtId="9" fontId="8" fillId="21" borderId="29" xfId="1" applyFont="1" applyFill="1" applyBorder="1" applyAlignment="1">
      <alignment horizontal="right" vertical="center" shrinkToFit="1"/>
    </xf>
    <xf numFmtId="9" fontId="9" fillId="0" borderId="5" xfId="1" applyFont="1" applyFill="1" applyBorder="1" applyAlignment="1">
      <alignment horizontal="right" vertical="center" shrinkToFit="1"/>
    </xf>
    <xf numFmtId="177" fontId="5" fillId="0" borderId="107" xfId="1" applyNumberFormat="1" applyFont="1" applyBorder="1" applyAlignment="1">
      <alignment horizontal="center" vertical="center" shrinkToFit="1"/>
    </xf>
    <xf numFmtId="177" fontId="5" fillId="0" borderId="5" xfId="1" applyNumberFormat="1" applyFont="1" applyBorder="1" applyAlignment="1">
      <alignment horizontal="center" vertical="center" shrinkToFit="1"/>
    </xf>
    <xf numFmtId="177" fontId="5" fillId="0" borderId="103" xfId="1" applyNumberFormat="1" applyFont="1" applyBorder="1" applyAlignment="1">
      <alignment horizontal="center" vertical="center" shrinkToFit="1"/>
    </xf>
    <xf numFmtId="186" fontId="5" fillId="0" borderId="111" xfId="1" applyNumberFormat="1" applyFont="1" applyFill="1" applyBorder="1" applyAlignment="1">
      <alignment horizontal="right" vertical="center"/>
    </xf>
    <xf numFmtId="0" fontId="32" fillId="8" borderId="113" xfId="0" applyFont="1" applyFill="1" applyBorder="1" applyAlignment="1">
      <alignment horizontal="center" vertical="center"/>
    </xf>
    <xf numFmtId="0" fontId="17" fillId="8" borderId="114" xfId="0" applyFont="1" applyFill="1" applyBorder="1">
      <alignment vertical="center"/>
    </xf>
    <xf numFmtId="38" fontId="17" fillId="8" borderId="114" xfId="0" applyNumberFormat="1" applyFont="1" applyFill="1" applyBorder="1">
      <alignment vertical="center"/>
    </xf>
    <xf numFmtId="0" fontId="8" fillId="22" borderId="5" xfId="0" applyFont="1" applyFill="1" applyBorder="1" applyAlignment="1">
      <alignment horizontal="center" vertical="center"/>
    </xf>
    <xf numFmtId="0" fontId="32" fillId="8" borderId="113" xfId="0" applyFont="1" applyFill="1" applyBorder="1">
      <alignment vertical="center"/>
    </xf>
    <xf numFmtId="176" fontId="8" fillId="22" borderId="10" xfId="0" applyNumberFormat="1" applyFont="1" applyFill="1" applyBorder="1" applyAlignment="1">
      <alignment horizontal="right" vertical="center" shrinkToFit="1"/>
    </xf>
    <xf numFmtId="176" fontId="8" fillId="21" borderId="10" xfId="0" applyNumberFormat="1" applyFont="1" applyFill="1" applyBorder="1" applyAlignment="1">
      <alignment vertical="center" shrinkToFit="1"/>
    </xf>
    <xf numFmtId="177" fontId="8" fillId="22" borderId="29" xfId="0" applyNumberFormat="1" applyFont="1" applyFill="1" applyBorder="1" applyAlignment="1">
      <alignment horizontal="right" vertical="center" shrinkToFit="1"/>
    </xf>
    <xf numFmtId="0" fontId="8" fillId="0" borderId="0" xfId="0" applyFont="1" applyAlignment="1">
      <alignment horizontal="center" vertical="center"/>
    </xf>
    <xf numFmtId="0" fontId="5" fillId="0" borderId="116" xfId="0" applyFont="1" applyBorder="1">
      <alignment vertical="center"/>
    </xf>
    <xf numFmtId="0" fontId="8" fillId="18" borderId="117" xfId="0" applyFont="1" applyFill="1" applyBorder="1" applyAlignment="1">
      <alignment horizontal="center" vertical="center"/>
    </xf>
    <xf numFmtId="0" fontId="8" fillId="18" borderId="118" xfId="0" applyFont="1" applyFill="1" applyBorder="1" applyAlignment="1">
      <alignment horizontal="center" vertical="center"/>
    </xf>
    <xf numFmtId="0" fontId="8" fillId="18" borderId="119" xfId="0" applyFont="1" applyFill="1" applyBorder="1" applyAlignment="1">
      <alignment horizontal="center" vertical="center"/>
    </xf>
    <xf numFmtId="0" fontId="8" fillId="0" borderId="120" xfId="0" applyFont="1" applyBorder="1">
      <alignment vertical="center"/>
    </xf>
    <xf numFmtId="0" fontId="8" fillId="0" borderId="121" xfId="0" applyFont="1" applyBorder="1" applyAlignment="1">
      <alignment horizontal="center" vertical="center"/>
    </xf>
    <xf numFmtId="0" fontId="8" fillId="0" borderId="122" xfId="0" applyFont="1" applyBorder="1" applyAlignment="1">
      <alignment horizontal="center" vertical="center"/>
    </xf>
    <xf numFmtId="0" fontId="8" fillId="0" borderId="123" xfId="0" applyFont="1" applyBorder="1">
      <alignment vertical="center"/>
    </xf>
    <xf numFmtId="0" fontId="8" fillId="0" borderId="124" xfId="0" applyFont="1" applyBorder="1" applyAlignment="1">
      <alignment horizontal="center" vertical="center"/>
    </xf>
    <xf numFmtId="0" fontId="8" fillId="0" borderId="125" xfId="0" applyFont="1" applyBorder="1" applyAlignment="1">
      <alignment horizontal="center" vertical="center"/>
    </xf>
    <xf numFmtId="0" fontId="8" fillId="0" borderId="126" xfId="0" applyFont="1" applyBorder="1">
      <alignment vertical="center"/>
    </xf>
    <xf numFmtId="0" fontId="32" fillId="8" borderId="127" xfId="0" applyFont="1" applyFill="1" applyBorder="1" applyAlignment="1">
      <alignment horizontal="center" vertical="center"/>
    </xf>
    <xf numFmtId="0" fontId="32" fillId="8" borderId="0" xfId="0" applyFont="1" applyFill="1" applyBorder="1" applyAlignment="1">
      <alignment horizontal="center" vertical="center"/>
    </xf>
    <xf numFmtId="38" fontId="17" fillId="8" borderId="128" xfId="0" applyNumberFormat="1" applyFont="1" applyFill="1" applyBorder="1">
      <alignment vertical="center"/>
    </xf>
    <xf numFmtId="0" fontId="8" fillId="18" borderId="129" xfId="0" applyFont="1" applyFill="1" applyBorder="1" applyAlignment="1">
      <alignment horizontal="center" vertical="center"/>
    </xf>
    <xf numFmtId="0" fontId="8" fillId="18" borderId="130" xfId="0" applyFont="1" applyFill="1" applyBorder="1" applyAlignment="1">
      <alignment horizontal="center" vertical="center"/>
    </xf>
    <xf numFmtId="0" fontId="8" fillId="18" borderId="131" xfId="0" applyFont="1" applyFill="1" applyBorder="1" applyAlignment="1">
      <alignment horizontal="center" vertical="center"/>
    </xf>
    <xf numFmtId="0" fontId="8" fillId="0" borderId="132" xfId="0" applyFont="1" applyBorder="1">
      <alignment vertical="center"/>
    </xf>
    <xf numFmtId="0" fontId="8" fillId="0" borderId="133" xfId="0" applyFont="1" applyBorder="1" applyAlignment="1">
      <alignment horizontal="center" vertical="center"/>
    </xf>
    <xf numFmtId="0" fontId="8" fillId="0" borderId="134" xfId="0" applyFont="1" applyBorder="1" applyAlignment="1">
      <alignment horizontal="center" vertical="center"/>
    </xf>
    <xf numFmtId="0" fontId="8" fillId="0" borderId="135" xfId="0" applyFont="1" applyBorder="1" applyAlignment="1">
      <alignment horizontal="center" vertical="center"/>
    </xf>
    <xf numFmtId="0" fontId="8" fillId="0" borderId="136" xfId="0" applyFont="1" applyBorder="1">
      <alignment vertical="center"/>
    </xf>
    <xf numFmtId="0" fontId="17" fillId="8" borderId="137" xfId="0" applyFont="1" applyFill="1" applyBorder="1">
      <alignment vertical="center"/>
    </xf>
    <xf numFmtId="38" fontId="17" fillId="8" borderId="137" xfId="0" applyNumberFormat="1" applyFont="1" applyFill="1" applyBorder="1">
      <alignment vertical="center"/>
    </xf>
    <xf numFmtId="38" fontId="17" fillId="8" borderId="138" xfId="0" applyNumberFormat="1" applyFont="1" applyFill="1" applyBorder="1">
      <alignment vertical="center"/>
    </xf>
    <xf numFmtId="0" fontId="8" fillId="0" borderId="139" xfId="0" applyFont="1" applyBorder="1">
      <alignment vertical="center"/>
    </xf>
    <xf numFmtId="0" fontId="5" fillId="0" borderId="5" xfId="0" applyFont="1" applyBorder="1" applyAlignment="1">
      <alignment horizontal="left" vertical="center" shrinkToFit="1"/>
    </xf>
    <xf numFmtId="176" fontId="5" fillId="0" borderId="5" xfId="7" applyNumberFormat="1" applyFont="1" applyBorder="1" applyAlignment="1">
      <alignment vertical="center" shrinkToFit="1"/>
    </xf>
    <xf numFmtId="177" fontId="5" fillId="0" borderId="5" xfId="0" applyNumberFormat="1" applyFont="1" applyBorder="1" applyAlignment="1">
      <alignment horizontal="right" vertical="center" shrinkToFit="1"/>
    </xf>
    <xf numFmtId="176" fontId="5" fillId="0" borderId="5" xfId="0" applyNumberFormat="1" applyFont="1" applyBorder="1" applyAlignment="1">
      <alignment horizontal="right" vertical="center" shrinkToFit="1"/>
    </xf>
    <xf numFmtId="0" fontId="8" fillId="2" borderId="5" xfId="0" applyFont="1" applyFill="1" applyBorder="1" applyAlignment="1">
      <alignment horizontal="left" vertical="center" shrinkToFit="1"/>
    </xf>
    <xf numFmtId="176" fontId="8" fillId="2" borderId="5" xfId="0" applyNumberFormat="1" applyFont="1" applyFill="1" applyBorder="1" applyAlignment="1">
      <alignment horizontal="right" vertical="center" shrinkToFit="1"/>
    </xf>
    <xf numFmtId="177" fontId="8" fillId="2" borderId="5" xfId="1" applyNumberFormat="1" applyFont="1" applyFill="1" applyBorder="1" applyAlignment="1">
      <alignment horizontal="right" vertical="center" shrinkToFit="1"/>
    </xf>
    <xf numFmtId="176" fontId="5" fillId="0" borderId="5" xfId="7" applyNumberFormat="1" applyFont="1" applyBorder="1" applyAlignment="1">
      <alignment horizontal="right" vertical="center" shrinkToFit="1"/>
    </xf>
    <xf numFmtId="177" fontId="5" fillId="0" borderId="5" xfId="1" applyNumberFormat="1" applyFont="1" applyBorder="1" applyAlignment="1">
      <alignment horizontal="right" vertical="center" shrinkToFit="1"/>
    </xf>
    <xf numFmtId="176" fontId="5" fillId="0" borderId="5" xfId="0" applyNumberFormat="1" applyFont="1" applyBorder="1" applyAlignment="1">
      <alignment vertical="center" shrinkToFit="1"/>
    </xf>
    <xf numFmtId="0" fontId="5" fillId="0" borderId="0" xfId="0" applyFont="1" applyAlignment="1">
      <alignment horizontal="left" vertical="center" shrinkToFit="1"/>
    </xf>
    <xf numFmtId="0" fontId="5" fillId="0" borderId="0" xfId="0" applyNumberFormat="1" applyFont="1" applyAlignment="1">
      <alignment vertical="center" shrinkToFit="1"/>
    </xf>
    <xf numFmtId="177" fontId="5" fillId="0" borderId="0" xfId="0" applyNumberFormat="1" applyFont="1" applyAlignment="1">
      <alignment vertical="center" shrinkToFit="1"/>
    </xf>
    <xf numFmtId="0" fontId="8" fillId="0" borderId="0" xfId="0" applyFont="1" applyAlignment="1">
      <alignment vertical="center" shrinkToFit="1"/>
    </xf>
    <xf numFmtId="0" fontId="7" fillId="0" borderId="0" xfId="0" applyFont="1" applyAlignment="1">
      <alignment vertical="center" shrinkToFit="1"/>
    </xf>
    <xf numFmtId="177" fontId="5" fillId="0" borderId="5" xfId="0" applyNumberFormat="1" applyFont="1" applyBorder="1" applyAlignment="1">
      <alignment vertical="center" shrinkToFit="1"/>
    </xf>
    <xf numFmtId="178" fontId="5" fillId="0" borderId="10" xfId="0" applyNumberFormat="1" applyFont="1" applyBorder="1" applyAlignment="1">
      <alignment vertical="center" shrinkToFit="1"/>
    </xf>
    <xf numFmtId="180" fontId="5" fillId="0" borderId="10" xfId="1" applyNumberFormat="1" applyFont="1" applyBorder="1" applyAlignment="1">
      <alignment horizontal="right" vertical="center" shrinkToFit="1"/>
    </xf>
    <xf numFmtId="180" fontId="5" fillId="0" borderId="11" xfId="1" applyNumberFormat="1" applyFont="1" applyBorder="1" applyAlignment="1">
      <alignment horizontal="right" vertical="center" shrinkToFit="1"/>
    </xf>
    <xf numFmtId="180" fontId="5" fillId="0" borderId="12" xfId="1" applyNumberFormat="1" applyFont="1" applyBorder="1" applyAlignment="1">
      <alignment horizontal="right" vertical="center" shrinkToFit="1"/>
    </xf>
    <xf numFmtId="177" fontId="5" fillId="0" borderId="5" xfId="1" applyNumberFormat="1" applyFont="1" applyFill="1" applyBorder="1" applyAlignment="1">
      <alignment horizontal="right" vertical="center" shrinkToFit="1"/>
    </xf>
    <xf numFmtId="178" fontId="5" fillId="0" borderId="75" xfId="0" applyNumberFormat="1" applyFont="1" applyBorder="1" applyAlignment="1">
      <alignment horizontal="right" vertical="center" shrinkToFit="1"/>
    </xf>
    <xf numFmtId="180" fontId="5" fillId="0" borderId="75" xfId="1" applyNumberFormat="1" applyFont="1" applyBorder="1" applyAlignment="1">
      <alignment horizontal="right" vertical="center" shrinkToFit="1"/>
    </xf>
    <xf numFmtId="178" fontId="5" fillId="0" borderId="76" xfId="0" applyNumberFormat="1" applyFont="1" applyBorder="1" applyAlignment="1">
      <alignment vertical="center" shrinkToFit="1"/>
    </xf>
    <xf numFmtId="178" fontId="5" fillId="0" borderId="76" xfId="0" applyNumberFormat="1" applyFont="1" applyBorder="1" applyAlignment="1">
      <alignment horizontal="right" vertical="center" shrinkToFit="1"/>
    </xf>
    <xf numFmtId="180" fontId="5" fillId="0" borderId="76" xfId="1" applyNumberFormat="1" applyFont="1" applyBorder="1" applyAlignment="1">
      <alignment horizontal="right" vertical="center" shrinkToFit="1"/>
    </xf>
    <xf numFmtId="178" fontId="5" fillId="0" borderId="77" xfId="0" applyNumberFormat="1" applyFont="1" applyBorder="1" applyAlignment="1">
      <alignment vertical="center" shrinkToFit="1"/>
    </xf>
    <xf numFmtId="178" fontId="5" fillId="0" borderId="77" xfId="0" applyNumberFormat="1" applyFont="1" applyBorder="1" applyAlignment="1">
      <alignment horizontal="right" vertical="center" shrinkToFit="1"/>
    </xf>
    <xf numFmtId="180" fontId="5" fillId="0" borderId="77" xfId="1" applyNumberFormat="1" applyFont="1" applyBorder="1" applyAlignment="1">
      <alignment horizontal="right" vertical="center" shrinkToFit="1"/>
    </xf>
    <xf numFmtId="0" fontId="8" fillId="2" borderId="5" xfId="0" applyFont="1" applyFill="1" applyBorder="1" applyAlignment="1">
      <alignment horizontal="right" vertical="center" shrinkToFit="1"/>
    </xf>
    <xf numFmtId="0" fontId="8" fillId="2" borderId="5" xfId="0" applyFont="1" applyFill="1" applyBorder="1" applyAlignment="1">
      <alignment vertical="center" shrinkToFit="1"/>
    </xf>
    <xf numFmtId="38" fontId="5" fillId="0" borderId="5" xfId="0" applyNumberFormat="1" applyFont="1" applyFill="1" applyBorder="1" applyAlignment="1">
      <alignment vertical="center" shrinkToFit="1"/>
    </xf>
    <xf numFmtId="177" fontId="5" fillId="0" borderId="5" xfId="0" applyNumberFormat="1" applyFont="1" applyFill="1" applyBorder="1" applyAlignment="1">
      <alignment horizontal="right" vertical="center" shrinkToFit="1"/>
    </xf>
    <xf numFmtId="38" fontId="5" fillId="0" borderId="5" xfId="0" applyNumberFormat="1" applyFont="1" applyBorder="1" applyAlignment="1">
      <alignment vertical="center" shrinkToFit="1"/>
    </xf>
    <xf numFmtId="0" fontId="8" fillId="10" borderId="5" xfId="0" applyFont="1" applyFill="1" applyBorder="1" applyAlignment="1">
      <alignment horizontal="center" vertical="center" shrinkToFit="1"/>
    </xf>
    <xf numFmtId="0" fontId="15" fillId="10" borderId="5" xfId="0" applyFont="1" applyFill="1" applyBorder="1" applyAlignment="1">
      <alignment horizontal="center" vertical="center" shrinkToFit="1"/>
    </xf>
    <xf numFmtId="0" fontId="8" fillId="10" borderId="5" xfId="0" applyFont="1" applyFill="1" applyBorder="1" applyAlignment="1">
      <alignment horizontal="left" vertical="center" shrinkToFit="1"/>
    </xf>
    <xf numFmtId="176" fontId="8" fillId="10" borderId="5" xfId="0" applyNumberFormat="1" applyFont="1" applyFill="1" applyBorder="1" applyAlignment="1">
      <alignment horizontal="right" vertical="center" shrinkToFit="1"/>
    </xf>
    <xf numFmtId="177" fontId="8" fillId="10" borderId="5" xfId="1" applyNumberFormat="1" applyFont="1" applyFill="1" applyBorder="1" applyAlignment="1">
      <alignment horizontal="right" vertical="center" shrinkToFit="1"/>
    </xf>
    <xf numFmtId="179" fontId="5" fillId="0" borderId="5" xfId="0" applyNumberFormat="1" applyFont="1" applyBorder="1" applyAlignment="1">
      <alignment vertical="center" shrinkToFit="1"/>
    </xf>
    <xf numFmtId="178" fontId="5" fillId="0" borderId="75" xfId="0" applyNumberFormat="1" applyFont="1" applyBorder="1" applyAlignment="1">
      <alignment vertical="center" shrinkToFit="1"/>
    </xf>
    <xf numFmtId="177" fontId="5" fillId="11" borderId="5" xfId="0" applyNumberFormat="1" applyFont="1" applyFill="1" applyBorder="1" applyAlignment="1">
      <alignment horizontal="right" vertical="center" shrinkToFit="1"/>
    </xf>
    <xf numFmtId="0" fontId="8" fillId="10" borderId="5" xfId="0" applyFont="1" applyFill="1" applyBorder="1" applyAlignment="1">
      <alignment horizontal="right" vertical="center" shrinkToFit="1"/>
    </xf>
    <xf numFmtId="38" fontId="5" fillId="0" borderId="5" xfId="7" applyFont="1" applyBorder="1" applyAlignment="1">
      <alignment vertical="center" shrinkToFit="1"/>
    </xf>
    <xf numFmtId="38" fontId="5" fillId="0" borderId="5" xfId="7" applyFont="1" applyBorder="1" applyAlignment="1">
      <alignment horizontal="right" vertical="center" shrinkToFit="1"/>
    </xf>
    <xf numFmtId="176" fontId="8" fillId="0" borderId="0" xfId="0" applyNumberFormat="1" applyFont="1" applyFill="1" applyBorder="1" applyAlignment="1">
      <alignment horizontal="right" vertical="center" shrinkToFit="1"/>
    </xf>
    <xf numFmtId="177" fontId="8" fillId="0" borderId="0" xfId="1" applyNumberFormat="1" applyFont="1" applyFill="1" applyBorder="1" applyAlignment="1">
      <alignment horizontal="right" vertical="center" shrinkToFit="1"/>
    </xf>
    <xf numFmtId="38" fontId="5" fillId="0" borderId="5" xfId="7" applyFont="1" applyBorder="1" applyAlignment="1">
      <alignment horizontal="right" shrinkToFit="1"/>
    </xf>
    <xf numFmtId="0" fontId="13" fillId="0" borderId="5" xfId="0" applyFont="1" applyBorder="1" applyAlignment="1">
      <alignment vertical="center" wrapText="1"/>
    </xf>
    <xf numFmtId="0" fontId="16" fillId="0" borderId="5" xfId="0" applyFont="1" applyBorder="1">
      <alignment vertical="center"/>
    </xf>
    <xf numFmtId="0" fontId="8" fillId="12" borderId="5" xfId="0" applyFont="1" applyFill="1" applyBorder="1" applyAlignment="1">
      <alignment vertical="center" shrinkToFit="1"/>
    </xf>
    <xf numFmtId="0" fontId="8" fillId="12" borderId="5" xfId="0" applyFont="1" applyFill="1" applyBorder="1" applyAlignment="1">
      <alignment horizontal="center" vertical="center" shrinkToFit="1"/>
    </xf>
    <xf numFmtId="176" fontId="17" fillId="0" borderId="5" xfId="0" applyNumberFormat="1" applyFont="1" applyBorder="1" applyAlignment="1">
      <alignment vertical="center" shrinkToFit="1"/>
    </xf>
    <xf numFmtId="176" fontId="8" fillId="12" borderId="5" xfId="0" applyNumberFormat="1" applyFont="1" applyFill="1" applyBorder="1" applyAlignment="1">
      <alignment vertical="center" shrinkToFit="1"/>
    </xf>
    <xf numFmtId="177" fontId="8" fillId="12" borderId="5" xfId="1" applyNumberFormat="1" applyFont="1" applyFill="1" applyBorder="1" applyAlignment="1">
      <alignment vertical="center" shrinkToFit="1"/>
    </xf>
    <xf numFmtId="0" fontId="8" fillId="8" borderId="0" xfId="0" applyFont="1" applyFill="1" applyBorder="1" applyAlignment="1">
      <alignment vertical="center" shrinkToFit="1"/>
    </xf>
    <xf numFmtId="176" fontId="8" fillId="8" borderId="5" xfId="0" applyNumberFormat="1" applyFont="1" applyFill="1" applyBorder="1" applyAlignment="1">
      <alignment vertical="center" shrinkToFit="1"/>
    </xf>
    <xf numFmtId="177" fontId="8" fillId="8" borderId="5" xfId="0" applyNumberFormat="1" applyFont="1" applyFill="1" applyBorder="1" applyAlignment="1">
      <alignment vertical="center" shrinkToFit="1"/>
    </xf>
    <xf numFmtId="177" fontId="8" fillId="8" borderId="0" xfId="0" applyNumberFormat="1" applyFont="1" applyFill="1" applyBorder="1" applyAlignment="1">
      <alignment vertical="center" shrinkToFit="1"/>
    </xf>
    <xf numFmtId="176" fontId="8" fillId="8" borderId="5" xfId="7" applyNumberFormat="1" applyFont="1" applyFill="1" applyBorder="1" applyAlignment="1">
      <alignment vertical="center" shrinkToFit="1"/>
    </xf>
    <xf numFmtId="177" fontId="8" fillId="0" borderId="5" xfId="1" applyNumberFormat="1" applyFont="1" applyBorder="1" applyAlignment="1">
      <alignment vertical="center" shrinkToFit="1"/>
    </xf>
    <xf numFmtId="178" fontId="5" fillId="0" borderId="7" xfId="7" applyNumberFormat="1" applyFont="1" applyBorder="1" applyAlignment="1">
      <alignment vertical="center" shrinkToFit="1"/>
    </xf>
    <xf numFmtId="180" fontId="5" fillId="0" borderId="6" xfId="1" applyNumberFormat="1" applyFont="1" applyBorder="1" applyAlignment="1">
      <alignment horizontal="right" vertical="center" shrinkToFit="1"/>
    </xf>
    <xf numFmtId="177" fontId="5" fillId="0" borderId="0" xfId="1" applyNumberFormat="1" applyFont="1" applyBorder="1" applyAlignment="1">
      <alignment vertical="center" shrinkToFit="1"/>
    </xf>
    <xf numFmtId="178" fontId="5" fillId="0" borderId="6" xfId="7" applyNumberFormat="1" applyFont="1" applyBorder="1" applyAlignment="1">
      <alignment vertical="center" shrinkToFit="1"/>
    </xf>
    <xf numFmtId="178" fontId="5" fillId="0" borderId="44" xfId="7" applyNumberFormat="1" applyFont="1" applyBorder="1" applyAlignment="1">
      <alignment vertical="center" shrinkToFit="1"/>
    </xf>
    <xf numFmtId="180" fontId="5" fillId="0" borderId="44" xfId="1" applyNumberFormat="1" applyFont="1" applyBorder="1" applyAlignment="1">
      <alignment horizontal="right" vertical="center" shrinkToFit="1"/>
    </xf>
    <xf numFmtId="178" fontId="5" fillId="0" borderId="11" xfId="7" applyNumberFormat="1" applyFont="1" applyBorder="1" applyAlignment="1">
      <alignment vertical="center" shrinkToFit="1"/>
    </xf>
    <xf numFmtId="178" fontId="5" fillId="0" borderId="12" xfId="7" applyNumberFormat="1" applyFont="1" applyBorder="1" applyAlignment="1">
      <alignment vertical="center" shrinkToFit="1"/>
    </xf>
    <xf numFmtId="178" fontId="5" fillId="0" borderId="29" xfId="7" applyNumberFormat="1" applyFont="1" applyBorder="1" applyAlignment="1">
      <alignment vertical="center" shrinkToFit="1"/>
    </xf>
    <xf numFmtId="180" fontId="5" fillId="0" borderId="29" xfId="1" applyNumberFormat="1" applyFont="1" applyBorder="1" applyAlignment="1">
      <alignment horizontal="right" vertical="center" shrinkToFit="1"/>
    </xf>
    <xf numFmtId="176" fontId="8" fillId="0" borderId="5" xfId="7" applyNumberFormat="1" applyFont="1" applyBorder="1" applyAlignment="1">
      <alignment vertical="center" shrinkToFit="1"/>
    </xf>
    <xf numFmtId="177" fontId="8" fillId="0" borderId="5" xfId="1" applyNumberFormat="1" applyFont="1" applyBorder="1" applyAlignment="1">
      <alignment horizontal="right" vertical="center" shrinkToFit="1"/>
    </xf>
    <xf numFmtId="177" fontId="8" fillId="0" borderId="0" xfId="1" applyNumberFormat="1" applyFont="1" applyBorder="1" applyAlignment="1">
      <alignment vertical="center" shrinkToFit="1"/>
    </xf>
    <xf numFmtId="176" fontId="8" fillId="12" borderId="5" xfId="7" applyNumberFormat="1" applyFont="1" applyFill="1" applyBorder="1" applyAlignment="1">
      <alignment vertical="center" shrinkToFit="1"/>
    </xf>
    <xf numFmtId="177" fontId="8" fillId="8" borderId="0" xfId="1" applyNumberFormat="1" applyFont="1" applyFill="1" applyBorder="1" applyAlignment="1">
      <alignment vertical="center" shrinkToFit="1"/>
    </xf>
    <xf numFmtId="176" fontId="8" fillId="0" borderId="5" xfId="0" applyNumberFormat="1" applyFont="1" applyFill="1" applyBorder="1" applyAlignment="1">
      <alignment vertical="center" shrinkToFit="1"/>
    </xf>
    <xf numFmtId="177" fontId="8" fillId="0" borderId="5" xfId="1" applyNumberFormat="1" applyFont="1" applyFill="1" applyBorder="1" applyAlignment="1">
      <alignment vertical="center" shrinkToFit="1"/>
    </xf>
    <xf numFmtId="177" fontId="8" fillId="0" borderId="0" xfId="1" applyNumberFormat="1" applyFont="1" applyFill="1" applyBorder="1" applyAlignment="1">
      <alignment vertical="center" shrinkToFit="1"/>
    </xf>
    <xf numFmtId="176" fontId="8" fillId="0" borderId="5" xfId="7" applyNumberFormat="1" applyFont="1" applyFill="1" applyBorder="1" applyAlignment="1">
      <alignment vertical="center" shrinkToFit="1"/>
    </xf>
    <xf numFmtId="178" fontId="5" fillId="0" borderId="6" xfId="0" applyNumberFormat="1" applyFont="1" applyBorder="1" applyAlignment="1">
      <alignment vertical="center" shrinkToFit="1"/>
    </xf>
    <xf numFmtId="180" fontId="5" fillId="0" borderId="7" xfId="1" applyNumberFormat="1" applyFont="1" applyBorder="1" applyAlignment="1">
      <alignment horizontal="right" vertical="center" shrinkToFit="1"/>
    </xf>
    <xf numFmtId="176" fontId="8" fillId="0" borderId="5" xfId="0" applyNumberFormat="1" applyFont="1" applyBorder="1" applyAlignment="1">
      <alignment vertical="center" shrinkToFit="1"/>
    </xf>
    <xf numFmtId="0" fontId="5" fillId="0" borderId="0" xfId="0" applyFont="1" applyFill="1" applyAlignment="1">
      <alignment vertical="center" shrinkToFit="1"/>
    </xf>
    <xf numFmtId="0" fontId="8" fillId="12" borderId="42" xfId="0" applyFont="1" applyFill="1" applyBorder="1" applyAlignment="1">
      <alignment horizontal="center" vertical="center" shrinkToFit="1"/>
    </xf>
    <xf numFmtId="0" fontId="8" fillId="12" borderId="27" xfId="0" applyFont="1" applyFill="1" applyBorder="1" applyAlignment="1">
      <alignment horizontal="center" vertical="center" shrinkToFit="1"/>
    </xf>
    <xf numFmtId="176" fontId="5" fillId="0" borderId="42" xfId="0" applyNumberFormat="1" applyFont="1" applyBorder="1" applyAlignment="1">
      <alignment vertical="center" shrinkToFit="1"/>
    </xf>
    <xf numFmtId="177" fontId="5" fillId="0" borderId="27" xfId="1" applyNumberFormat="1" applyFont="1" applyFill="1" applyBorder="1" applyAlignment="1">
      <alignment horizontal="right" vertical="center" shrinkToFit="1"/>
    </xf>
    <xf numFmtId="176" fontId="5" fillId="0" borderId="42" xfId="0" applyNumberFormat="1" applyFont="1" applyFill="1" applyBorder="1" applyAlignment="1">
      <alignment vertical="center" shrinkToFit="1"/>
    </xf>
    <xf numFmtId="177" fontId="5" fillId="0" borderId="27" xfId="0" applyNumberFormat="1" applyFont="1" applyFill="1" applyBorder="1" applyAlignment="1">
      <alignment horizontal="right" vertical="center" shrinkToFit="1"/>
    </xf>
    <xf numFmtId="176" fontId="5" fillId="0" borderId="42" xfId="7" applyNumberFormat="1" applyFont="1" applyBorder="1" applyAlignment="1">
      <alignment vertical="center" shrinkToFit="1"/>
    </xf>
    <xf numFmtId="177" fontId="5" fillId="0" borderId="27" xfId="1" applyNumberFormat="1" applyFont="1" applyBorder="1" applyAlignment="1">
      <alignment horizontal="right" vertical="center" shrinkToFit="1"/>
    </xf>
    <xf numFmtId="177" fontId="5" fillId="0" borderId="40" xfId="1" applyNumberFormat="1" applyFont="1" applyBorder="1" applyAlignment="1">
      <alignment horizontal="right" vertical="center" shrinkToFit="1"/>
    </xf>
    <xf numFmtId="177" fontId="5" fillId="0" borderId="27" xfId="0" applyNumberFormat="1" applyFont="1" applyBorder="1" applyAlignment="1">
      <alignment horizontal="right" vertical="center" shrinkToFit="1"/>
    </xf>
    <xf numFmtId="177" fontId="5" fillId="0" borderId="40" xfId="1" applyNumberFormat="1" applyFont="1" applyFill="1" applyBorder="1" applyAlignment="1">
      <alignment horizontal="right" vertical="center" shrinkToFit="1"/>
    </xf>
    <xf numFmtId="176" fontId="8" fillId="13" borderId="42" xfId="0" applyNumberFormat="1" applyFont="1" applyFill="1" applyBorder="1" applyAlignment="1">
      <alignment vertical="center" shrinkToFit="1"/>
    </xf>
    <xf numFmtId="177" fontId="8" fillId="12" borderId="27" xfId="1" applyNumberFormat="1" applyFont="1" applyFill="1" applyBorder="1" applyAlignment="1">
      <alignment vertical="center" shrinkToFit="1"/>
    </xf>
    <xf numFmtId="177" fontId="8" fillId="13" borderId="27" xfId="0" applyNumberFormat="1" applyFont="1" applyFill="1" applyBorder="1" applyAlignment="1">
      <alignment vertical="center" shrinkToFit="1"/>
    </xf>
    <xf numFmtId="176" fontId="8" fillId="12" borderId="42" xfId="0" applyNumberFormat="1" applyFont="1" applyFill="1" applyBorder="1" applyAlignment="1">
      <alignment vertical="center" shrinkToFit="1"/>
    </xf>
    <xf numFmtId="177" fontId="8" fillId="12" borderId="27" xfId="0" applyNumberFormat="1" applyFont="1" applyFill="1" applyBorder="1" applyAlignment="1">
      <alignment vertical="center" shrinkToFit="1"/>
    </xf>
    <xf numFmtId="0" fontId="5" fillId="0" borderId="26" xfId="0" applyFont="1" applyBorder="1" applyAlignment="1">
      <alignment horizontal="left" vertical="center" shrinkToFit="1"/>
    </xf>
    <xf numFmtId="176" fontId="5" fillId="0" borderId="42" xfId="0" applyNumberFormat="1" applyFont="1" applyBorder="1" applyAlignment="1">
      <alignment horizontal="right" vertical="center" shrinkToFit="1"/>
    </xf>
    <xf numFmtId="177" fontId="5" fillId="0" borderId="40" xfId="0" applyNumberFormat="1" applyFont="1" applyBorder="1" applyAlignment="1">
      <alignment horizontal="right" vertical="center" shrinkToFit="1"/>
    </xf>
    <xf numFmtId="0" fontId="5" fillId="0" borderId="7" xfId="0" applyFont="1" applyBorder="1" applyAlignment="1">
      <alignment vertical="center" shrinkToFit="1"/>
    </xf>
    <xf numFmtId="0" fontId="8" fillId="0" borderId="0" xfId="0" applyFont="1" applyFill="1" applyAlignment="1">
      <alignment vertical="center" shrinkToFit="1"/>
    </xf>
    <xf numFmtId="177" fontId="5" fillId="8" borderId="0" xfId="1" applyNumberFormat="1" applyFont="1" applyFill="1" applyAlignment="1">
      <alignment vertical="center" shrinkToFit="1"/>
    </xf>
    <xf numFmtId="176" fontId="8" fillId="13" borderId="5" xfId="0" applyNumberFormat="1" applyFont="1" applyFill="1" applyBorder="1" applyAlignment="1">
      <alignment vertical="center" shrinkToFit="1"/>
    </xf>
    <xf numFmtId="177" fontId="8" fillId="8" borderId="0" xfId="1" applyNumberFormat="1" applyFont="1" applyFill="1" applyAlignment="1">
      <alignment vertical="center" shrinkToFit="1"/>
    </xf>
    <xf numFmtId="38" fontId="8" fillId="12" borderId="5" xfId="7" applyFont="1" applyFill="1" applyBorder="1" applyAlignment="1">
      <alignment vertical="center" shrinkToFit="1"/>
    </xf>
    <xf numFmtId="0" fontId="14" fillId="12" borderId="42" xfId="0" applyFont="1" applyFill="1" applyBorder="1" applyAlignment="1">
      <alignment horizontal="center" vertical="center" shrinkToFit="1"/>
    </xf>
    <xf numFmtId="0" fontId="14" fillId="12" borderId="46" xfId="0" applyFont="1" applyFill="1" applyBorder="1" applyAlignment="1">
      <alignment horizontal="center" vertical="center" shrinkToFit="1"/>
    </xf>
    <xf numFmtId="0" fontId="14" fillId="12" borderId="48" xfId="0" applyFont="1" applyFill="1" applyBorder="1" applyAlignment="1">
      <alignment horizontal="center" vertical="center" shrinkToFit="1"/>
    </xf>
    <xf numFmtId="0" fontId="14" fillId="12" borderId="27" xfId="0" applyFont="1" applyFill="1" applyBorder="1" applyAlignment="1">
      <alignment horizontal="center" vertical="center" shrinkToFit="1"/>
    </xf>
    <xf numFmtId="38" fontId="5" fillId="0" borderId="42" xfId="0" applyNumberFormat="1" applyFont="1" applyFill="1" applyBorder="1" applyAlignment="1">
      <alignment vertical="center" shrinkToFit="1"/>
    </xf>
    <xf numFmtId="38" fontId="5" fillId="0" borderId="48" xfId="7" applyFont="1" applyFill="1" applyBorder="1" applyAlignment="1">
      <alignment horizontal="right" vertical="center" shrinkToFit="1"/>
    </xf>
    <xf numFmtId="38" fontId="5" fillId="0" borderId="48" xfId="0" applyNumberFormat="1" applyFont="1" applyFill="1" applyBorder="1" applyAlignment="1">
      <alignment vertical="center" shrinkToFit="1"/>
    </xf>
    <xf numFmtId="38" fontId="8" fillId="12" borderId="42" xfId="0" applyNumberFormat="1" applyFont="1" applyFill="1" applyBorder="1" applyAlignment="1">
      <alignment vertical="center" shrinkToFit="1"/>
    </xf>
    <xf numFmtId="177" fontId="8" fillId="12" borderId="40" xfId="1" applyNumberFormat="1" applyFont="1" applyFill="1" applyBorder="1" applyAlignment="1">
      <alignment vertical="center" shrinkToFit="1"/>
    </xf>
    <xf numFmtId="0" fontId="14" fillId="12" borderId="26" xfId="0" applyFont="1" applyFill="1" applyBorder="1" applyAlignment="1">
      <alignment horizontal="center" vertical="center" shrinkToFit="1"/>
    </xf>
    <xf numFmtId="0" fontId="14" fillId="12" borderId="47" xfId="0" applyFont="1" applyFill="1" applyBorder="1" applyAlignment="1">
      <alignment horizontal="center" vertical="center" shrinkToFit="1"/>
    </xf>
    <xf numFmtId="177" fontId="5" fillId="0" borderId="47" xfId="1" applyNumberFormat="1" applyFont="1" applyFill="1" applyBorder="1" applyAlignment="1">
      <alignment horizontal="right" vertical="center" shrinkToFit="1"/>
    </xf>
    <xf numFmtId="38" fontId="5" fillId="0" borderId="42" xfId="0" applyNumberFormat="1" applyFont="1" applyBorder="1" applyAlignment="1">
      <alignment vertical="center" shrinkToFit="1"/>
    </xf>
    <xf numFmtId="177" fontId="8" fillId="12" borderId="46" xfId="1" applyNumberFormat="1" applyFont="1" applyFill="1" applyBorder="1" applyAlignment="1">
      <alignment vertical="center" shrinkToFit="1"/>
    </xf>
    <xf numFmtId="38" fontId="5" fillId="0" borderId="48" xfId="0" applyNumberFormat="1" applyFont="1" applyBorder="1" applyAlignment="1">
      <alignment vertical="center" shrinkToFit="1"/>
    </xf>
    <xf numFmtId="177" fontId="5" fillId="0" borderId="46" xfId="1" applyNumberFormat="1" applyFont="1" applyBorder="1" applyAlignment="1">
      <alignment horizontal="right" vertical="center" shrinkToFit="1"/>
    </xf>
    <xf numFmtId="38" fontId="5" fillId="0" borderId="28" xfId="0" applyNumberFormat="1" applyFont="1" applyBorder="1" applyAlignment="1">
      <alignment vertical="center" shrinkToFit="1"/>
    </xf>
    <xf numFmtId="177" fontId="5" fillId="0" borderId="47" xfId="1" applyNumberFormat="1" applyFont="1" applyBorder="1" applyAlignment="1">
      <alignment horizontal="right" vertical="center" shrinkToFit="1"/>
    </xf>
    <xf numFmtId="0" fontId="13" fillId="0" borderId="5" xfId="0" applyFont="1" applyFill="1" applyBorder="1" applyAlignment="1">
      <alignment horizontal="left" vertical="center" shrinkToFit="1"/>
    </xf>
    <xf numFmtId="0" fontId="13" fillId="0" borderId="5" xfId="0" applyFont="1" applyBorder="1" applyAlignment="1">
      <alignment horizontal="left" vertical="center" shrinkToFit="1"/>
    </xf>
    <xf numFmtId="0" fontId="8" fillId="18" borderId="5" xfId="0" applyFont="1" applyFill="1" applyBorder="1" applyAlignment="1">
      <alignment horizontal="center" vertical="center" shrinkToFit="1"/>
    </xf>
    <xf numFmtId="176" fontId="5" fillId="0" borderId="10" xfId="0" applyNumberFormat="1" applyFont="1" applyBorder="1" applyAlignment="1">
      <alignment horizontal="right" vertical="center" shrinkToFit="1"/>
    </xf>
    <xf numFmtId="177" fontId="5" fillId="0" borderId="29" xfId="0" applyNumberFormat="1" applyFont="1" applyBorder="1" applyAlignment="1">
      <alignment horizontal="right" vertical="center" shrinkToFit="1"/>
    </xf>
    <xf numFmtId="176" fontId="5" fillId="0" borderId="10" xfId="0" applyNumberFormat="1" applyFont="1" applyBorder="1" applyAlignment="1">
      <alignment vertical="center" shrinkToFit="1"/>
    </xf>
    <xf numFmtId="176" fontId="8" fillId="0" borderId="55" xfId="0" applyNumberFormat="1" applyFont="1" applyBorder="1" applyAlignment="1">
      <alignment vertical="center" shrinkToFit="1"/>
    </xf>
    <xf numFmtId="176" fontId="5" fillId="0" borderId="49" xfId="0" applyNumberFormat="1" applyFont="1" applyBorder="1" applyAlignment="1">
      <alignment vertical="center" shrinkToFit="1"/>
    </xf>
    <xf numFmtId="176" fontId="5" fillId="0" borderId="52" xfId="0" applyNumberFormat="1" applyFont="1" applyBorder="1" applyAlignment="1">
      <alignment vertical="center" shrinkToFit="1"/>
    </xf>
    <xf numFmtId="182" fontId="8" fillId="4" borderId="21" xfId="0" applyNumberFormat="1" applyFont="1" applyFill="1" applyBorder="1" applyAlignment="1">
      <alignment horizontal="right" vertical="center" shrinkToFit="1"/>
    </xf>
    <xf numFmtId="177" fontId="8" fillId="4" borderId="27" xfId="0" applyNumberFormat="1" applyFont="1" applyFill="1" applyBorder="1" applyAlignment="1">
      <alignment horizontal="right" vertical="center" shrinkToFit="1"/>
    </xf>
    <xf numFmtId="176" fontId="5" fillId="0" borderId="55" xfId="0" applyNumberFormat="1" applyFont="1" applyBorder="1" applyAlignment="1">
      <alignment vertical="center" shrinkToFit="1"/>
    </xf>
    <xf numFmtId="176" fontId="5" fillId="0" borderId="51" xfId="0" applyNumberFormat="1" applyFont="1" applyBorder="1" applyAlignment="1">
      <alignment vertical="center" shrinkToFit="1"/>
    </xf>
    <xf numFmtId="176" fontId="5" fillId="0" borderId="57" xfId="0" applyNumberFormat="1" applyFont="1" applyBorder="1" applyAlignment="1">
      <alignment vertical="center" shrinkToFit="1"/>
    </xf>
    <xf numFmtId="176" fontId="5" fillId="0" borderId="100" xfId="0" applyNumberFormat="1" applyFont="1" applyBorder="1" applyAlignment="1">
      <alignment vertical="center" shrinkToFit="1"/>
    </xf>
    <xf numFmtId="176" fontId="5" fillId="0" borderId="58" xfId="0" applyNumberFormat="1" applyFont="1" applyBorder="1" applyAlignment="1">
      <alignment vertical="center" shrinkToFit="1"/>
    </xf>
    <xf numFmtId="177" fontId="5" fillId="0" borderId="62" xfId="0" applyNumberFormat="1" applyFont="1" applyBorder="1" applyAlignment="1">
      <alignment horizontal="right" vertical="center" shrinkToFit="1"/>
    </xf>
    <xf numFmtId="176" fontId="5" fillId="0" borderId="53" xfId="0" applyNumberFormat="1" applyFont="1" applyBorder="1" applyAlignment="1">
      <alignment vertical="center" shrinkToFit="1"/>
    </xf>
    <xf numFmtId="176" fontId="5" fillId="0" borderId="50" xfId="0" applyNumberFormat="1" applyFont="1" applyBorder="1" applyAlignment="1">
      <alignment vertical="center" shrinkToFit="1"/>
    </xf>
    <xf numFmtId="176" fontId="5" fillId="0" borderId="38" xfId="0" applyNumberFormat="1" applyFont="1" applyBorder="1" applyAlignment="1">
      <alignment vertical="center" shrinkToFit="1"/>
    </xf>
    <xf numFmtId="178" fontId="5" fillId="0" borderId="101" xfId="0" applyNumberFormat="1" applyFont="1" applyBorder="1" applyAlignment="1">
      <alignment vertical="center" shrinkToFit="1"/>
    </xf>
    <xf numFmtId="178" fontId="5" fillId="0" borderId="11" xfId="0" applyNumberFormat="1" applyFont="1" applyBorder="1" applyAlignment="1">
      <alignment vertical="center" shrinkToFit="1"/>
    </xf>
    <xf numFmtId="0" fontId="5" fillId="0" borderId="70" xfId="0" applyFont="1" applyBorder="1" applyAlignment="1">
      <alignment horizontal="left" vertical="center" indent="1" shrinkToFit="1"/>
    </xf>
    <xf numFmtId="0" fontId="16" fillId="0" borderId="73" xfId="0" applyFont="1" applyBorder="1" applyAlignment="1">
      <alignment horizontal="left" vertical="center" indent="1" shrinkToFit="1"/>
    </xf>
    <xf numFmtId="186" fontId="8" fillId="2" borderId="107" xfId="0" applyNumberFormat="1" applyFont="1" applyFill="1" applyBorder="1" applyAlignment="1">
      <alignment horizontal="right" vertical="center" shrinkToFit="1"/>
    </xf>
    <xf numFmtId="0" fontId="5" fillId="0" borderId="6" xfId="0" applyFont="1" applyBorder="1" applyAlignment="1">
      <alignment horizontal="left" vertical="center"/>
    </xf>
    <xf numFmtId="0" fontId="5" fillId="0" borderId="29" xfId="0" applyFont="1" applyBorder="1" applyAlignment="1">
      <alignment horizontal="left" vertical="center"/>
    </xf>
    <xf numFmtId="0" fontId="5" fillId="0" borderId="29" xfId="0" applyFont="1" applyBorder="1" applyAlignment="1">
      <alignment vertical="center" shrinkToFit="1"/>
    </xf>
    <xf numFmtId="0" fontId="8" fillId="18" borderId="5" xfId="0" applyFont="1" applyFill="1" applyBorder="1" applyAlignment="1">
      <alignment horizontal="center" vertical="center" wrapText="1"/>
    </xf>
    <xf numFmtId="0" fontId="32" fillId="15" borderId="0" xfId="0" applyFont="1" applyFill="1">
      <alignment vertical="center"/>
    </xf>
    <xf numFmtId="176" fontId="5" fillId="0" borderId="10" xfId="0" applyNumberFormat="1" applyFont="1" applyBorder="1" applyAlignment="1">
      <alignment horizontal="right" vertical="center"/>
    </xf>
    <xf numFmtId="176" fontId="5" fillId="0" borderId="10" xfId="0" applyNumberFormat="1" applyFont="1" applyBorder="1">
      <alignment vertical="center"/>
    </xf>
    <xf numFmtId="0" fontId="17" fillId="6" borderId="0" xfId="0" applyFont="1" applyFill="1">
      <alignment vertical="center"/>
    </xf>
    <xf numFmtId="177" fontId="5" fillId="0" borderId="29" xfId="0" applyNumberFormat="1" applyFont="1" applyBorder="1" applyAlignment="1">
      <alignment horizontal="right" vertical="center"/>
    </xf>
    <xf numFmtId="0" fontId="8" fillId="18" borderId="6" xfId="0" applyFont="1" applyFill="1" applyBorder="1" applyAlignment="1">
      <alignment horizontal="left" vertical="center" indent="1"/>
    </xf>
    <xf numFmtId="0" fontId="8" fillId="18" borderId="29" xfId="0" applyFont="1" applyFill="1" applyBorder="1" applyAlignment="1">
      <alignment horizontal="left" vertical="center" indent="1"/>
    </xf>
    <xf numFmtId="0" fontId="8" fillId="22" borderId="5" xfId="0" applyFont="1" applyFill="1" applyBorder="1" applyAlignment="1">
      <alignment horizontal="center" vertical="center" wrapText="1"/>
    </xf>
    <xf numFmtId="0" fontId="8" fillId="22" borderId="6" xfId="0" applyFont="1" applyFill="1" applyBorder="1" applyAlignment="1">
      <alignment horizontal="left" vertical="center" indent="1"/>
    </xf>
    <xf numFmtId="0" fontId="8" fillId="22" borderId="29" xfId="0" applyFont="1" applyFill="1" applyBorder="1" applyAlignment="1">
      <alignment horizontal="left" vertical="center" indent="1"/>
    </xf>
    <xf numFmtId="0" fontId="10" fillId="0" borderId="5" xfId="0" applyFont="1" applyBorder="1" applyAlignment="1">
      <alignment horizontal="center" vertical="center"/>
    </xf>
    <xf numFmtId="186" fontId="5" fillId="20" borderId="7" xfId="0" applyNumberFormat="1" applyFont="1" applyFill="1" applyBorder="1" applyAlignment="1">
      <alignment vertical="center" shrinkToFit="1"/>
    </xf>
    <xf numFmtId="186" fontId="8" fillId="2" borderId="106" xfId="0" applyNumberFormat="1" applyFont="1" applyFill="1" applyBorder="1" applyAlignment="1">
      <alignment horizontal="right" vertical="center" shrinkToFit="1"/>
    </xf>
    <xf numFmtId="186" fontId="5" fillId="0" borderId="107" xfId="0" applyNumberFormat="1" applyFont="1" applyBorder="1">
      <alignment vertical="center"/>
    </xf>
    <xf numFmtId="186" fontId="5" fillId="0" borderId="5" xfId="0" applyNumberFormat="1" applyFont="1" applyBorder="1">
      <alignment vertical="center"/>
    </xf>
    <xf numFmtId="187" fontId="5" fillId="0" borderId="10" xfId="0" applyNumberFormat="1" applyFont="1" applyBorder="1">
      <alignment vertical="center"/>
    </xf>
    <xf numFmtId="186" fontId="5" fillId="0" borderId="10" xfId="1" applyNumberFormat="1" applyFont="1" applyBorder="1" applyAlignment="1">
      <alignment horizontal="right" vertical="center"/>
    </xf>
    <xf numFmtId="186" fontId="5" fillId="0" borderId="11" xfId="1" applyNumberFormat="1" applyFont="1" applyBorder="1" applyAlignment="1">
      <alignment horizontal="right" vertical="center"/>
    </xf>
    <xf numFmtId="186" fontId="5" fillId="0" borderId="12" xfId="1" applyNumberFormat="1" applyFont="1" applyBorder="1" applyAlignment="1">
      <alignment horizontal="right" vertical="center"/>
    </xf>
    <xf numFmtId="186" fontId="5" fillId="0" borderId="103" xfId="0" applyNumberFormat="1" applyFont="1" applyBorder="1">
      <alignment vertical="center"/>
    </xf>
    <xf numFmtId="0" fontId="26" fillId="0" borderId="5" xfId="0" applyFont="1" applyBorder="1" applyAlignment="1">
      <alignment horizontal="center" vertical="center"/>
    </xf>
    <xf numFmtId="0" fontId="10" fillId="0" borderId="5" xfId="0" applyFont="1" applyBorder="1">
      <alignment vertical="center"/>
    </xf>
    <xf numFmtId="0" fontId="10" fillId="0" borderId="5" xfId="0" applyFont="1" applyBorder="1" applyAlignment="1">
      <alignment horizontal="center" vertical="center" shrinkToFit="1"/>
    </xf>
    <xf numFmtId="186" fontId="5" fillId="20" borderId="29" xfId="0" applyNumberFormat="1" applyFont="1" applyFill="1" applyBorder="1" applyAlignment="1">
      <alignment vertical="center" shrinkToFit="1"/>
    </xf>
    <xf numFmtId="188" fontId="5" fillId="0" borderId="0" xfId="0" applyNumberFormat="1" applyFont="1" applyAlignment="1">
      <alignment vertical="center" shrinkToFit="1"/>
    </xf>
    <xf numFmtId="186" fontId="5" fillId="0" borderId="111" xfId="0" applyNumberFormat="1" applyFont="1" applyBorder="1">
      <alignment vertical="center"/>
    </xf>
    <xf numFmtId="0" fontId="9" fillId="0" borderId="5" xfId="0" applyFont="1" applyBorder="1" applyAlignment="1">
      <alignment horizontal="center" vertical="center"/>
    </xf>
    <xf numFmtId="0" fontId="10" fillId="0" borderId="103" xfId="0" applyFont="1" applyBorder="1" applyAlignment="1">
      <alignment horizontal="center" vertical="center" shrinkToFit="1"/>
    </xf>
    <xf numFmtId="0" fontId="9" fillId="0" borderId="5" xfId="0" applyFont="1" applyBorder="1" applyAlignment="1">
      <alignment vertical="center" shrinkToFit="1"/>
    </xf>
    <xf numFmtId="0" fontId="9" fillId="0" borderId="107" xfId="0" applyFont="1" applyBorder="1" applyAlignment="1">
      <alignment vertical="center" shrinkToFit="1"/>
    </xf>
    <xf numFmtId="186" fontId="9" fillId="0" borderId="107" xfId="0" applyNumberFormat="1" applyFont="1" applyBorder="1" applyAlignment="1">
      <alignment vertical="center" shrinkToFit="1"/>
    </xf>
    <xf numFmtId="9" fontId="9" fillId="0" borderId="107" xfId="0" applyNumberFormat="1" applyFont="1" applyBorder="1" applyAlignment="1">
      <alignment horizontal="center" vertical="center" shrinkToFit="1"/>
    </xf>
    <xf numFmtId="0" fontId="9" fillId="0" borderId="5" xfId="0" applyFont="1" applyBorder="1" applyAlignment="1">
      <alignment horizontal="left" vertical="center" shrinkToFit="1"/>
    </xf>
    <xf numFmtId="186" fontId="9" fillId="0" borderId="5" xfId="0" applyNumberFormat="1" applyFont="1" applyBorder="1" applyAlignment="1">
      <alignment vertical="center" shrinkToFit="1"/>
    </xf>
    <xf numFmtId="9" fontId="9" fillId="0" borderId="5" xfId="0" applyNumberFormat="1" applyFont="1" applyBorder="1" applyAlignment="1">
      <alignment horizontal="center" vertical="center" shrinkToFit="1"/>
    </xf>
    <xf numFmtId="0" fontId="9" fillId="0" borderId="5" xfId="0" applyFont="1" applyBorder="1" applyAlignment="1">
      <alignment horizontal="left" vertical="center" wrapText="1" shrinkToFit="1"/>
    </xf>
    <xf numFmtId="0" fontId="9" fillId="0" borderId="103" xfId="0" applyFont="1" applyBorder="1" applyAlignment="1">
      <alignment vertical="center" shrinkToFit="1"/>
    </xf>
    <xf numFmtId="186" fontId="9" fillId="0" borderId="103" xfId="0" applyNumberFormat="1" applyFont="1" applyBorder="1" applyAlignment="1">
      <alignment vertical="center" shrinkToFit="1"/>
    </xf>
    <xf numFmtId="9" fontId="9" fillId="0" borderId="103" xfId="0" applyNumberFormat="1" applyFont="1" applyBorder="1" applyAlignment="1">
      <alignment horizontal="center" vertical="center" shrinkToFit="1"/>
    </xf>
    <xf numFmtId="186" fontId="5" fillId="21" borderId="7" xfId="0" applyNumberFormat="1" applyFont="1" applyFill="1" applyBorder="1" applyAlignment="1">
      <alignment vertical="center" shrinkToFit="1"/>
    </xf>
    <xf numFmtId="186" fontId="8" fillId="22" borderId="106" xfId="0" applyNumberFormat="1" applyFont="1" applyFill="1" applyBorder="1" applyAlignment="1">
      <alignment horizontal="right" vertical="center" shrinkToFit="1"/>
    </xf>
    <xf numFmtId="0" fontId="10" fillId="0" borderId="29" xfId="0" applyFont="1" applyBorder="1" applyAlignment="1">
      <alignment vertical="center" shrinkToFit="1"/>
    </xf>
    <xf numFmtId="9" fontId="9" fillId="0" borderId="107" xfId="0" applyNumberFormat="1" applyFont="1" applyBorder="1" applyAlignment="1">
      <alignment vertical="center" shrinkToFit="1"/>
    </xf>
    <xf numFmtId="0" fontId="10" fillId="0" borderId="5" xfId="0" applyFont="1" applyBorder="1" applyAlignment="1">
      <alignment vertical="center" shrinkToFit="1"/>
    </xf>
    <xf numFmtId="187" fontId="5" fillId="0" borderId="75" xfId="0" applyNumberFormat="1" applyFont="1" applyBorder="1">
      <alignment vertical="center"/>
    </xf>
    <xf numFmtId="187" fontId="5" fillId="0" borderId="76" xfId="0" applyNumberFormat="1" applyFont="1" applyBorder="1">
      <alignment vertical="center"/>
    </xf>
    <xf numFmtId="187" fontId="5" fillId="0" borderId="115" xfId="0" applyNumberFormat="1" applyFont="1" applyBorder="1">
      <alignment vertical="center"/>
    </xf>
    <xf numFmtId="187" fontId="5" fillId="0" borderId="11" xfId="0" applyNumberFormat="1" applyFont="1" applyBorder="1">
      <alignment vertical="center"/>
    </xf>
    <xf numFmtId="187" fontId="5" fillId="0" borderId="12" xfId="0" applyNumberFormat="1" applyFont="1" applyBorder="1">
      <alignment vertical="center"/>
    </xf>
    <xf numFmtId="186" fontId="5" fillId="21" borderId="107" xfId="0" applyNumberFormat="1" applyFont="1" applyFill="1" applyBorder="1">
      <alignment vertical="center"/>
    </xf>
    <xf numFmtId="186" fontId="5" fillId="21" borderId="107" xfId="1" applyNumberFormat="1" applyFont="1" applyFill="1" applyBorder="1" applyAlignment="1">
      <alignment horizontal="right" vertical="center"/>
    </xf>
    <xf numFmtId="0" fontId="11" fillId="3" borderId="144" xfId="0" applyFont="1" applyFill="1" applyBorder="1" applyAlignment="1">
      <alignment horizontal="left" vertical="center"/>
    </xf>
    <xf numFmtId="0" fontId="21" fillId="3" borderId="85" xfId="0" applyFont="1" applyFill="1" applyBorder="1" applyAlignment="1">
      <alignment horizontal="left" vertical="center"/>
    </xf>
    <xf numFmtId="0" fontId="5" fillId="0" borderId="0" xfId="0" applyFont="1">
      <alignment vertical="center"/>
    </xf>
    <xf numFmtId="0" fontId="7" fillId="0" borderId="0" xfId="0" applyFont="1">
      <alignment vertical="center"/>
    </xf>
    <xf numFmtId="0" fontId="11" fillId="3" borderId="0" xfId="0" applyFont="1" applyFill="1" applyAlignment="1">
      <alignment horizontal="left" vertical="center"/>
    </xf>
    <xf numFmtId="0" fontId="21" fillId="15" borderId="86" xfId="0" applyFont="1" applyFill="1" applyBorder="1" applyAlignment="1">
      <alignment horizontal="center" vertical="center"/>
    </xf>
    <xf numFmtId="0" fontId="21" fillId="15" borderId="102" xfId="0" applyFont="1" applyFill="1" applyBorder="1" applyAlignment="1">
      <alignment horizontal="center" vertical="center"/>
    </xf>
    <xf numFmtId="0" fontId="21" fillId="15" borderId="97" xfId="0" applyFont="1" applyFill="1" applyBorder="1" applyAlignment="1">
      <alignment horizontal="center" vertical="center"/>
    </xf>
    <xf numFmtId="0" fontId="5" fillId="0" borderId="0" xfId="0" applyFont="1" applyProtection="1">
      <alignment vertical="center"/>
      <protection locked="0"/>
    </xf>
    <xf numFmtId="10" fontId="9" fillId="0" borderId="0" xfId="0" applyNumberFormat="1" applyFont="1" applyAlignment="1" applyProtection="1">
      <alignment horizontal="right" vertical="center" indent="1"/>
      <protection locked="0"/>
    </xf>
    <xf numFmtId="0" fontId="9" fillId="0" borderId="0" xfId="0" applyFont="1" applyAlignment="1" applyProtection="1">
      <alignment horizontal="left" vertical="center"/>
      <protection locked="0"/>
    </xf>
    <xf numFmtId="176" fontId="17" fillId="0" borderId="0" xfId="0" applyNumberFormat="1" applyFont="1" applyProtection="1">
      <alignment vertical="center"/>
      <protection locked="0"/>
    </xf>
    <xf numFmtId="0" fontId="11" fillId="3" borderId="0" xfId="0" applyFont="1" applyFill="1" applyAlignment="1" applyProtection="1">
      <alignment horizontal="left" vertical="center" shrinkToFit="1"/>
      <protection locked="0"/>
    </xf>
    <xf numFmtId="0" fontId="9" fillId="0" borderId="0" xfId="0" applyFont="1" applyProtection="1">
      <alignment vertical="center"/>
      <protection locked="0"/>
    </xf>
    <xf numFmtId="0" fontId="11" fillId="0" borderId="0" xfId="0" applyFont="1">
      <alignment vertical="center"/>
    </xf>
    <xf numFmtId="176" fontId="17" fillId="6" borderId="83" xfId="0" applyNumberFormat="1" applyFont="1" applyFill="1" applyBorder="1">
      <alignment vertical="center"/>
    </xf>
    <xf numFmtId="0" fontId="11" fillId="3" borderId="86" xfId="0" applyFont="1" applyFill="1" applyBorder="1" applyAlignment="1">
      <alignment horizontal="left" vertical="center"/>
    </xf>
    <xf numFmtId="176" fontId="17" fillId="0" borderId="83" xfId="0" applyNumberFormat="1" applyFont="1" applyBorder="1">
      <alignment vertical="center"/>
    </xf>
    <xf numFmtId="0" fontId="11" fillId="3" borderId="81" xfId="0" applyFont="1" applyFill="1" applyBorder="1" applyAlignment="1">
      <alignment horizontal="left" vertical="center"/>
    </xf>
    <xf numFmtId="176" fontId="17" fillId="6" borderId="54" xfId="0" applyNumberFormat="1" applyFont="1" applyFill="1" applyBorder="1">
      <alignment vertical="center"/>
    </xf>
    <xf numFmtId="0" fontId="21" fillId="15" borderId="145" xfId="0" applyFont="1" applyFill="1" applyBorder="1" applyAlignment="1">
      <alignment horizontal="center" vertical="center"/>
    </xf>
    <xf numFmtId="0" fontId="21" fillId="3" borderId="146" xfId="0" applyFont="1" applyFill="1" applyBorder="1" applyAlignment="1">
      <alignment horizontal="left" vertical="center"/>
    </xf>
    <xf numFmtId="0" fontId="11" fillId="3" borderId="0" xfId="0" applyFont="1" applyFill="1" applyBorder="1" applyAlignment="1" applyProtection="1">
      <alignment horizontal="left" vertical="center"/>
      <protection locked="0"/>
    </xf>
    <xf numFmtId="176" fontId="21" fillId="14" borderId="143" xfId="0" applyNumberFormat="1" applyFont="1" applyFill="1" applyBorder="1" applyAlignment="1">
      <alignment vertical="center" shrinkToFit="1"/>
    </xf>
    <xf numFmtId="0" fontId="21" fillId="15" borderId="142" xfId="0" applyFont="1" applyFill="1" applyBorder="1" applyAlignment="1">
      <alignment horizontal="left" vertical="center"/>
    </xf>
    <xf numFmtId="176" fontId="11" fillId="6" borderId="141" xfId="0" applyNumberFormat="1" applyFont="1" applyFill="1" applyBorder="1">
      <alignment vertical="center"/>
    </xf>
    <xf numFmtId="181" fontId="5" fillId="6" borderId="83" xfId="0" applyNumberFormat="1" applyFont="1" applyFill="1" applyBorder="1" applyAlignment="1">
      <alignment vertical="center"/>
    </xf>
    <xf numFmtId="176" fontId="11" fillId="0" borderId="86" xfId="0" applyNumberFormat="1" applyFont="1" applyBorder="1">
      <alignment vertical="center"/>
    </xf>
    <xf numFmtId="181" fontId="5" fillId="0" borderId="83" xfId="0" applyNumberFormat="1" applyFont="1" applyBorder="1" applyAlignment="1">
      <alignment vertical="center"/>
    </xf>
    <xf numFmtId="176" fontId="11" fillId="6" borderId="86" xfId="0" applyNumberFormat="1" applyFont="1" applyFill="1" applyBorder="1">
      <alignment vertical="center"/>
    </xf>
    <xf numFmtId="0" fontId="11" fillId="0" borderId="86" xfId="0" applyFont="1" applyBorder="1">
      <alignment vertical="center"/>
    </xf>
    <xf numFmtId="0" fontId="11" fillId="6" borderId="86" xfId="0" applyFont="1" applyFill="1" applyBorder="1">
      <alignment vertical="center"/>
    </xf>
    <xf numFmtId="176" fontId="11" fillId="0" borderId="81" xfId="0" applyNumberFormat="1" applyFont="1" applyBorder="1">
      <alignment vertical="center"/>
    </xf>
    <xf numFmtId="176" fontId="5" fillId="0" borderId="83" xfId="0" applyNumberFormat="1" applyFont="1" applyBorder="1" applyAlignment="1">
      <alignment vertical="center"/>
    </xf>
    <xf numFmtId="176" fontId="5" fillId="6" borderId="83" xfId="0" applyNumberFormat="1" applyFont="1" applyFill="1" applyBorder="1" applyAlignment="1">
      <alignment vertical="center"/>
    </xf>
    <xf numFmtId="176" fontId="11" fillId="6" borderId="144" xfId="0" applyNumberFormat="1" applyFont="1" applyFill="1" applyBorder="1">
      <alignment vertical="center"/>
    </xf>
    <xf numFmtId="0" fontId="21" fillId="15" borderId="102" xfId="0" applyFont="1" applyFill="1" applyBorder="1" applyAlignment="1">
      <alignment horizontal="left" vertical="center"/>
    </xf>
    <xf numFmtId="176" fontId="21" fillId="15" borderId="86" xfId="0" applyNumberFormat="1" applyFont="1" applyFill="1" applyBorder="1" applyAlignment="1">
      <alignment horizontal="center" vertical="center"/>
    </xf>
    <xf numFmtId="176" fontId="21" fillId="14" borderId="146" xfId="0" applyNumberFormat="1" applyFont="1" applyFill="1" applyBorder="1" applyAlignment="1">
      <alignment vertical="center" shrinkToFit="1"/>
    </xf>
    <xf numFmtId="0" fontId="21" fillId="15" borderId="142" xfId="0" applyFont="1" applyFill="1" applyBorder="1" applyAlignment="1">
      <alignment horizontal="center" vertical="center"/>
    </xf>
    <xf numFmtId="0" fontId="11" fillId="6" borderId="141" xfId="0" applyFont="1" applyFill="1" applyBorder="1">
      <alignment vertical="center"/>
    </xf>
    <xf numFmtId="0" fontId="11" fillId="6" borderId="144" xfId="0" applyFont="1" applyFill="1" applyBorder="1">
      <alignment vertical="center"/>
    </xf>
    <xf numFmtId="0" fontId="21" fillId="15" borderId="143" xfId="0" applyFont="1" applyFill="1" applyBorder="1" applyAlignment="1">
      <alignment horizontal="center" vertical="center"/>
    </xf>
    <xf numFmtId="0" fontId="5" fillId="6" borderId="83" xfId="0" applyFont="1" applyFill="1" applyBorder="1">
      <alignment vertical="center"/>
    </xf>
    <xf numFmtId="0" fontId="5" fillId="0" borderId="148" xfId="0" applyFont="1" applyBorder="1">
      <alignment vertical="center"/>
    </xf>
    <xf numFmtId="0" fontId="5" fillId="6" borderId="148" xfId="0" applyFont="1" applyFill="1" applyBorder="1">
      <alignment vertical="center"/>
    </xf>
    <xf numFmtId="0" fontId="5" fillId="0" borderId="147" xfId="0" applyFont="1" applyBorder="1">
      <alignment vertical="center"/>
    </xf>
    <xf numFmtId="0" fontId="11" fillId="0" borderId="149" xfId="0" applyFont="1" applyBorder="1">
      <alignment vertical="center"/>
    </xf>
    <xf numFmtId="0" fontId="11" fillId="6" borderId="149" xfId="0" applyFont="1" applyFill="1" applyBorder="1">
      <alignment vertical="center"/>
    </xf>
    <xf numFmtId="0" fontId="11" fillId="0" borderId="150" xfId="0" applyFont="1" applyBorder="1">
      <alignment vertical="center"/>
    </xf>
    <xf numFmtId="0" fontId="11" fillId="3" borderId="141" xfId="0" applyFont="1" applyFill="1" applyBorder="1" applyAlignment="1">
      <alignment horizontal="left" vertical="center"/>
    </xf>
    <xf numFmtId="0" fontId="21" fillId="15" borderId="102" xfId="0" applyFont="1" applyFill="1" applyBorder="1" applyAlignment="1">
      <alignment horizontal="center" vertical="center" shrinkToFit="1"/>
    </xf>
    <xf numFmtId="0" fontId="13" fillId="0" borderId="0" xfId="0" applyFont="1" applyBorder="1" applyAlignment="1"/>
    <xf numFmtId="0" fontId="21" fillId="15" borderId="151" xfId="0" applyFont="1" applyFill="1" applyBorder="1" applyAlignment="1">
      <alignment horizontal="center" vertical="center"/>
    </xf>
    <xf numFmtId="0" fontId="21" fillId="15" borderId="86" xfId="0" applyFont="1" applyFill="1" applyBorder="1">
      <alignment vertical="center"/>
    </xf>
    <xf numFmtId="176" fontId="17" fillId="6" borderId="152" xfId="0" applyNumberFormat="1" applyFont="1" applyFill="1" applyBorder="1">
      <alignment vertical="center"/>
    </xf>
    <xf numFmtId="0" fontId="10" fillId="6" borderId="149" xfId="0" applyFont="1" applyFill="1" applyBorder="1" applyAlignment="1">
      <alignment horizontal="center" vertical="center" wrapText="1"/>
    </xf>
    <xf numFmtId="176" fontId="17" fillId="0" borderId="152" xfId="0" applyNumberFormat="1" applyFont="1" applyBorder="1">
      <alignment vertical="center"/>
    </xf>
    <xf numFmtId="10" fontId="9" fillId="0" borderId="149" xfId="0" applyNumberFormat="1" applyFont="1" applyBorder="1" applyAlignment="1">
      <alignment horizontal="right" vertical="center" indent="1"/>
    </xf>
    <xf numFmtId="10" fontId="9" fillId="6" borderId="149" xfId="0" applyNumberFormat="1" applyFont="1" applyFill="1" applyBorder="1" applyAlignment="1">
      <alignment horizontal="right" vertical="center" indent="1"/>
    </xf>
    <xf numFmtId="176" fontId="17" fillId="6" borderId="84" xfId="0" applyNumberFormat="1" applyFont="1" applyFill="1" applyBorder="1">
      <alignment vertical="center"/>
    </xf>
    <xf numFmtId="10" fontId="9" fillId="6" borderId="150" xfId="0" applyNumberFormat="1" applyFont="1" applyFill="1" applyBorder="1" applyAlignment="1">
      <alignment horizontal="right" vertical="center" indent="1"/>
    </xf>
    <xf numFmtId="0" fontId="8" fillId="12" borderId="0" xfId="0" applyFont="1" applyFill="1" applyBorder="1" applyAlignment="1">
      <alignment horizontal="center" vertical="center" shrinkToFit="1"/>
    </xf>
    <xf numFmtId="180" fontId="5" fillId="0" borderId="0" xfId="1" applyNumberFormat="1" applyFont="1" applyBorder="1" applyAlignment="1">
      <alignment horizontal="right" vertical="center" shrinkToFit="1"/>
    </xf>
    <xf numFmtId="177" fontId="8" fillId="0" borderId="0" xfId="1" applyNumberFormat="1" applyFont="1" applyBorder="1" applyAlignment="1">
      <alignment horizontal="right" vertical="center" shrinkToFit="1"/>
    </xf>
    <xf numFmtId="177" fontId="8" fillId="12" borderId="0" xfId="1" applyNumberFormat="1" applyFont="1" applyFill="1" applyBorder="1" applyAlignment="1">
      <alignment vertical="center" shrinkToFit="1"/>
    </xf>
    <xf numFmtId="0" fontId="5" fillId="0" borderId="153" xfId="0" applyFont="1" applyBorder="1">
      <alignment vertical="center"/>
    </xf>
    <xf numFmtId="3" fontId="5" fillId="0" borderId="84" xfId="0" applyNumberFormat="1" applyFont="1" applyBorder="1">
      <alignment vertical="center"/>
    </xf>
    <xf numFmtId="177" fontId="5" fillId="0" borderId="0" xfId="1" applyNumberFormat="1" applyFont="1" applyBorder="1" applyAlignment="1">
      <alignment horizontal="right" vertical="center" shrinkToFit="1"/>
    </xf>
    <xf numFmtId="177" fontId="5" fillId="0" borderId="0" xfId="1" applyNumberFormat="1" applyFont="1" applyFill="1" applyBorder="1" applyAlignment="1">
      <alignment horizontal="right" vertical="center" shrinkToFit="1"/>
    </xf>
    <xf numFmtId="177" fontId="8" fillId="12" borderId="0" xfId="0" applyNumberFormat="1" applyFont="1" applyFill="1" applyBorder="1" applyAlignment="1">
      <alignment vertical="center" shrinkToFit="1"/>
    </xf>
    <xf numFmtId="177" fontId="5" fillId="0" borderId="0" xfId="0" applyNumberFormat="1" applyFont="1" applyBorder="1" applyAlignment="1">
      <alignment horizontal="right" vertical="center" shrinkToFit="1"/>
    </xf>
    <xf numFmtId="0" fontId="14" fillId="5" borderId="42" xfId="0" applyFont="1" applyFill="1" applyBorder="1" applyAlignment="1">
      <alignment horizontal="center" vertical="center" shrinkToFit="1"/>
    </xf>
    <xf numFmtId="0" fontId="15" fillId="4" borderId="8" xfId="0" applyFont="1" applyFill="1" applyBorder="1" applyAlignment="1">
      <alignment horizontal="center" vertical="center"/>
    </xf>
    <xf numFmtId="20" fontId="15" fillId="4" borderId="6" xfId="0" applyNumberFormat="1" applyFont="1" applyFill="1" applyBorder="1" applyAlignment="1">
      <alignment horizontal="center" vertical="center"/>
    </xf>
    <xf numFmtId="20" fontId="15" fillId="4" borderId="7" xfId="0" applyNumberFormat="1" applyFont="1" applyFill="1" applyBorder="1" applyAlignment="1">
      <alignment horizontal="center" vertical="center"/>
    </xf>
    <xf numFmtId="0" fontId="16" fillId="0" borderId="24" xfId="0" applyFont="1" applyBorder="1" applyAlignment="1">
      <alignment horizontal="right" vertical="center"/>
    </xf>
    <xf numFmtId="0" fontId="16" fillId="0" borderId="79" xfId="0" applyFont="1" applyBorder="1" applyAlignment="1">
      <alignment horizontal="right" vertical="center"/>
    </xf>
    <xf numFmtId="0" fontId="16" fillId="0" borderId="80" xfId="0" applyFont="1" applyBorder="1" applyAlignment="1">
      <alignment horizontal="right" vertical="center"/>
    </xf>
    <xf numFmtId="176" fontId="5" fillId="4" borderId="26" xfId="0" applyNumberFormat="1" applyFont="1" applyFill="1" applyBorder="1" applyAlignment="1">
      <alignment horizontal="center" vertical="center" shrinkToFit="1"/>
    </xf>
    <xf numFmtId="176" fontId="5" fillId="4" borderId="28" xfId="0" applyNumberFormat="1" applyFont="1" applyFill="1" applyBorder="1" applyAlignment="1">
      <alignment horizontal="center" vertical="center" shrinkToFit="1"/>
    </xf>
    <xf numFmtId="176" fontId="5" fillId="4" borderId="27" xfId="0" applyNumberFormat="1" applyFont="1" applyFill="1" applyBorder="1" applyAlignment="1">
      <alignment horizontal="center" vertical="center" shrinkToFit="1"/>
    </xf>
    <xf numFmtId="176" fontId="8" fillId="4" borderId="26" xfId="0" applyNumberFormat="1" applyFont="1" applyFill="1" applyBorder="1" applyAlignment="1">
      <alignment horizontal="center" vertical="center" shrinkToFit="1"/>
    </xf>
    <xf numFmtId="176" fontId="8" fillId="4" borderId="28" xfId="0" applyNumberFormat="1" applyFont="1" applyFill="1" applyBorder="1" applyAlignment="1">
      <alignment horizontal="center" vertical="center" shrinkToFit="1"/>
    </xf>
    <xf numFmtId="176" fontId="8" fillId="4" borderId="27" xfId="0" applyNumberFormat="1" applyFont="1" applyFill="1" applyBorder="1" applyAlignment="1">
      <alignment horizontal="center" vertical="center" shrinkToFit="1"/>
    </xf>
    <xf numFmtId="0" fontId="15" fillId="4" borderId="26" xfId="0" applyFont="1" applyFill="1" applyBorder="1" applyAlignment="1">
      <alignment horizontal="center" vertical="center"/>
    </xf>
    <xf numFmtId="0" fontId="16" fillId="0" borderId="24" xfId="0" applyFont="1" applyBorder="1" applyAlignment="1">
      <alignment horizontal="left" vertical="center"/>
    </xf>
    <xf numFmtId="0" fontId="11" fillId="3" borderId="146" xfId="0" applyFont="1" applyFill="1" applyBorder="1" applyAlignment="1">
      <alignment horizontal="left" vertical="center"/>
    </xf>
    <xf numFmtId="0" fontId="11" fillId="3" borderId="0" xfId="0" applyFont="1" applyFill="1" applyAlignment="1">
      <alignment horizontal="right" vertical="center" wrapText="1"/>
    </xf>
    <xf numFmtId="0" fontId="15" fillId="4" borderId="0" xfId="0" applyFont="1" applyFill="1" applyBorder="1" applyAlignment="1">
      <alignment horizontal="center" vertical="center"/>
    </xf>
    <xf numFmtId="0" fontId="15" fillId="4" borderId="0" xfId="0" applyFont="1" applyFill="1" applyBorder="1" applyAlignment="1">
      <alignment horizontal="center" vertical="center" wrapText="1"/>
    </xf>
    <xf numFmtId="177" fontId="8" fillId="4" borderId="0" xfId="0" applyNumberFormat="1" applyFont="1" applyFill="1" applyBorder="1" applyAlignment="1">
      <alignment horizontal="right" vertical="center" shrinkToFit="1"/>
    </xf>
    <xf numFmtId="176" fontId="5" fillId="4" borderId="0" xfId="0" applyNumberFormat="1" applyFont="1" applyFill="1" applyBorder="1" applyAlignment="1">
      <alignment horizontal="center" vertical="center" wrapText="1"/>
    </xf>
    <xf numFmtId="176" fontId="8" fillId="4" borderId="0" xfId="0" applyNumberFormat="1" applyFont="1" applyFill="1" applyBorder="1" applyAlignment="1">
      <alignment horizontal="center" vertical="center"/>
    </xf>
    <xf numFmtId="0" fontId="16" fillId="8" borderId="0" xfId="0" applyFont="1" applyFill="1" applyBorder="1" applyAlignment="1">
      <alignment horizontal="right" vertical="center"/>
    </xf>
    <xf numFmtId="176" fontId="5" fillId="4" borderId="0" xfId="0" applyNumberFormat="1" applyFont="1" applyFill="1" applyBorder="1" applyAlignment="1">
      <alignment horizontal="center" vertical="center"/>
    </xf>
    <xf numFmtId="0" fontId="11" fillId="3" borderId="0" xfId="0" applyFont="1" applyFill="1" applyBorder="1" applyAlignment="1">
      <alignment horizontal="right" vertical="center"/>
    </xf>
    <xf numFmtId="0" fontId="11" fillId="3" borderId="0" xfId="0" applyFont="1" applyFill="1" applyBorder="1" applyAlignment="1">
      <alignment horizontal="center" vertical="center" wrapText="1"/>
    </xf>
    <xf numFmtId="0" fontId="8" fillId="4" borderId="0" xfId="0" applyFont="1" applyFill="1" applyBorder="1" applyAlignment="1">
      <alignment horizontal="center" vertical="center" shrinkToFit="1"/>
    </xf>
    <xf numFmtId="0" fontId="14" fillId="4" borderId="0" xfId="0" applyFont="1" applyFill="1" applyBorder="1" applyAlignment="1">
      <alignment horizontal="center" vertical="center" shrinkToFit="1"/>
    </xf>
    <xf numFmtId="177" fontId="8" fillId="9" borderId="0" xfId="0" applyNumberFormat="1" applyFont="1" applyFill="1" applyBorder="1" applyAlignment="1">
      <alignment horizontal="right" vertical="center" shrinkToFit="1"/>
    </xf>
    <xf numFmtId="0" fontId="14" fillId="4" borderId="0" xfId="0" applyFont="1" applyFill="1" applyBorder="1" applyAlignment="1">
      <alignment horizontal="center" vertical="center"/>
    </xf>
    <xf numFmtId="0" fontId="21" fillId="5" borderId="146" xfId="0" applyFont="1" applyFill="1" applyBorder="1" applyAlignment="1">
      <alignment horizontal="left" vertical="center" shrinkToFit="1"/>
    </xf>
    <xf numFmtId="0" fontId="21" fillId="5" borderId="85" xfId="0" applyFont="1" applyFill="1" applyBorder="1" applyAlignment="1">
      <alignment horizontal="left" vertical="center" shrinkToFit="1"/>
    </xf>
    <xf numFmtId="176" fontId="11" fillId="0" borderId="146" xfId="0" applyNumberFormat="1" applyFont="1" applyBorder="1">
      <alignment vertical="center"/>
    </xf>
    <xf numFmtId="0" fontId="21" fillId="15" borderId="146" xfId="0" applyFont="1" applyFill="1" applyBorder="1" applyAlignment="1">
      <alignment horizontal="center" vertical="center"/>
    </xf>
    <xf numFmtId="0" fontId="17" fillId="3" borderId="146" xfId="0" applyFont="1" applyFill="1" applyBorder="1" applyAlignment="1">
      <alignment horizontal="right" vertical="center"/>
    </xf>
    <xf numFmtId="177" fontId="5" fillId="0" borderId="0" xfId="0" applyNumberFormat="1" applyFont="1" applyBorder="1">
      <alignment vertical="center"/>
    </xf>
    <xf numFmtId="0" fontId="21" fillId="15" borderId="0" xfId="0" applyFont="1" applyFill="1" applyBorder="1" applyAlignment="1">
      <alignment horizontal="center" vertical="center"/>
    </xf>
    <xf numFmtId="176" fontId="21" fillId="14" borderId="0" xfId="0" applyNumberFormat="1" applyFont="1" applyFill="1" applyBorder="1" applyAlignment="1">
      <alignment vertical="center" shrinkToFit="1"/>
    </xf>
    <xf numFmtId="182" fontId="5" fillId="6" borderId="0" xfId="0" applyNumberFormat="1" applyFont="1" applyFill="1" applyBorder="1">
      <alignment vertical="center"/>
    </xf>
    <xf numFmtId="182" fontId="5" fillId="0" borderId="0" xfId="0" applyNumberFormat="1" applyFont="1" applyBorder="1">
      <alignment vertical="center"/>
    </xf>
    <xf numFmtId="0" fontId="11" fillId="6" borderId="0" xfId="0" applyFont="1" applyFill="1" applyBorder="1" applyAlignment="1">
      <alignment vertical="center" wrapText="1"/>
    </xf>
    <xf numFmtId="182" fontId="17" fillId="0" borderId="0" xfId="0" applyNumberFormat="1" applyFont="1" applyBorder="1">
      <alignment vertical="center"/>
    </xf>
    <xf numFmtId="182" fontId="17" fillId="6" borderId="0" xfId="0" applyNumberFormat="1" applyFont="1" applyFill="1" applyBorder="1">
      <alignment vertical="center"/>
    </xf>
    <xf numFmtId="0" fontId="21" fillId="15" borderId="0" xfId="0" applyFont="1" applyFill="1" applyBorder="1">
      <alignment vertical="center"/>
    </xf>
    <xf numFmtId="0" fontId="18" fillId="23" borderId="0" xfId="0" applyFont="1" applyFill="1">
      <alignment vertical="center"/>
    </xf>
    <xf numFmtId="0" fontId="6" fillId="23" borderId="0" xfId="0" applyFont="1" applyFill="1">
      <alignment vertical="center"/>
    </xf>
    <xf numFmtId="176" fontId="5" fillId="0" borderId="152" xfId="0" applyNumberFormat="1" applyFont="1" applyBorder="1">
      <alignment vertical="center"/>
    </xf>
    <xf numFmtId="176" fontId="5" fillId="0" borderId="154" xfId="0" applyNumberFormat="1" applyFont="1" applyBorder="1">
      <alignment vertical="center"/>
    </xf>
    <xf numFmtId="0" fontId="11" fillId="3" borderId="0" xfId="0" applyFont="1" applyFill="1" applyBorder="1" applyAlignment="1">
      <alignment horizontal="left" vertical="center" wrapText="1"/>
    </xf>
    <xf numFmtId="0" fontId="32" fillId="8" borderId="155" xfId="0" applyFont="1" applyFill="1" applyBorder="1" applyAlignment="1">
      <alignment horizontal="center" vertical="center"/>
    </xf>
    <xf numFmtId="0" fontId="17" fillId="8" borderId="156" xfId="0" applyFont="1" applyFill="1" applyBorder="1">
      <alignment vertical="center"/>
    </xf>
    <xf numFmtId="0" fontId="32" fillId="8" borderId="146" xfId="0" applyFont="1" applyFill="1" applyBorder="1" applyAlignment="1">
      <alignment horizontal="center" vertical="center"/>
    </xf>
    <xf numFmtId="0" fontId="11" fillId="3" borderId="146" xfId="0" applyFont="1" applyFill="1" applyBorder="1">
      <alignment vertical="center"/>
    </xf>
    <xf numFmtId="0" fontId="20" fillId="15" borderId="86" xfId="0" applyFont="1" applyFill="1" applyBorder="1" applyAlignment="1">
      <alignment horizontal="center" vertical="center"/>
    </xf>
    <xf numFmtId="0" fontId="11" fillId="0" borderId="146" xfId="0" applyFont="1" applyBorder="1">
      <alignment vertical="center"/>
    </xf>
    <xf numFmtId="176" fontId="11" fillId="14" borderId="146" xfId="0" applyNumberFormat="1" applyFont="1" applyFill="1" applyBorder="1" applyAlignment="1">
      <alignment vertical="center" shrinkToFit="1"/>
    </xf>
    <xf numFmtId="0" fontId="32" fillId="15" borderId="146" xfId="0" applyFont="1" applyFill="1" applyBorder="1" applyAlignment="1">
      <alignment horizontal="center" vertical="center"/>
    </xf>
    <xf numFmtId="0" fontId="11" fillId="5" borderId="146" xfId="0" applyFont="1" applyFill="1" applyBorder="1" applyAlignment="1">
      <alignment horizontal="center" vertical="center" shrinkToFit="1"/>
    </xf>
    <xf numFmtId="0" fontId="5" fillId="0" borderId="6" xfId="0" applyFont="1" applyBorder="1" applyAlignment="1">
      <alignment horizontal="left" vertical="center"/>
    </xf>
    <xf numFmtId="0" fontId="17" fillId="0" borderId="0" xfId="0" applyFont="1">
      <alignment vertical="center"/>
    </xf>
    <xf numFmtId="0" fontId="37" fillId="15" borderId="143" xfId="0" applyFont="1" applyFill="1" applyBorder="1">
      <alignment vertical="center"/>
    </xf>
    <xf numFmtId="0" fontId="37" fillId="15" borderId="151" xfId="0" applyFont="1" applyFill="1" applyBorder="1">
      <alignment vertical="center"/>
    </xf>
    <xf numFmtId="0" fontId="37" fillId="15" borderId="30" xfId="0" applyFont="1" applyFill="1" applyBorder="1">
      <alignment vertical="center"/>
    </xf>
    <xf numFmtId="0" fontId="37" fillId="15" borderId="102" xfId="0" applyFont="1" applyFill="1" applyBorder="1">
      <alignment vertical="center"/>
    </xf>
    <xf numFmtId="0" fontId="38" fillId="0" borderId="0" xfId="0" applyFont="1">
      <alignment vertical="center"/>
    </xf>
    <xf numFmtId="0" fontId="17" fillId="6" borderId="152" xfId="0" applyFont="1" applyFill="1" applyBorder="1" applyAlignment="1">
      <alignment vertical="center" shrinkToFit="1"/>
    </xf>
    <xf numFmtId="0" fontId="5" fillId="6" borderId="83" xfId="0" applyFont="1" applyFill="1" applyBorder="1" applyAlignment="1">
      <alignment vertical="center" shrinkToFit="1"/>
    </xf>
    <xf numFmtId="0" fontId="17" fillId="0" borderId="152" xfId="0" applyFont="1" applyBorder="1" applyAlignment="1">
      <alignment vertical="center" shrinkToFit="1"/>
    </xf>
    <xf numFmtId="0" fontId="5" fillId="0" borderId="83" xfId="0" applyFont="1" applyBorder="1" applyAlignment="1">
      <alignment vertical="center" shrinkToFit="1"/>
    </xf>
    <xf numFmtId="0" fontId="5" fillId="6" borderId="144" xfId="0" applyFont="1" applyFill="1" applyBorder="1">
      <alignment vertical="center"/>
    </xf>
    <xf numFmtId="0" fontId="5" fillId="6" borderId="0" xfId="0" applyFont="1" applyFill="1">
      <alignment vertical="center"/>
    </xf>
    <xf numFmtId="0" fontId="5" fillId="6" borderId="145" xfId="0" applyFont="1" applyFill="1" applyBorder="1">
      <alignment vertical="center"/>
    </xf>
    <xf numFmtId="0" fontId="5" fillId="0" borderId="143" xfId="0" applyFont="1" applyBorder="1" applyAlignment="1">
      <alignment vertical="center" shrinkToFit="1"/>
    </xf>
    <xf numFmtId="0" fontId="5" fillId="0" borderId="158" xfId="0" applyFont="1" applyBorder="1" applyAlignment="1">
      <alignment vertical="center" shrinkToFit="1"/>
    </xf>
    <xf numFmtId="0" fontId="5" fillId="0" borderId="152" xfId="0" applyFont="1" applyBorder="1" applyAlignment="1">
      <alignment vertical="center" shrinkToFit="1"/>
    </xf>
    <xf numFmtId="0" fontId="5" fillId="6" borderId="152" xfId="0" applyFont="1" applyFill="1" applyBorder="1" applyAlignment="1">
      <alignment vertical="center" shrinkToFit="1"/>
    </xf>
    <xf numFmtId="177" fontId="5" fillId="0" borderId="29" xfId="1" applyNumberFormat="1" applyFont="1" applyBorder="1" applyAlignment="1">
      <alignment vertical="center" shrinkToFit="1"/>
    </xf>
    <xf numFmtId="0" fontId="11" fillId="8" borderId="0" xfId="0" applyFont="1" applyFill="1">
      <alignment vertical="center"/>
    </xf>
    <xf numFmtId="0" fontId="17" fillId="0" borderId="85" xfId="0" applyFont="1" applyBorder="1">
      <alignment vertical="center"/>
    </xf>
    <xf numFmtId="0" fontId="11" fillId="8" borderId="0" xfId="0" applyFont="1" applyFill="1" applyAlignment="1">
      <alignment vertical="center" wrapText="1"/>
    </xf>
    <xf numFmtId="0" fontId="17" fillId="0" borderId="98" xfId="0" applyFont="1" applyBorder="1">
      <alignment vertical="center"/>
    </xf>
    <xf numFmtId="0" fontId="17" fillId="0" borderId="54" xfId="0" applyFont="1" applyBorder="1">
      <alignment vertical="center"/>
    </xf>
    <xf numFmtId="0" fontId="11" fillId="0" borderId="85" xfId="0" applyFont="1" applyBorder="1" applyAlignment="1">
      <alignment horizontal="right" vertical="center"/>
    </xf>
    <xf numFmtId="0" fontId="39" fillId="0" borderId="0" xfId="0" applyFont="1" applyAlignment="1">
      <alignment vertical="top" wrapText="1"/>
    </xf>
    <xf numFmtId="0" fontId="5" fillId="0" borderId="54" xfId="0" applyFont="1" applyBorder="1" applyAlignment="1">
      <alignment vertical="center" shrinkToFit="1"/>
    </xf>
    <xf numFmtId="0" fontId="5" fillId="0" borderId="98" xfId="0" applyFont="1" applyBorder="1" applyAlignment="1">
      <alignment vertical="center" shrinkToFit="1"/>
    </xf>
    <xf numFmtId="177" fontId="5" fillId="0" borderId="0" xfId="0" applyNumberFormat="1" applyFont="1" applyAlignment="1">
      <alignment horizontal="right" vertical="center"/>
    </xf>
    <xf numFmtId="176" fontId="5" fillId="0" borderId="6" xfId="0" applyNumberFormat="1" applyFont="1" applyBorder="1" applyAlignment="1">
      <alignment horizontal="right" vertical="center" shrinkToFit="1"/>
    </xf>
    <xf numFmtId="176" fontId="5" fillId="0" borderId="6" xfId="0" applyNumberFormat="1" applyFont="1" applyBorder="1" applyAlignment="1">
      <alignment vertical="center" shrinkToFit="1"/>
    </xf>
    <xf numFmtId="0" fontId="5" fillId="0" borderId="159" xfId="0" applyFont="1" applyBorder="1" applyAlignment="1">
      <alignment vertical="center" shrinkToFit="1"/>
    </xf>
    <xf numFmtId="176" fontId="8" fillId="19" borderId="0" xfId="0" applyNumberFormat="1" applyFont="1" applyFill="1" applyAlignment="1">
      <alignment vertical="center" shrinkToFit="1"/>
    </xf>
    <xf numFmtId="177" fontId="8" fillId="18" borderId="0" xfId="0" applyNumberFormat="1" applyFont="1" applyFill="1" applyAlignment="1">
      <alignment horizontal="right" vertical="center" shrinkToFit="1"/>
    </xf>
    <xf numFmtId="0" fontId="11" fillId="3" borderId="85" xfId="0" applyFont="1" applyFill="1" applyBorder="1" applyAlignment="1">
      <alignment horizontal="center" vertical="center"/>
    </xf>
    <xf numFmtId="38" fontId="5" fillId="0" borderId="0" xfId="0" applyNumberFormat="1" applyFont="1" applyAlignment="1">
      <alignment vertical="center" wrapText="1"/>
    </xf>
    <xf numFmtId="0" fontId="16" fillId="0" borderId="6" xfId="0" applyFont="1" applyBorder="1" applyAlignment="1">
      <alignment horizontal="left" vertical="center"/>
    </xf>
    <xf numFmtId="0" fontId="16" fillId="0" borderId="29" xfId="0" applyFont="1" applyBorder="1" applyAlignment="1">
      <alignment horizontal="left" vertical="center"/>
    </xf>
    <xf numFmtId="0" fontId="16" fillId="0" borderId="6" xfId="0" applyFont="1" applyBorder="1">
      <alignment vertical="center"/>
    </xf>
    <xf numFmtId="0" fontId="16" fillId="0" borderId="29" xfId="0" applyFont="1" applyBorder="1">
      <alignment vertical="center"/>
    </xf>
    <xf numFmtId="0" fontId="17" fillId="0" borderId="85" xfId="0" applyFont="1" applyBorder="1" applyAlignment="1">
      <alignment horizontal="right" vertical="center"/>
    </xf>
    <xf numFmtId="177" fontId="5" fillId="0" borderId="29" xfId="0" applyNumberFormat="1" applyFont="1" applyBorder="1" applyAlignment="1">
      <alignment vertical="center" shrinkToFit="1"/>
    </xf>
    <xf numFmtId="0" fontId="8" fillId="0" borderId="0" xfId="0" applyFont="1" applyAlignment="1">
      <alignment horizontal="left" vertical="center" indent="1"/>
    </xf>
    <xf numFmtId="177" fontId="8" fillId="0" borderId="0" xfId="0" applyNumberFormat="1" applyFont="1" applyAlignment="1">
      <alignment horizontal="right" vertical="center"/>
    </xf>
    <xf numFmtId="0" fontId="17" fillId="0" borderId="0" xfId="0" applyFont="1" applyAlignment="1">
      <alignment horizontal="center" vertical="center"/>
    </xf>
    <xf numFmtId="38" fontId="17" fillId="0" borderId="0" xfId="0" applyNumberFormat="1" applyFont="1">
      <alignment vertical="center"/>
    </xf>
    <xf numFmtId="0" fontId="8" fillId="24" borderId="5" xfId="0" applyFont="1" applyFill="1" applyBorder="1" applyAlignment="1">
      <alignment horizontal="center" vertical="center"/>
    </xf>
    <xf numFmtId="0" fontId="8" fillId="24" borderId="5" xfId="0" applyFont="1" applyFill="1" applyBorder="1" applyAlignment="1">
      <alignment horizontal="center" vertical="center" wrapText="1"/>
    </xf>
    <xf numFmtId="0" fontId="32" fillId="15" borderId="30" xfId="0" applyFont="1" applyFill="1" applyBorder="1">
      <alignment vertical="center"/>
    </xf>
    <xf numFmtId="0" fontId="17" fillId="6" borderId="160" xfId="0" applyFont="1" applyFill="1" applyBorder="1" applyAlignment="1">
      <alignment vertical="center" shrinkToFit="1"/>
    </xf>
    <xf numFmtId="0" fontId="17" fillId="6" borderId="161" xfId="0" applyFont="1" applyFill="1" applyBorder="1" applyAlignment="1">
      <alignment vertical="center" shrinkToFit="1"/>
    </xf>
    <xf numFmtId="38" fontId="5" fillId="6" borderId="149" xfId="0" applyNumberFormat="1" applyFont="1" applyFill="1" applyBorder="1">
      <alignment vertical="center"/>
    </xf>
    <xf numFmtId="38" fontId="5" fillId="6" borderId="149" xfId="0" applyNumberFormat="1" applyFont="1" applyFill="1" applyBorder="1" applyAlignment="1">
      <alignment vertical="center" shrinkToFit="1"/>
    </xf>
    <xf numFmtId="0" fontId="5" fillId="6" borderId="149" xfId="0" applyFont="1" applyFill="1" applyBorder="1">
      <alignment vertical="center"/>
    </xf>
    <xf numFmtId="0" fontId="17" fillId="0" borderId="162" xfId="0" applyFont="1" applyBorder="1" applyAlignment="1">
      <alignment vertical="center" shrinkToFit="1"/>
    </xf>
    <xf numFmtId="38" fontId="5" fillId="0" borderId="149" xfId="0" applyNumberFormat="1" applyFont="1" applyBorder="1">
      <alignment vertical="center"/>
    </xf>
    <xf numFmtId="38" fontId="5" fillId="0" borderId="152" xfId="0" applyNumberFormat="1" applyFont="1" applyBorder="1" applyAlignment="1">
      <alignment vertical="center" shrinkToFit="1"/>
    </xf>
    <xf numFmtId="0" fontId="5" fillId="0" borderId="149" xfId="0" applyFont="1" applyBorder="1">
      <alignment vertical="center"/>
    </xf>
    <xf numFmtId="38" fontId="5" fillId="6" borderId="152" xfId="0" applyNumberFormat="1" applyFont="1" applyFill="1" applyBorder="1" applyAlignment="1">
      <alignment vertical="center" shrinkToFit="1"/>
    </xf>
    <xf numFmtId="0" fontId="21" fillId="6" borderId="86" xfId="0" applyFont="1" applyFill="1" applyBorder="1">
      <alignment vertical="center"/>
    </xf>
    <xf numFmtId="0" fontId="21" fillId="6" borderId="163" xfId="0" applyFont="1" applyFill="1" applyBorder="1">
      <alignment vertical="center"/>
    </xf>
    <xf numFmtId="38" fontId="21" fillId="6" borderId="30" xfId="0" applyNumberFormat="1" applyFont="1" applyFill="1" applyBorder="1">
      <alignment vertical="center"/>
    </xf>
    <xf numFmtId="38" fontId="21" fillId="6" borderId="152" xfId="0" applyNumberFormat="1" applyFont="1" applyFill="1" applyBorder="1" applyAlignment="1">
      <alignment vertical="center" shrinkToFit="1"/>
    </xf>
    <xf numFmtId="0" fontId="21" fillId="6" borderId="149" xfId="0" applyFont="1" applyFill="1" applyBorder="1">
      <alignment vertical="center"/>
    </xf>
    <xf numFmtId="0" fontId="5" fillId="6" borderId="143" xfId="0" applyFont="1" applyFill="1" applyBorder="1" applyAlignment="1">
      <alignment vertical="center" shrinkToFit="1"/>
    </xf>
    <xf numFmtId="0" fontId="5" fillId="6" borderId="158" xfId="0" applyFont="1" applyFill="1" applyBorder="1" applyAlignment="1">
      <alignment vertical="center" shrinkToFit="1"/>
    </xf>
    <xf numFmtId="0" fontId="8" fillId="24" borderId="6" xfId="0" applyFont="1" applyFill="1" applyBorder="1" applyAlignment="1">
      <alignment horizontal="left" vertical="center" indent="1"/>
    </xf>
    <xf numFmtId="176" fontId="8" fillId="24" borderId="10" xfId="0" applyNumberFormat="1" applyFont="1" applyFill="1" applyBorder="1" applyAlignment="1">
      <alignment horizontal="right" vertical="center" shrinkToFit="1"/>
    </xf>
    <xf numFmtId="176" fontId="8" fillId="25" borderId="10" xfId="0" applyNumberFormat="1" applyFont="1" applyFill="1" applyBorder="1" applyAlignment="1">
      <alignment vertical="center" shrinkToFit="1"/>
    </xf>
    <xf numFmtId="0" fontId="8" fillId="24" borderId="29" xfId="0" applyFont="1" applyFill="1" applyBorder="1" applyAlignment="1">
      <alignment horizontal="left" vertical="center" indent="1"/>
    </xf>
    <xf numFmtId="177" fontId="8" fillId="24" borderId="29" xfId="0" applyNumberFormat="1" applyFont="1" applyFill="1" applyBorder="1" applyAlignment="1">
      <alignment horizontal="right" vertical="center" shrinkToFit="1"/>
    </xf>
    <xf numFmtId="0" fontId="32" fillId="15" borderId="85" xfId="0" applyFont="1" applyFill="1" applyBorder="1">
      <alignment vertical="center"/>
    </xf>
    <xf numFmtId="177" fontId="5" fillId="0" borderId="12" xfId="0" applyNumberFormat="1" applyFont="1" applyBorder="1" applyAlignment="1">
      <alignment horizontal="right" vertical="center" shrinkToFit="1"/>
    </xf>
    <xf numFmtId="176" fontId="5" fillId="0" borderId="164" xfId="0" applyNumberFormat="1" applyFont="1" applyBorder="1" applyAlignment="1">
      <alignment horizontal="right" vertical="center" shrinkToFit="1"/>
    </xf>
    <xf numFmtId="176" fontId="5" fillId="0" borderId="101" xfId="0" applyNumberFormat="1" applyFont="1" applyBorder="1" applyAlignment="1">
      <alignment horizontal="right" vertical="center" shrinkToFit="1"/>
    </xf>
    <xf numFmtId="176" fontId="17" fillId="3" borderId="0" xfId="0" applyNumberFormat="1" applyFont="1" applyFill="1">
      <alignment vertical="center"/>
    </xf>
    <xf numFmtId="0" fontId="43" fillId="0" borderId="0" xfId="0" applyFont="1">
      <alignment vertical="center"/>
    </xf>
    <xf numFmtId="0" fontId="32" fillId="15" borderId="144" xfId="0" applyFont="1" applyFill="1" applyBorder="1">
      <alignment vertical="center"/>
    </xf>
    <xf numFmtId="0" fontId="17" fillId="6" borderId="86" xfId="0" applyFont="1" applyFill="1" applyBorder="1">
      <alignment vertical="center"/>
    </xf>
    <xf numFmtId="38" fontId="17" fillId="6" borderId="86" xfId="0" applyNumberFormat="1" applyFont="1" applyFill="1" applyBorder="1">
      <alignment vertical="center"/>
    </xf>
    <xf numFmtId="0" fontId="17" fillId="0" borderId="86" xfId="0" applyFont="1" applyBorder="1">
      <alignment vertical="center"/>
    </xf>
    <xf numFmtId="0" fontId="8" fillId="24" borderId="5" xfId="0" applyFont="1" applyFill="1" applyBorder="1" applyAlignment="1">
      <alignment horizontal="center" vertical="center" shrinkToFit="1"/>
    </xf>
    <xf numFmtId="0" fontId="32" fillId="15" borderId="102" xfId="0" applyFont="1" applyFill="1" applyBorder="1">
      <alignment vertical="center"/>
    </xf>
    <xf numFmtId="0" fontId="17" fillId="6" borderId="144" xfId="0" applyFont="1" applyFill="1" applyBorder="1">
      <alignment vertical="center"/>
    </xf>
    <xf numFmtId="0" fontId="17" fillId="6" borderId="102" xfId="0" applyFont="1" applyFill="1" applyBorder="1">
      <alignment vertical="center"/>
    </xf>
    <xf numFmtId="0" fontId="17" fillId="0" borderId="102" xfId="0" applyFont="1" applyBorder="1">
      <alignment vertical="center"/>
    </xf>
    <xf numFmtId="177" fontId="5" fillId="0" borderId="7" xfId="0" applyNumberFormat="1" applyFont="1" applyBorder="1" applyAlignment="1">
      <alignment horizontal="right" vertical="center" shrinkToFit="1"/>
    </xf>
    <xf numFmtId="0" fontId="16" fillId="0" borderId="8" xfId="0" applyFont="1" applyBorder="1" applyAlignment="1">
      <alignment horizontal="left" vertical="center"/>
    </xf>
    <xf numFmtId="0" fontId="16" fillId="0" borderId="43" xfId="0" applyFont="1" applyBorder="1" applyAlignment="1">
      <alignment horizontal="left" vertical="center"/>
    </xf>
    <xf numFmtId="0" fontId="17" fillId="0" borderId="81" xfId="0" applyFont="1" applyBorder="1">
      <alignment vertical="center"/>
    </xf>
    <xf numFmtId="38" fontId="17" fillId="0" borderId="82" xfId="0" applyNumberFormat="1" applyFont="1" applyBorder="1">
      <alignment vertical="center"/>
    </xf>
    <xf numFmtId="0" fontId="17" fillId="0" borderId="97" xfId="0" applyFont="1" applyBorder="1">
      <alignment vertical="center"/>
    </xf>
    <xf numFmtId="0" fontId="32" fillId="15" borderId="85" xfId="0" applyFont="1" applyFill="1" applyBorder="1" applyAlignment="1">
      <alignment horizontal="right" vertical="center"/>
    </xf>
    <xf numFmtId="0" fontId="32" fillId="15" borderId="0" xfId="0" applyFont="1" applyFill="1" applyAlignment="1">
      <alignment horizontal="left" vertical="center"/>
    </xf>
    <xf numFmtId="0" fontId="21" fillId="15" borderId="145" xfId="0" applyFont="1" applyFill="1" applyBorder="1">
      <alignment vertical="center"/>
    </xf>
    <xf numFmtId="38" fontId="17" fillId="6" borderId="102" xfId="0" applyNumberFormat="1" applyFont="1" applyFill="1" applyBorder="1">
      <alignment vertical="center"/>
    </xf>
    <xf numFmtId="0" fontId="17" fillId="0" borderId="82" xfId="0" applyFont="1" applyBorder="1">
      <alignment vertical="center"/>
    </xf>
    <xf numFmtId="38" fontId="17" fillId="0" borderId="97" xfId="0" applyNumberFormat="1" applyFont="1" applyBorder="1">
      <alignment vertical="center"/>
    </xf>
    <xf numFmtId="0" fontId="36" fillId="0" borderId="157" xfId="0" applyFont="1" applyBorder="1">
      <alignment vertical="center"/>
    </xf>
    <xf numFmtId="0" fontId="44" fillId="0" borderId="0" xfId="0" applyFont="1" applyAlignment="1">
      <alignment horizontal="left" vertical="center"/>
    </xf>
    <xf numFmtId="38" fontId="0" fillId="0" borderId="0" xfId="0" applyNumberFormat="1">
      <alignment vertical="center"/>
    </xf>
    <xf numFmtId="0" fontId="0" fillId="0" borderId="0" xfId="0" applyAlignment="1">
      <alignment horizontal="left" vertical="center"/>
    </xf>
    <xf numFmtId="0" fontId="15" fillId="26" borderId="5" xfId="0" applyFont="1" applyFill="1" applyBorder="1" applyAlignment="1">
      <alignment horizontal="center" vertical="center"/>
    </xf>
    <xf numFmtId="0" fontId="15" fillId="26" borderId="5" xfId="0" applyFont="1" applyFill="1" applyBorder="1" applyAlignment="1">
      <alignment horizontal="center" vertical="center" wrapText="1"/>
    </xf>
    <xf numFmtId="176" fontId="16" fillId="0" borderId="10" xfId="0" applyNumberFormat="1" applyFont="1" applyBorder="1" applyAlignment="1">
      <alignment horizontal="right" vertical="center" shrinkToFit="1"/>
    </xf>
    <xf numFmtId="176" fontId="16" fillId="0" borderId="10" xfId="0" applyNumberFormat="1" applyFont="1" applyBorder="1" applyAlignment="1">
      <alignment vertical="center" shrinkToFit="1"/>
    </xf>
    <xf numFmtId="0" fontId="17" fillId="0" borderId="0" xfId="0" applyFont="1" applyAlignment="1">
      <alignment horizontal="left" vertical="center"/>
    </xf>
    <xf numFmtId="38" fontId="11" fillId="0" borderId="0" xfId="0" applyNumberFormat="1" applyFont="1" applyAlignment="1">
      <alignment horizontal="right" vertical="center"/>
    </xf>
    <xf numFmtId="38" fontId="11" fillId="0" borderId="0" xfId="0" applyNumberFormat="1" applyFont="1">
      <alignment vertical="center"/>
    </xf>
    <xf numFmtId="177" fontId="16" fillId="0" borderId="12" xfId="0" applyNumberFormat="1" applyFont="1" applyBorder="1" applyAlignment="1">
      <alignment horizontal="right" vertical="center" shrinkToFit="1"/>
    </xf>
    <xf numFmtId="176" fontId="15" fillId="26" borderId="10" xfId="0" applyNumberFormat="1" applyFont="1" applyFill="1" applyBorder="1" applyAlignment="1">
      <alignment horizontal="right" vertical="center" shrinkToFit="1"/>
    </xf>
    <xf numFmtId="177" fontId="15" fillId="26" borderId="12" xfId="0" applyNumberFormat="1" applyFont="1" applyFill="1" applyBorder="1" applyAlignment="1">
      <alignment horizontal="right" vertical="center" shrinkToFit="1"/>
    </xf>
    <xf numFmtId="0" fontId="45" fillId="0" borderId="0" xfId="0" applyFont="1">
      <alignment vertical="center"/>
    </xf>
    <xf numFmtId="0" fontId="15" fillId="27" borderId="5" xfId="0" applyFont="1" applyFill="1" applyBorder="1" applyAlignment="1">
      <alignment horizontal="center" vertical="center"/>
    </xf>
    <xf numFmtId="0" fontId="15" fillId="27" borderId="5" xfId="0" applyFont="1" applyFill="1" applyBorder="1" applyAlignment="1">
      <alignment horizontal="center" vertical="center" wrapText="1"/>
    </xf>
    <xf numFmtId="0" fontId="32" fillId="15" borderId="157" xfId="0" applyFont="1" applyFill="1" applyBorder="1">
      <alignment vertical="center"/>
    </xf>
    <xf numFmtId="0" fontId="17" fillId="6" borderId="157" xfId="0" applyFont="1" applyFill="1" applyBorder="1" applyAlignment="1">
      <alignment horizontal="left" vertical="center"/>
    </xf>
    <xf numFmtId="38" fontId="17" fillId="6" borderId="82" xfId="0" applyNumberFormat="1" applyFont="1" applyFill="1" applyBorder="1">
      <alignment vertical="center"/>
    </xf>
    <xf numFmtId="0" fontId="17" fillId="0" borderId="82" xfId="0" applyFont="1" applyBorder="1" applyAlignment="1">
      <alignment horizontal="left" vertical="center"/>
    </xf>
    <xf numFmtId="0" fontId="17" fillId="6" borderId="82" xfId="0" applyFont="1" applyFill="1" applyBorder="1" applyAlignment="1">
      <alignment horizontal="left" vertical="center"/>
    </xf>
    <xf numFmtId="176" fontId="15" fillId="27" borderId="10" xfId="0" applyNumberFormat="1" applyFont="1" applyFill="1" applyBorder="1" applyAlignment="1">
      <alignment horizontal="right" vertical="center" shrinkToFit="1"/>
    </xf>
    <xf numFmtId="177" fontId="15" fillId="27" borderId="12" xfId="0" applyNumberFormat="1" applyFont="1" applyFill="1" applyBorder="1" applyAlignment="1">
      <alignment horizontal="right" vertical="center" shrinkToFit="1"/>
    </xf>
    <xf numFmtId="0" fontId="17" fillId="6" borderId="30" xfId="0" applyFont="1" applyFill="1" applyBorder="1" applyAlignment="1">
      <alignment horizontal="left" vertical="center"/>
    </xf>
    <xf numFmtId="3" fontId="5" fillId="0" borderId="0" xfId="0" applyNumberFormat="1" applyFont="1">
      <alignment vertical="center"/>
    </xf>
    <xf numFmtId="0" fontId="14" fillId="5" borderId="6" xfId="0" applyFont="1" applyFill="1" applyBorder="1" applyAlignment="1">
      <alignment horizontal="center" vertical="center"/>
    </xf>
    <xf numFmtId="0" fontId="14" fillId="5" borderId="29" xfId="0" applyFont="1" applyFill="1" applyBorder="1" applyAlignment="1">
      <alignment horizontal="center" vertical="center"/>
    </xf>
    <xf numFmtId="0" fontId="46" fillId="5" borderId="5" xfId="0" applyFont="1" applyFill="1" applyBorder="1" applyAlignment="1">
      <alignment horizontal="center" vertical="center" textRotation="255"/>
    </xf>
    <xf numFmtId="0" fontId="46" fillId="5" borderId="5" xfId="0" applyFont="1" applyFill="1" applyBorder="1" applyAlignment="1">
      <alignment horizontal="center" vertical="center" textRotation="255" wrapText="1"/>
    </xf>
    <xf numFmtId="0" fontId="16" fillId="0" borderId="5" xfId="0" applyFont="1" applyBorder="1" applyAlignment="1">
      <alignment vertical="center" shrinkToFit="1"/>
    </xf>
    <xf numFmtId="0" fontId="14" fillId="5" borderId="7" xfId="0" applyFont="1" applyFill="1" applyBorder="1" applyAlignment="1">
      <alignment horizontal="center" vertical="center"/>
    </xf>
    <xf numFmtId="0" fontId="46" fillId="5" borderId="6" xfId="0" applyFont="1" applyFill="1" applyBorder="1" applyAlignment="1">
      <alignment horizontal="center" vertical="center" textRotation="255"/>
    </xf>
    <xf numFmtId="0" fontId="46" fillId="5" borderId="6" xfId="0" applyFont="1" applyFill="1" applyBorder="1" applyAlignment="1">
      <alignment horizontal="center" vertical="center" textRotation="255" wrapText="1"/>
    </xf>
    <xf numFmtId="0" fontId="15" fillId="0" borderId="165" xfId="0" applyFont="1" applyBorder="1" applyAlignment="1">
      <alignment vertical="center" shrinkToFit="1"/>
    </xf>
    <xf numFmtId="0" fontId="16" fillId="0" borderId="29" xfId="0" applyFont="1" applyBorder="1" applyAlignment="1">
      <alignment horizontal="left" vertical="center" shrinkToFit="1"/>
    </xf>
    <xf numFmtId="0" fontId="16" fillId="0" borderId="5" xfId="0" applyFont="1" applyBorder="1" applyAlignment="1">
      <alignment horizontal="left" vertical="center" shrinkToFit="1"/>
    </xf>
    <xf numFmtId="0" fontId="16" fillId="0" borderId="166" xfId="0" applyFont="1" applyBorder="1" applyAlignment="1">
      <alignment horizontal="left" vertical="center" shrinkToFit="1"/>
    </xf>
    <xf numFmtId="0" fontId="16" fillId="0" borderId="29" xfId="0" applyFont="1" applyBorder="1" applyAlignment="1">
      <alignment vertical="center" shrinkToFit="1"/>
    </xf>
    <xf numFmtId="0" fontId="16" fillId="0" borderId="166" xfId="0" applyFont="1" applyBorder="1" applyAlignment="1">
      <alignment vertical="center" shrinkToFit="1"/>
    </xf>
    <xf numFmtId="0" fontId="16" fillId="0" borderId="6" xfId="0" applyFont="1" applyBorder="1" applyAlignment="1">
      <alignment horizontal="left" vertical="center" shrinkToFit="1"/>
    </xf>
    <xf numFmtId="0" fontId="14" fillId="5" borderId="29" xfId="0" applyFont="1" applyFill="1" applyBorder="1" applyAlignment="1">
      <alignment horizontal="center" vertical="center" shrinkToFit="1"/>
    </xf>
    <xf numFmtId="176" fontId="14" fillId="5" borderId="29" xfId="0" applyNumberFormat="1" applyFont="1" applyFill="1" applyBorder="1" applyAlignment="1">
      <alignment vertical="center" shrinkToFit="1"/>
    </xf>
    <xf numFmtId="0" fontId="17" fillId="0" borderId="99" xfId="0" applyFont="1" applyBorder="1" applyAlignment="1">
      <alignment vertical="center" shrinkToFit="1"/>
    </xf>
    <xf numFmtId="0" fontId="37" fillId="15" borderId="0" xfId="0" applyFont="1" applyFill="1">
      <alignment vertical="center"/>
    </xf>
    <xf numFmtId="0" fontId="16" fillId="0" borderId="26" xfId="0" applyFont="1" applyBorder="1" applyAlignment="1">
      <alignment vertical="center" shrinkToFit="1"/>
    </xf>
    <xf numFmtId="176" fontId="14" fillId="0" borderId="165" xfId="0" applyNumberFormat="1" applyFont="1" applyFill="1" applyBorder="1" applyAlignment="1">
      <alignment vertical="center" shrinkToFit="1"/>
    </xf>
    <xf numFmtId="176" fontId="13" fillId="0" borderId="29" xfId="0" applyNumberFormat="1" applyFont="1" applyFill="1" applyBorder="1" applyAlignment="1">
      <alignment vertical="center" shrinkToFit="1"/>
    </xf>
    <xf numFmtId="176" fontId="14" fillId="0" borderId="29" xfId="0" applyNumberFormat="1" applyFont="1" applyFill="1" applyBorder="1" applyAlignment="1">
      <alignment vertical="center" shrinkToFit="1"/>
    </xf>
    <xf numFmtId="176" fontId="13" fillId="0" borderId="5" xfId="0" applyNumberFormat="1" applyFont="1" applyFill="1" applyBorder="1" applyAlignment="1">
      <alignment vertical="center" shrinkToFit="1"/>
    </xf>
    <xf numFmtId="176" fontId="14" fillId="0" borderId="5" xfId="0" applyNumberFormat="1" applyFont="1" applyFill="1" applyBorder="1" applyAlignment="1">
      <alignment vertical="center" shrinkToFit="1"/>
    </xf>
    <xf numFmtId="176" fontId="13" fillId="0" borderId="166" xfId="0" applyNumberFormat="1" applyFont="1" applyFill="1" applyBorder="1" applyAlignment="1">
      <alignment vertical="center" shrinkToFit="1"/>
    </xf>
    <xf numFmtId="176" fontId="13" fillId="0" borderId="6" xfId="0" applyNumberFormat="1" applyFont="1" applyFill="1" applyBorder="1" applyAlignment="1">
      <alignment vertical="center" shrinkToFit="1"/>
    </xf>
    <xf numFmtId="176" fontId="14" fillId="0" borderId="6" xfId="0" applyNumberFormat="1" applyFont="1" applyFill="1" applyBorder="1" applyAlignment="1">
      <alignment vertical="center" shrinkToFit="1"/>
    </xf>
    <xf numFmtId="176" fontId="13" fillId="0" borderId="165" xfId="0" applyNumberFormat="1" applyFont="1" applyFill="1" applyBorder="1" applyAlignment="1">
      <alignment vertical="center" shrinkToFit="1"/>
    </xf>
    <xf numFmtId="176" fontId="13" fillId="0" borderId="27" xfId="0" applyNumberFormat="1" applyFont="1" applyFill="1" applyBorder="1" applyAlignment="1">
      <alignment vertical="center" shrinkToFit="1"/>
    </xf>
    <xf numFmtId="0" fontId="0" fillId="0" borderId="0" xfId="0" applyFont="1">
      <alignment vertical="center"/>
    </xf>
    <xf numFmtId="0" fontId="5" fillId="0" borderId="5" xfId="0" applyFont="1" applyBorder="1" applyAlignment="1">
      <alignment horizontal="left" vertical="center"/>
    </xf>
    <xf numFmtId="186" fontId="5" fillId="0" borderId="5" xfId="7" applyNumberFormat="1" applyFont="1" applyBorder="1">
      <alignment vertical="center"/>
    </xf>
    <xf numFmtId="0" fontId="15" fillId="10" borderId="5" xfId="0" applyFont="1" applyFill="1" applyBorder="1" applyAlignment="1">
      <alignment horizontal="center" vertical="center"/>
    </xf>
    <xf numFmtId="0" fontId="8" fillId="12" borderId="5" xfId="0" applyFont="1" applyFill="1" applyBorder="1">
      <alignment vertical="center"/>
    </xf>
    <xf numFmtId="185" fontId="5" fillId="0" borderId="5" xfId="0" applyNumberFormat="1" applyFont="1" applyBorder="1">
      <alignment vertical="center"/>
    </xf>
    <xf numFmtId="0" fontId="5" fillId="0" borderId="68" xfId="0" applyFont="1" applyBorder="1" applyAlignment="1">
      <alignment horizontal="left" vertical="center"/>
    </xf>
    <xf numFmtId="0" fontId="5" fillId="0" borderId="2" xfId="0" applyFont="1" applyBorder="1" applyAlignment="1">
      <alignment horizontal="left" vertical="center"/>
    </xf>
    <xf numFmtId="0" fontId="16" fillId="0" borderId="68" xfId="0" applyFont="1" applyBorder="1" applyAlignment="1">
      <alignment horizontal="left" vertical="center" wrapText="1"/>
    </xf>
    <xf numFmtId="0" fontId="35" fillId="0" borderId="2" xfId="0" applyFont="1" applyBorder="1" applyAlignment="1">
      <alignment horizontal="left" vertical="center" wrapText="1"/>
    </xf>
    <xf numFmtId="0" fontId="5" fillId="0" borderId="68" xfId="0" applyFont="1" applyBorder="1" applyAlignment="1">
      <alignment horizontal="left" vertical="center" wrapText="1"/>
    </xf>
    <xf numFmtId="0" fontId="0" fillId="0" borderId="2" xfId="0" applyBorder="1" applyAlignment="1">
      <alignment horizontal="left" vertical="center" wrapText="1"/>
    </xf>
    <xf numFmtId="0" fontId="5" fillId="0" borderId="8" xfId="0" applyFont="1" applyBorder="1" applyAlignment="1">
      <alignment horizontal="left" vertical="center" wrapText="1"/>
    </xf>
    <xf numFmtId="0" fontId="0" fillId="0" borderId="28" xfId="0" applyBorder="1" applyAlignment="1">
      <alignment horizontal="left" vertical="center" wrapText="1"/>
    </xf>
    <xf numFmtId="0" fontId="5" fillId="0" borderId="26" xfId="0" applyFont="1" applyBorder="1" applyAlignment="1">
      <alignment horizontal="left" vertical="center" wrapText="1"/>
    </xf>
    <xf numFmtId="0" fontId="5" fillId="0" borderId="63" xfId="0" applyFont="1" applyBorder="1" applyAlignment="1">
      <alignment horizontal="left" vertical="center" wrapText="1"/>
    </xf>
    <xf numFmtId="0" fontId="0" fillId="0" borderId="1" xfId="0" applyBorder="1" applyAlignment="1">
      <alignment horizontal="left" vertical="center" wrapText="1"/>
    </xf>
    <xf numFmtId="0" fontId="5" fillId="0" borderId="26" xfId="0" applyFont="1" applyBorder="1" applyAlignment="1">
      <alignment horizontal="left" vertical="center"/>
    </xf>
    <xf numFmtId="0" fontId="5" fillId="0" borderId="28" xfId="0" applyFont="1" applyBorder="1" applyAlignment="1">
      <alignment horizontal="left" vertical="center"/>
    </xf>
    <xf numFmtId="0" fontId="16" fillId="0" borderId="26" xfId="0" applyFont="1" applyBorder="1" applyAlignment="1">
      <alignment horizontal="left" vertical="center" wrapText="1"/>
    </xf>
    <xf numFmtId="0" fontId="35" fillId="0" borderId="28" xfId="0" applyFont="1" applyBorder="1" applyAlignment="1">
      <alignment horizontal="left" vertical="center" wrapText="1"/>
    </xf>
    <xf numFmtId="0" fontId="12" fillId="0" borderId="68" xfId="0" applyFont="1" applyBorder="1" applyAlignment="1">
      <alignment horizontal="left" vertical="center" shrinkToFit="1"/>
    </xf>
    <xf numFmtId="0" fontId="12" fillId="0" borderId="2" xfId="0" applyFont="1" applyBorder="1" applyAlignment="1">
      <alignment horizontal="left" vertical="center" shrinkToFit="1"/>
    </xf>
    <xf numFmtId="183" fontId="5" fillId="0" borderId="3" xfId="0" applyNumberFormat="1" applyFont="1" applyBorder="1" applyAlignment="1">
      <alignment horizontal="right" vertical="center"/>
    </xf>
    <xf numFmtId="184" fontId="5" fillId="0" borderId="3" xfId="0" applyNumberFormat="1" applyFont="1" applyBorder="1" applyAlignment="1">
      <alignment horizontal="right" vertical="center"/>
    </xf>
    <xf numFmtId="0" fontId="5" fillId="0" borderId="96" xfId="0" applyFont="1" applyBorder="1" applyAlignment="1">
      <alignment horizontal="left" vertical="center"/>
    </xf>
    <xf numFmtId="0" fontId="5" fillId="0" borderId="27" xfId="0" applyFont="1" applyBorder="1" applyAlignment="1">
      <alignment horizontal="left" vertical="center"/>
    </xf>
    <xf numFmtId="0" fontId="5" fillId="0" borderId="108" xfId="0" applyFont="1" applyBorder="1" applyAlignment="1">
      <alignment horizontal="left" vertical="center" wrapText="1"/>
    </xf>
    <xf numFmtId="0" fontId="5" fillId="0" borderId="96" xfId="0" applyFont="1" applyBorder="1" applyAlignment="1">
      <alignment horizontal="left" vertical="center" wrapText="1"/>
    </xf>
    <xf numFmtId="0" fontId="13" fillId="0" borderId="68" xfId="0" applyFont="1" applyBorder="1" applyAlignment="1">
      <alignment horizontal="left" vertical="center" wrapText="1"/>
    </xf>
    <xf numFmtId="0" fontId="13" fillId="0" borderId="96" xfId="0" applyFont="1" applyBorder="1" applyAlignment="1">
      <alignment horizontal="left" vertical="center" wrapText="1"/>
    </xf>
    <xf numFmtId="0" fontId="5" fillId="0" borderId="69" xfId="0" applyFont="1" applyBorder="1" applyAlignment="1">
      <alignment horizontal="left" vertical="center" wrapText="1"/>
    </xf>
    <xf numFmtId="0" fontId="5" fillId="0" borderId="112" xfId="0" applyFont="1" applyBorder="1" applyAlignment="1">
      <alignment horizontal="left" vertical="center" wrapText="1"/>
    </xf>
    <xf numFmtId="0" fontId="12" fillId="0" borderId="26" xfId="0" applyFont="1" applyBorder="1" applyAlignment="1">
      <alignment horizontal="left" vertical="center" shrinkToFit="1"/>
    </xf>
    <xf numFmtId="0" fontId="12" fillId="0" borderId="27" xfId="0" applyFont="1" applyBorder="1" applyAlignment="1">
      <alignment horizontal="left" vertical="center" shrinkToFit="1"/>
    </xf>
    <xf numFmtId="0" fontId="5" fillId="0" borderId="64" xfId="0" applyFont="1" applyBorder="1" applyAlignment="1">
      <alignment horizontal="left" vertical="center" wrapText="1"/>
    </xf>
    <xf numFmtId="0" fontId="5" fillId="0" borderId="104" xfId="0" applyFont="1" applyBorder="1" applyAlignment="1">
      <alignment horizontal="left" vertical="center" wrapText="1"/>
    </xf>
    <xf numFmtId="0" fontId="5" fillId="0" borderId="9" xfId="0" applyFont="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5" fillId="0" borderId="27" xfId="0" applyFont="1" applyBorder="1" applyAlignment="1">
      <alignment horizontal="left" vertical="center" wrapText="1"/>
    </xf>
    <xf numFmtId="0" fontId="16" fillId="0" borderId="27" xfId="0" applyFont="1" applyBorder="1" applyAlignment="1">
      <alignment horizontal="left" vertical="center" wrapText="1"/>
    </xf>
    <xf numFmtId="0" fontId="12" fillId="0" borderId="26" xfId="0" applyFont="1" applyBorder="1" applyAlignment="1">
      <alignment horizontal="left" vertical="center" wrapText="1"/>
    </xf>
    <xf numFmtId="0" fontId="12" fillId="0" borderId="27" xfId="0" applyFont="1" applyBorder="1" applyAlignment="1">
      <alignment horizontal="left" vertical="center" wrapText="1"/>
    </xf>
    <xf numFmtId="0" fontId="8" fillId="12" borderId="5" xfId="0" applyFont="1" applyFill="1" applyBorder="1" applyAlignment="1">
      <alignment horizontal="left" vertical="center"/>
    </xf>
    <xf numFmtId="0" fontId="13" fillId="0" borderId="8" xfId="0" applyFont="1" applyFill="1" applyBorder="1" applyAlignment="1">
      <alignment horizontal="left" vertical="center"/>
    </xf>
    <xf numFmtId="0" fontId="13" fillId="0" borderId="9" xfId="0" applyFont="1" applyFill="1" applyBorder="1" applyAlignment="1">
      <alignment horizontal="left" vertical="center"/>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8" fillId="12" borderId="5" xfId="0" applyFont="1" applyFill="1" applyBorder="1" applyAlignment="1">
      <alignment horizontal="left" vertical="center" wrapText="1"/>
    </xf>
    <xf numFmtId="0" fontId="13" fillId="0" borderId="3" xfId="0" applyFont="1" applyBorder="1" applyAlignment="1"/>
    <xf numFmtId="0" fontId="8" fillId="12" borderId="26" xfId="0" applyFont="1" applyFill="1" applyBorder="1" applyAlignment="1">
      <alignment horizontal="center" vertical="center" shrinkToFit="1"/>
    </xf>
    <xf numFmtId="0" fontId="8" fillId="12" borderId="28" xfId="0" applyFont="1" applyFill="1" applyBorder="1" applyAlignment="1">
      <alignment horizontal="center" vertical="center" shrinkToFit="1"/>
    </xf>
    <xf numFmtId="0" fontId="8" fillId="12" borderId="27" xfId="0" applyFont="1" applyFill="1" applyBorder="1" applyAlignment="1">
      <alignment horizontal="center" vertical="center" shrinkToFit="1"/>
    </xf>
    <xf numFmtId="0" fontId="15" fillId="12" borderId="28" xfId="0" applyFont="1" applyFill="1" applyBorder="1" applyAlignment="1">
      <alignment horizontal="center" vertical="center" shrinkToFit="1"/>
    </xf>
    <xf numFmtId="0" fontId="15" fillId="12" borderId="27" xfId="0" applyFont="1" applyFill="1" applyBorder="1" applyAlignment="1">
      <alignment horizontal="center" vertical="center" shrinkToFit="1"/>
    </xf>
    <xf numFmtId="0" fontId="5" fillId="12" borderId="5" xfId="0" applyFont="1" applyFill="1" applyBorder="1" applyAlignment="1">
      <alignment horizontal="center" vertical="center" shrinkToFit="1"/>
    </xf>
    <xf numFmtId="0" fontId="8" fillId="12" borderId="8" xfId="0" applyFont="1" applyFill="1" applyBorder="1" applyAlignment="1">
      <alignment horizontal="center" vertical="center" shrinkToFit="1"/>
    </xf>
    <xf numFmtId="0" fontId="8" fillId="12" borderId="9" xfId="0" applyFont="1" applyFill="1" applyBorder="1" applyAlignment="1">
      <alignment horizontal="center" vertical="center" shrinkToFit="1"/>
    </xf>
    <xf numFmtId="0" fontId="8" fillId="12" borderId="43" xfId="0" applyFont="1" applyFill="1" applyBorder="1" applyAlignment="1">
      <alignment horizontal="center" vertical="center" shrinkToFit="1"/>
    </xf>
    <xf numFmtId="0" fontId="8" fillId="12" borderId="45" xfId="0" applyFont="1" applyFill="1" applyBorder="1" applyAlignment="1">
      <alignment horizontal="center" vertical="center" shrinkToFit="1"/>
    </xf>
    <xf numFmtId="0" fontId="13" fillId="0" borderId="0" xfId="0" applyFont="1" applyBorder="1" applyAlignment="1"/>
    <xf numFmtId="0" fontId="13" fillId="0" borderId="0" xfId="0" applyFont="1" applyBorder="1" applyAlignment="1">
      <alignment shrinkToFit="1"/>
    </xf>
    <xf numFmtId="0" fontId="16" fillId="0" borderId="0" xfId="0" applyNumberFormat="1" applyFont="1" applyBorder="1" applyAlignment="1">
      <alignment horizontal="right" vertical="center"/>
    </xf>
    <xf numFmtId="0" fontId="15" fillId="4" borderId="26" xfId="0" applyFont="1" applyFill="1" applyBorder="1" applyAlignment="1">
      <alignment horizontal="center" vertical="center"/>
    </xf>
    <xf numFmtId="0" fontId="15" fillId="4" borderId="28" xfId="0" applyFont="1" applyFill="1" applyBorder="1" applyAlignment="1">
      <alignment horizontal="center" vertical="center"/>
    </xf>
    <xf numFmtId="0" fontId="15" fillId="4" borderId="27" xfId="0" applyFont="1" applyFill="1" applyBorder="1" applyAlignment="1">
      <alignment horizontal="center" vertical="center"/>
    </xf>
    <xf numFmtId="0" fontId="15" fillId="4" borderId="26"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4" borderId="26" xfId="0" applyFont="1" applyFill="1" applyBorder="1" applyAlignment="1">
      <alignment horizontal="center" vertical="center" shrinkToFit="1"/>
    </xf>
    <xf numFmtId="0" fontId="15" fillId="4" borderId="28" xfId="0" applyFont="1" applyFill="1" applyBorder="1" applyAlignment="1">
      <alignment horizontal="center" vertical="center" shrinkToFit="1"/>
    </xf>
    <xf numFmtId="0" fontId="15" fillId="4" borderId="27" xfId="0" applyFont="1" applyFill="1" applyBorder="1" applyAlignment="1">
      <alignment horizontal="center" vertical="center" shrinkToFit="1"/>
    </xf>
    <xf numFmtId="0" fontId="16" fillId="8" borderId="26" xfId="0" applyFont="1" applyFill="1" applyBorder="1" applyAlignment="1">
      <alignment horizontal="right" vertical="center"/>
    </xf>
    <xf numFmtId="0" fontId="16" fillId="8" borderId="28" xfId="0" applyFont="1" applyFill="1" applyBorder="1" applyAlignment="1">
      <alignment horizontal="right" vertical="center"/>
    </xf>
    <xf numFmtId="0" fontId="16" fillId="8" borderId="27" xfId="0" applyFont="1" applyFill="1" applyBorder="1" applyAlignment="1">
      <alignment horizontal="right" vertical="center"/>
    </xf>
    <xf numFmtId="176" fontId="8" fillId="4" borderId="26" xfId="0" applyNumberFormat="1" applyFont="1" applyFill="1" applyBorder="1" applyAlignment="1">
      <alignment horizontal="center" vertical="center"/>
    </xf>
    <xf numFmtId="176" fontId="8" fillId="4" borderId="28" xfId="0" applyNumberFormat="1" applyFont="1" applyFill="1" applyBorder="1" applyAlignment="1">
      <alignment horizontal="center" vertical="center"/>
    </xf>
    <xf numFmtId="176" fontId="8" fillId="4" borderId="27" xfId="0" applyNumberFormat="1" applyFont="1" applyFill="1" applyBorder="1" applyAlignment="1">
      <alignment horizontal="center" vertical="center"/>
    </xf>
    <xf numFmtId="20" fontId="15" fillId="4" borderId="6" xfId="0" applyNumberFormat="1" applyFont="1" applyFill="1" applyBorder="1" applyAlignment="1">
      <alignment horizontal="center" vertical="center"/>
    </xf>
    <xf numFmtId="20" fontId="15" fillId="4" borderId="29" xfId="0" applyNumberFormat="1" applyFont="1" applyFill="1" applyBorder="1" applyAlignment="1">
      <alignment horizontal="center" vertical="center"/>
    </xf>
    <xf numFmtId="0" fontId="14" fillId="4" borderId="26" xfId="0" applyFont="1" applyFill="1" applyBorder="1" applyAlignment="1">
      <alignment horizontal="center" vertical="center"/>
    </xf>
    <xf numFmtId="0" fontId="14" fillId="4" borderId="27" xfId="0" applyFont="1" applyFill="1" applyBorder="1" applyAlignment="1">
      <alignment horizontal="center" vertical="center"/>
    </xf>
    <xf numFmtId="0" fontId="14" fillId="4" borderId="26"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15" fillId="4" borderId="45" xfId="0" applyFont="1" applyFill="1" applyBorder="1" applyAlignment="1">
      <alignment horizontal="center" vertical="center" wrapText="1"/>
    </xf>
    <xf numFmtId="176" fontId="5" fillId="4" borderId="26" xfId="0" applyNumberFormat="1" applyFont="1" applyFill="1" applyBorder="1" applyAlignment="1">
      <alignment horizontal="center" vertical="center"/>
    </xf>
    <xf numFmtId="176" fontId="5" fillId="4" borderId="28" xfId="0" applyNumberFormat="1" applyFont="1" applyFill="1" applyBorder="1" applyAlignment="1">
      <alignment horizontal="center" vertical="center"/>
    </xf>
    <xf numFmtId="176" fontId="5" fillId="4" borderId="27" xfId="0" applyNumberFormat="1" applyFont="1" applyFill="1" applyBorder="1" applyAlignment="1">
      <alignment horizontal="center" vertical="center"/>
    </xf>
    <xf numFmtId="20" fontId="15" fillId="4" borderId="7" xfId="0" applyNumberFormat="1" applyFont="1" applyFill="1" applyBorder="1" applyAlignment="1">
      <alignment horizontal="center" vertical="center"/>
    </xf>
    <xf numFmtId="0" fontId="15" fillId="4" borderId="26" xfId="0" applyFont="1" applyFill="1" applyBorder="1" applyAlignment="1">
      <alignment horizontal="justify" vertical="center" wrapText="1"/>
    </xf>
    <xf numFmtId="0" fontId="15" fillId="4" borderId="27" xfId="0" applyFont="1" applyFill="1" applyBorder="1" applyAlignment="1">
      <alignment horizontal="justify" vertical="center" wrapText="1"/>
    </xf>
    <xf numFmtId="176" fontId="5" fillId="4" borderId="26" xfId="0" applyNumberFormat="1" applyFont="1" applyFill="1" applyBorder="1" applyAlignment="1">
      <alignment horizontal="center" vertical="center" wrapText="1"/>
    </xf>
    <xf numFmtId="176" fontId="5" fillId="4" borderId="28" xfId="0" applyNumberFormat="1" applyFont="1" applyFill="1" applyBorder="1" applyAlignment="1">
      <alignment horizontal="center" vertical="center" wrapText="1"/>
    </xf>
    <xf numFmtId="176" fontId="5" fillId="4" borderId="27" xfId="0" applyNumberFormat="1" applyFont="1" applyFill="1" applyBorder="1" applyAlignment="1">
      <alignment horizontal="center" vertical="center" wrapText="1"/>
    </xf>
    <xf numFmtId="20" fontId="8" fillId="4" borderId="6" xfId="0" applyNumberFormat="1" applyFont="1" applyFill="1" applyBorder="1" applyAlignment="1">
      <alignment horizontal="center" vertical="center" shrinkToFit="1"/>
    </xf>
    <xf numFmtId="20" fontId="8" fillId="4" borderId="7" xfId="0" applyNumberFormat="1" applyFont="1" applyFill="1" applyBorder="1" applyAlignment="1">
      <alignment horizontal="center" vertical="center" shrinkToFit="1"/>
    </xf>
    <xf numFmtId="0" fontId="8" fillId="4" borderId="8" xfId="0" applyFont="1" applyFill="1" applyBorder="1" applyAlignment="1">
      <alignment horizontal="center" vertical="center" shrinkToFit="1"/>
    </xf>
    <xf numFmtId="0" fontId="8" fillId="4" borderId="4" xfId="0" applyFont="1" applyFill="1" applyBorder="1" applyAlignment="1">
      <alignment horizontal="center" vertical="center" shrinkToFit="1"/>
    </xf>
    <xf numFmtId="0" fontId="8" fillId="4" borderId="9" xfId="0" applyFont="1" applyFill="1" applyBorder="1" applyAlignment="1">
      <alignment horizontal="center" vertical="center" shrinkToFit="1"/>
    </xf>
    <xf numFmtId="0" fontId="14" fillId="4" borderId="13" xfId="0" applyFont="1" applyFill="1" applyBorder="1" applyAlignment="1">
      <alignment horizontal="center" vertical="center" shrinkToFit="1"/>
    </xf>
    <xf numFmtId="0" fontId="14" fillId="4" borderId="14" xfId="0" applyFont="1" applyFill="1" applyBorder="1" applyAlignment="1">
      <alignment horizontal="center" vertical="center" shrinkToFit="1"/>
    </xf>
    <xf numFmtId="0" fontId="5" fillId="0" borderId="6" xfId="0" applyFont="1" applyBorder="1" applyAlignment="1">
      <alignment horizontal="left" vertical="center"/>
    </xf>
    <xf numFmtId="0" fontId="0" fillId="0" borderId="29" xfId="0" applyBorder="1" applyAlignment="1">
      <alignment horizontal="left" vertical="center"/>
    </xf>
    <xf numFmtId="0" fontId="8" fillId="18" borderId="6" xfId="0" applyFont="1" applyFill="1" applyBorder="1" applyAlignment="1">
      <alignment horizontal="left" vertical="center"/>
    </xf>
    <xf numFmtId="0" fontId="8" fillId="18" borderId="29" xfId="0" applyFont="1" applyFill="1" applyBorder="1" applyAlignment="1">
      <alignment horizontal="left" vertical="center"/>
    </xf>
    <xf numFmtId="0" fontId="5" fillId="0" borderId="29" xfId="0" applyFont="1" applyBorder="1" applyAlignment="1">
      <alignment horizontal="left" vertical="center"/>
    </xf>
    <xf numFmtId="0" fontId="13" fillId="0" borderId="6" xfId="0" applyFont="1" applyBorder="1" applyAlignment="1">
      <alignment horizontal="justify" vertical="center" wrapText="1"/>
    </xf>
    <xf numFmtId="0" fontId="13" fillId="0" borderId="29" xfId="0" applyFont="1" applyBorder="1" applyAlignment="1">
      <alignment horizontal="justify" vertical="center" wrapText="1"/>
    </xf>
    <xf numFmtId="0" fontId="12" fillId="0" borderId="6" xfId="0" applyFont="1" applyBorder="1" applyAlignment="1">
      <alignment horizontal="left" vertical="center" wrapText="1" indent="1"/>
    </xf>
    <xf numFmtId="0" fontId="12" fillId="0" borderId="29" xfId="0" applyFont="1" applyBorder="1" applyAlignment="1">
      <alignment horizontal="left" vertical="center" wrapText="1" indent="1"/>
    </xf>
    <xf numFmtId="0" fontId="16" fillId="0" borderId="6" xfId="0" applyFont="1" applyBorder="1" applyAlignment="1">
      <alignment horizontal="left" vertical="center"/>
    </xf>
    <xf numFmtId="0" fontId="8" fillId="22" borderId="6" xfId="0" applyFont="1" applyFill="1" applyBorder="1" applyAlignment="1">
      <alignment horizontal="left" vertical="center"/>
    </xf>
    <xf numFmtId="0" fontId="0" fillId="21" borderId="29" xfId="0" applyFill="1" applyBorder="1" applyAlignment="1">
      <alignment horizontal="left" vertical="center"/>
    </xf>
    <xf numFmtId="0" fontId="8" fillId="18" borderId="6" xfId="0" applyFont="1" applyFill="1" applyBorder="1" applyAlignment="1">
      <alignment horizontal="left" vertical="center" shrinkToFit="1"/>
    </xf>
    <xf numFmtId="0" fontId="0" fillId="0" borderId="29" xfId="0" applyBorder="1" applyAlignment="1">
      <alignment horizontal="left" vertical="center" shrinkToFit="1"/>
    </xf>
    <xf numFmtId="0" fontId="5" fillId="0" borderId="6" xfId="0" applyFont="1" applyBorder="1" applyAlignment="1">
      <alignment horizontal="left" vertical="center" shrinkToFit="1"/>
    </xf>
    <xf numFmtId="0" fontId="16" fillId="0" borderId="6" xfId="0" applyFont="1" applyBorder="1" applyAlignment="1">
      <alignment horizontal="justify" vertical="center" wrapText="1"/>
    </xf>
    <xf numFmtId="0" fontId="16" fillId="0" borderId="29" xfId="0" applyFont="1" applyBorder="1" applyAlignment="1">
      <alignment horizontal="justify" vertical="center" wrapText="1"/>
    </xf>
    <xf numFmtId="0" fontId="40" fillId="0" borderId="6" xfId="0" applyFont="1" applyBorder="1" applyAlignment="1">
      <alignment horizontal="justify" vertical="center" wrapText="1"/>
    </xf>
    <xf numFmtId="0" fontId="40" fillId="0" borderId="29" xfId="0" applyFont="1" applyBorder="1" applyAlignment="1">
      <alignment horizontal="justify" vertical="center" wrapText="1"/>
    </xf>
    <xf numFmtId="0" fontId="5" fillId="0" borderId="6" xfId="0" applyFont="1" applyBorder="1" applyAlignment="1">
      <alignment horizontal="left" vertical="center" wrapText="1"/>
    </xf>
    <xf numFmtId="0" fontId="5" fillId="0" borderId="29" xfId="0" applyFont="1" applyBorder="1" applyAlignment="1">
      <alignment horizontal="left" vertical="center" wrapText="1"/>
    </xf>
    <xf numFmtId="0" fontId="5" fillId="0" borderId="6" xfId="0" applyFont="1" applyBorder="1" applyAlignment="1">
      <alignment horizontal="justify" vertical="top" wrapText="1"/>
    </xf>
    <xf numFmtId="0" fontId="5" fillId="0" borderId="29" xfId="0" applyFont="1" applyBorder="1" applyAlignment="1">
      <alignment horizontal="justify" vertical="top" wrapText="1"/>
    </xf>
    <xf numFmtId="0" fontId="5" fillId="0" borderId="6" xfId="0" applyFont="1" applyBorder="1" applyAlignment="1">
      <alignment horizontal="justify" vertical="center" wrapText="1"/>
    </xf>
    <xf numFmtId="0" fontId="5" fillId="0" borderId="29" xfId="0" applyFont="1" applyBorder="1" applyAlignment="1">
      <alignment horizontal="justify" vertical="center" wrapText="1"/>
    </xf>
    <xf numFmtId="0" fontId="5" fillId="0" borderId="6" xfId="0" applyFont="1" applyBorder="1" applyAlignment="1">
      <alignment vertical="center" shrinkToFit="1"/>
    </xf>
    <xf numFmtId="0" fontId="5" fillId="0" borderId="29" xfId="0" applyFont="1" applyBorder="1" applyAlignment="1">
      <alignment vertical="center" shrinkToFit="1"/>
    </xf>
    <xf numFmtId="0" fontId="8" fillId="24" borderId="6" xfId="0" applyFont="1" applyFill="1" applyBorder="1" applyAlignment="1">
      <alignment horizontal="left" vertical="center" indent="1"/>
    </xf>
    <xf numFmtId="0" fontId="8" fillId="24" borderId="29" xfId="0" applyFont="1" applyFill="1" applyBorder="1" applyAlignment="1">
      <alignment horizontal="left" vertical="center" indent="1"/>
    </xf>
    <xf numFmtId="0" fontId="8" fillId="24" borderId="6" xfId="0" applyFont="1" applyFill="1" applyBorder="1" applyAlignment="1">
      <alignment horizontal="left" vertical="center"/>
    </xf>
    <xf numFmtId="0" fontId="8" fillId="24" borderId="29" xfId="0" applyFont="1" applyFill="1" applyBorder="1" applyAlignment="1">
      <alignment horizontal="left" vertical="center"/>
    </xf>
    <xf numFmtId="0" fontId="16" fillId="0" borderId="29" xfId="0" applyFont="1" applyBorder="1" applyAlignment="1">
      <alignment horizontal="left" vertical="center"/>
    </xf>
    <xf numFmtId="0" fontId="16" fillId="0" borderId="6" xfId="0" applyFont="1" applyBorder="1">
      <alignment vertical="center"/>
    </xf>
    <xf numFmtId="0" fontId="16" fillId="0" borderId="29" xfId="0" applyFont="1" applyBorder="1">
      <alignment vertical="center"/>
    </xf>
    <xf numFmtId="0" fontId="16" fillId="0" borderId="7" xfId="0" applyFont="1" applyBorder="1" applyAlignment="1">
      <alignment horizontal="justify" vertical="center" wrapText="1"/>
    </xf>
    <xf numFmtId="0" fontId="16" fillId="0" borderId="6" xfId="0" applyFont="1" applyBorder="1" applyAlignment="1">
      <alignment horizontal="justify" vertical="top" wrapText="1"/>
    </xf>
    <xf numFmtId="0" fontId="16" fillId="0" borderId="29" xfId="0" applyFont="1" applyBorder="1" applyAlignment="1">
      <alignment horizontal="justify" vertical="top" wrapText="1"/>
    </xf>
    <xf numFmtId="0" fontId="12" fillId="0" borderId="6" xfId="0" applyFont="1" applyBorder="1" applyAlignment="1">
      <alignment horizontal="justify" vertical="center" wrapText="1"/>
    </xf>
    <xf numFmtId="0" fontId="12" fillId="0" borderId="29" xfId="0" applyFont="1" applyBorder="1" applyAlignment="1">
      <alignment horizontal="justify" vertical="center" wrapText="1"/>
    </xf>
    <xf numFmtId="0" fontId="12" fillId="0" borderId="6" xfId="0" applyFont="1" applyBorder="1" applyAlignment="1">
      <alignment horizontal="justify" vertical="top" wrapText="1"/>
    </xf>
    <xf numFmtId="0" fontId="12" fillId="0" borderId="29" xfId="0" applyFont="1" applyBorder="1" applyAlignment="1">
      <alignment horizontal="justify" vertical="top" wrapText="1"/>
    </xf>
    <xf numFmtId="0" fontId="15" fillId="27" borderId="6" xfId="0" applyFont="1" applyFill="1" applyBorder="1" applyAlignment="1">
      <alignment horizontal="left" vertical="center" indent="1"/>
    </xf>
    <xf numFmtId="0" fontId="15" fillId="27" borderId="29" xfId="0" applyFont="1" applyFill="1" applyBorder="1" applyAlignment="1">
      <alignment horizontal="left" vertical="center" indent="1"/>
    </xf>
    <xf numFmtId="0" fontId="15" fillId="27" borderId="26" xfId="0" applyFont="1" applyFill="1" applyBorder="1" applyAlignment="1">
      <alignment horizontal="center" vertical="center"/>
    </xf>
    <xf numFmtId="0" fontId="15" fillId="27" borderId="28" xfId="0" applyFont="1" applyFill="1" applyBorder="1" applyAlignment="1">
      <alignment horizontal="center" vertical="center"/>
    </xf>
    <xf numFmtId="0" fontId="15" fillId="27" borderId="27" xfId="0" applyFont="1" applyFill="1" applyBorder="1" applyAlignment="1">
      <alignment horizontal="center" vertical="center"/>
    </xf>
    <xf numFmtId="0" fontId="15" fillId="27" borderId="6" xfId="0" applyFont="1" applyFill="1" applyBorder="1" applyAlignment="1">
      <alignment horizontal="center" vertical="center"/>
    </xf>
    <xf numFmtId="0" fontId="15" fillId="27" borderId="29" xfId="0" applyFont="1" applyFill="1" applyBorder="1" applyAlignment="1">
      <alignment horizontal="center" vertical="center"/>
    </xf>
    <xf numFmtId="0" fontId="15" fillId="26" borderId="6" xfId="0" applyFont="1" applyFill="1" applyBorder="1" applyAlignment="1">
      <alignment horizontal="left" vertical="center" indent="1"/>
    </xf>
    <xf numFmtId="0" fontId="15" fillId="26" borderId="29" xfId="0" applyFont="1" applyFill="1" applyBorder="1" applyAlignment="1">
      <alignment horizontal="left" vertical="center" indent="1"/>
    </xf>
    <xf numFmtId="0" fontId="15" fillId="26" borderId="6" xfId="0" applyFont="1" applyFill="1" applyBorder="1" applyAlignment="1">
      <alignment horizontal="center" vertical="center"/>
    </xf>
    <xf numFmtId="0" fontId="15" fillId="26" borderId="29" xfId="0" applyFont="1" applyFill="1" applyBorder="1" applyAlignment="1">
      <alignment horizontal="center" vertical="center"/>
    </xf>
    <xf numFmtId="0" fontId="15" fillId="26" borderId="26" xfId="0" applyFont="1" applyFill="1" applyBorder="1" applyAlignment="1">
      <alignment horizontal="center" vertical="center"/>
    </xf>
    <xf numFmtId="0" fontId="15" fillId="26" borderId="28" xfId="0" applyFont="1" applyFill="1" applyBorder="1" applyAlignment="1">
      <alignment horizontal="center" vertical="center"/>
    </xf>
    <xf numFmtId="0" fontId="15" fillId="26" borderId="27" xfId="0" applyFont="1" applyFill="1" applyBorder="1" applyAlignment="1">
      <alignment horizontal="center" vertical="center"/>
    </xf>
    <xf numFmtId="0" fontId="14" fillId="5" borderId="26" xfId="0" applyFont="1" applyFill="1" applyBorder="1" applyAlignment="1">
      <alignment horizontal="center" vertical="center"/>
    </xf>
    <xf numFmtId="0" fontId="14" fillId="5" borderId="28" xfId="0" applyFont="1" applyFill="1" applyBorder="1" applyAlignment="1">
      <alignment horizontal="center" vertical="center"/>
    </xf>
    <xf numFmtId="0" fontId="14" fillId="5" borderId="27"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7" xfId="0" applyFont="1" applyFill="1" applyBorder="1" applyAlignment="1">
      <alignment horizontal="center" vertical="center"/>
    </xf>
    <xf numFmtId="0" fontId="5" fillId="0" borderId="109" xfId="0" applyFont="1" applyBorder="1" applyAlignment="1">
      <alignment horizontal="left" vertical="center" shrinkToFit="1"/>
    </xf>
    <xf numFmtId="0" fontId="5" fillId="0" borderId="110" xfId="0" applyFont="1" applyBorder="1" applyAlignment="1">
      <alignment horizontal="left" vertical="center" shrinkToFit="1"/>
    </xf>
    <xf numFmtId="0" fontId="8" fillId="21" borderId="105" xfId="0" applyFont="1" applyFill="1" applyBorder="1" applyAlignment="1">
      <alignment horizontal="center" vertical="center" shrinkToFit="1"/>
    </xf>
    <xf numFmtId="0" fontId="8" fillId="21" borderId="140" xfId="0" applyFont="1" applyFill="1" applyBorder="1" applyAlignment="1">
      <alignment horizontal="center" vertical="center" shrinkToFit="1"/>
    </xf>
    <xf numFmtId="0" fontId="5" fillId="0" borderId="63" xfId="0" applyFont="1" applyBorder="1" applyAlignment="1">
      <alignment horizontal="left" vertical="center" shrinkToFit="1"/>
    </xf>
    <xf numFmtId="0" fontId="5" fillId="0" borderId="108" xfId="0" applyFont="1" applyBorder="1" applyAlignment="1">
      <alignment horizontal="left" vertical="center" shrinkToFit="1"/>
    </xf>
    <xf numFmtId="0" fontId="5" fillId="0" borderId="69" xfId="0" applyFont="1" applyBorder="1" applyAlignment="1">
      <alignment horizontal="left" vertical="center" shrinkToFit="1"/>
    </xf>
    <xf numFmtId="0" fontId="5" fillId="0" borderId="112" xfId="0" applyFont="1" applyBorder="1" applyAlignment="1">
      <alignment horizontal="left" vertical="center" shrinkToFit="1"/>
    </xf>
    <xf numFmtId="0" fontId="5" fillId="0" borderId="68" xfId="0" applyFont="1" applyBorder="1" applyAlignment="1">
      <alignment horizontal="center" vertical="center" shrinkToFit="1"/>
    </xf>
    <xf numFmtId="0" fontId="5" fillId="0" borderId="96" xfId="0" applyFont="1" applyBorder="1" applyAlignment="1">
      <alignment horizontal="center" vertical="center" shrinkToFit="1"/>
    </xf>
    <xf numFmtId="0" fontId="8" fillId="22" borderId="105" xfId="0" applyFont="1" applyFill="1" applyBorder="1" applyAlignment="1">
      <alignment horizontal="center" vertical="center"/>
    </xf>
    <xf numFmtId="0" fontId="8" fillId="22" borderId="106" xfId="0" applyFont="1" applyFill="1" applyBorder="1" applyAlignment="1">
      <alignment horizontal="center" vertical="center"/>
    </xf>
    <xf numFmtId="0" fontId="8" fillId="22" borderId="64" xfId="0" applyFont="1" applyFill="1" applyBorder="1" applyAlignment="1">
      <alignment horizontal="center" vertical="center"/>
    </xf>
    <xf numFmtId="0" fontId="8" fillId="22" borderId="104" xfId="0" applyFont="1" applyFill="1" applyBorder="1" applyAlignment="1">
      <alignment horizontal="center" vertical="center"/>
    </xf>
    <xf numFmtId="0" fontId="8" fillId="22" borderId="64" xfId="0" applyFont="1" applyFill="1" applyBorder="1" applyAlignment="1">
      <alignment horizontal="center" vertical="center" shrinkToFit="1"/>
    </xf>
    <xf numFmtId="0" fontId="8" fillId="22" borderId="104" xfId="0" applyFont="1" applyFill="1" applyBorder="1" applyAlignment="1">
      <alignment horizontal="center" vertical="center" shrinkToFit="1"/>
    </xf>
    <xf numFmtId="0" fontId="8" fillId="2" borderId="64" xfId="0" applyFont="1" applyFill="1" applyBorder="1" applyAlignment="1">
      <alignment horizontal="center" vertical="center"/>
    </xf>
    <xf numFmtId="0" fontId="8" fillId="2" borderId="104" xfId="0" applyFont="1" applyFill="1" applyBorder="1" applyAlignment="1">
      <alignment horizontal="center" vertical="center"/>
    </xf>
    <xf numFmtId="0" fontId="8" fillId="2" borderId="64" xfId="0" applyFont="1" applyFill="1" applyBorder="1" applyAlignment="1">
      <alignment horizontal="center" vertical="center" shrinkToFit="1"/>
    </xf>
    <xf numFmtId="0" fontId="8" fillId="2" borderId="104" xfId="0" applyFont="1" applyFill="1" applyBorder="1" applyAlignment="1">
      <alignment horizontal="center" vertical="center" shrinkToFit="1"/>
    </xf>
    <xf numFmtId="0" fontId="8" fillId="21" borderId="105" xfId="0" applyFont="1" applyFill="1" applyBorder="1" applyAlignment="1">
      <alignment horizontal="left" vertical="center" shrinkToFit="1"/>
    </xf>
    <xf numFmtId="0" fontId="8" fillId="21" borderId="140" xfId="0" applyFont="1" applyFill="1" applyBorder="1" applyAlignment="1">
      <alignment horizontal="left" vertical="center" shrinkToFit="1"/>
    </xf>
    <xf numFmtId="0" fontId="8" fillId="22" borderId="105" xfId="0" applyFont="1" applyFill="1" applyBorder="1" applyAlignment="1">
      <alignment horizontal="left" vertical="center"/>
    </xf>
    <xf numFmtId="0" fontId="8" fillId="22" borderId="106" xfId="0" applyFont="1" applyFill="1" applyBorder="1" applyAlignment="1">
      <alignment horizontal="left" vertical="center"/>
    </xf>
    <xf numFmtId="0" fontId="8" fillId="2" borderId="105" xfId="0" applyFont="1" applyFill="1" applyBorder="1" applyAlignment="1">
      <alignment horizontal="left" vertical="center"/>
    </xf>
    <xf numFmtId="0" fontId="8" fillId="2" borderId="140" xfId="0" applyFont="1" applyFill="1" applyBorder="1" applyAlignment="1">
      <alignment horizontal="left" vertical="center"/>
    </xf>
    <xf numFmtId="0" fontId="8" fillId="2" borderId="107" xfId="0" applyFont="1" applyFill="1" applyBorder="1" applyAlignment="1">
      <alignment horizontal="left" vertical="center"/>
    </xf>
    <xf numFmtId="0" fontId="9" fillId="0" borderId="63" xfId="0" applyFont="1" applyBorder="1" applyAlignment="1">
      <alignment vertical="center" wrapText="1"/>
    </xf>
    <xf numFmtId="0" fontId="25" fillId="0" borderId="1" xfId="0" applyFont="1" applyBorder="1" applyAlignment="1">
      <alignment vertical="center" wrapText="1"/>
    </xf>
    <xf numFmtId="0" fontId="9" fillId="0" borderId="68" xfId="0" applyFont="1" applyBorder="1" applyAlignment="1">
      <alignment vertical="center" wrapText="1"/>
    </xf>
    <xf numFmtId="0" fontId="9" fillId="0" borderId="96" xfId="0" applyFont="1" applyBorder="1" applyAlignment="1">
      <alignment vertical="center" wrapText="1"/>
    </xf>
    <xf numFmtId="0" fontId="9" fillId="0" borderId="2" xfId="0" applyFont="1" applyBorder="1" applyAlignment="1">
      <alignment vertical="center" wrapText="1"/>
    </xf>
    <xf numFmtId="0" fontId="25" fillId="0" borderId="2" xfId="0" applyFont="1" applyBorder="1" applyAlignment="1">
      <alignment vertical="center" wrapText="1"/>
    </xf>
    <xf numFmtId="0" fontId="9" fillId="0" borderId="68" xfId="0" applyFont="1" applyBorder="1" applyAlignment="1">
      <alignment vertical="center"/>
    </xf>
    <xf numFmtId="0" fontId="9" fillId="0" borderId="2" xfId="0" applyFont="1" applyBorder="1" applyAlignment="1">
      <alignment vertical="center"/>
    </xf>
    <xf numFmtId="0" fontId="9" fillId="0" borderId="54" xfId="0" applyFont="1" applyBorder="1" applyAlignment="1">
      <alignment horizontal="center" vertical="center" shrinkToFit="1"/>
    </xf>
    <xf numFmtId="0" fontId="24" fillId="0" borderId="0"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cellXfs>
  <cellStyles count="9">
    <cellStyle name="パーセント" xfId="1" builtinId="5"/>
    <cellStyle name="桁区切り" xfId="7" builtinId="6"/>
    <cellStyle name="桁区切り 2" xfId="8" xr:uid="{00000000-0005-0000-0000-000002000000}"/>
    <cellStyle name="標準" xfId="0" builtinId="0"/>
    <cellStyle name="標準 2" xfId="2" xr:uid="{00000000-0005-0000-0000-000004000000}"/>
    <cellStyle name="標準 2 2" xfId="3" xr:uid="{00000000-0005-0000-0000-000005000000}"/>
    <cellStyle name="標準 3" xfId="4" xr:uid="{00000000-0005-0000-0000-000006000000}"/>
    <cellStyle name="標準 4" xfId="5" xr:uid="{00000000-0005-0000-0000-000007000000}"/>
    <cellStyle name="標準 4 2" xfId="6" xr:uid="{00000000-0005-0000-0000-000008000000}"/>
  </cellStyles>
  <dxfs count="1028">
    <dxf>
      <font>
        <b val="0"/>
        <i val="0"/>
        <strike val="0"/>
        <condense val="0"/>
        <extend val="0"/>
        <outline val="0"/>
        <shadow val="0"/>
        <u val="none"/>
        <vertAlign val="baseline"/>
        <sz val="11"/>
        <color auto="1"/>
        <name val="メイリオ"/>
        <scheme val="none"/>
      </font>
      <numFmt numFmtId="6" formatCode="#,##0;[Red]\-#,##0"/>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auto="1"/>
        <name val="メイリオ"/>
        <scheme val="none"/>
      </font>
      <fill>
        <patternFill patternType="solid">
          <fgColor theme="4" tint="0.79998168889431442"/>
          <bgColor theme="4" tint="0.79998168889431442"/>
        </patternFill>
      </fill>
      <alignment horizontal="left" vertical="center" textRotation="0" wrapText="0" indent="0" justifyLastLine="0" shrinkToFit="0" readingOrder="0"/>
      <border diagonalUp="0" diagonalDown="0">
        <left/>
        <right/>
        <top style="thin">
          <color theme="4" tint="0.39997558519241921"/>
        </top>
        <bottom style="thin">
          <color theme="4" tint="0.39997558519241921"/>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1"/>
        <color auto="1"/>
        <name val="メイリオ"/>
        <scheme val="none"/>
      </font>
      <fill>
        <patternFill patternType="solid">
          <fgColor theme="4"/>
          <bgColor theme="4"/>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メイリオ"/>
        <scheme val="none"/>
      </font>
      <fill>
        <patternFill patternType="none">
          <fgColor indexed="64"/>
          <bgColor indexed="65"/>
        </patternFill>
      </fill>
    </dxf>
    <dxf>
      <font>
        <b val="0"/>
        <i val="0"/>
        <strike val="0"/>
        <condense val="0"/>
        <extend val="0"/>
        <outline val="0"/>
        <shadow val="0"/>
        <u val="none"/>
        <vertAlign val="baseline"/>
        <sz val="11"/>
        <color auto="1"/>
        <name val="メイリオ"/>
        <scheme val="none"/>
      </font>
      <fill>
        <patternFill patternType="none">
          <fgColor indexed="64"/>
          <bgColor indexed="65"/>
        </patternFill>
      </fill>
    </dxf>
    <dxf>
      <border outline="0">
        <top style="thin">
          <color theme="4" tint="0.39997558519241921"/>
        </top>
      </border>
    </dxf>
    <dxf>
      <numFmt numFmtId="6" formatCode="#,##0;[Red]\-#,##0"/>
      <fill>
        <patternFill patternType="none">
          <fgColor indexed="64"/>
          <bgColor indexed="65"/>
        </patternFill>
      </fill>
    </dxf>
    <dxf>
      <numFmt numFmtId="6" formatCode="#,##0;[Red]\-#,##0"/>
      <fill>
        <patternFill patternType="none">
          <fgColor indexed="64"/>
          <bgColor indexed="65"/>
        </patternFill>
      </fill>
    </dxf>
    <dxf>
      <numFmt numFmtId="6" formatCode="#,##0;[Red]\-#,##0"/>
      <fill>
        <patternFill patternType="none">
          <fgColor indexed="64"/>
          <bgColor indexed="65"/>
        </patternFill>
      </fill>
    </dxf>
    <dxf>
      <numFmt numFmtId="6" formatCode="#,##0;[Red]\-#,##0"/>
      <fill>
        <patternFill patternType="none">
          <fgColor indexed="64"/>
          <bgColor indexed="65"/>
        </patternFill>
      </fill>
    </dxf>
    <dxf>
      <numFmt numFmtId="6" formatCode="#,##0;[Red]\-#,##0"/>
      <fill>
        <patternFill patternType="none">
          <fgColor indexed="64"/>
          <bgColor indexed="65"/>
        </patternFill>
      </fill>
    </dxf>
    <dxf>
      <numFmt numFmtId="6" formatCode="#,##0;[Red]\-#,##0"/>
      <fill>
        <patternFill patternType="none">
          <fgColor indexed="64"/>
          <bgColor indexed="65"/>
        </patternFill>
      </fill>
    </dxf>
    <dxf>
      <numFmt numFmtId="6" formatCode="#,##0;[Red]\-#,##0"/>
      <fill>
        <patternFill patternType="none">
          <fgColor indexed="64"/>
          <bgColor indexed="65"/>
        </patternFill>
      </fill>
    </dxf>
    <dxf>
      <numFmt numFmtId="6" formatCode="#,##0;[Red]\-#,##0"/>
      <fill>
        <patternFill patternType="none">
          <fgColor indexed="64"/>
          <bgColor indexed="65"/>
        </patternFill>
      </fill>
    </dxf>
    <dxf>
      <numFmt numFmtId="6" formatCode="#,##0;[Red]\-#,##0"/>
      <fill>
        <patternFill patternType="none">
          <fgColor indexed="64"/>
          <bgColor indexed="65"/>
        </patternFill>
      </fill>
    </dxf>
    <dxf>
      <numFmt numFmtId="6" formatCode="#,##0;[Red]\-#,##0"/>
      <fill>
        <patternFill patternType="none">
          <fgColor indexed="64"/>
          <bgColor indexed="65"/>
        </patternFill>
      </fill>
    </dxf>
    <dxf>
      <numFmt numFmtId="6" formatCode="#,##0;[Red]\-#,##0"/>
      <fill>
        <patternFill patternType="none">
          <fgColor indexed="64"/>
          <bgColor indexed="65"/>
        </patternFill>
      </fill>
    </dxf>
    <dxf>
      <numFmt numFmtId="6" formatCode="#,##0;[Red]\-#,##0"/>
      <fill>
        <patternFill patternType="none">
          <fgColor indexed="64"/>
          <bgColor indexed="65"/>
        </patternFill>
      </fill>
    </dxf>
    <dxf>
      <numFmt numFmtId="6" formatCode="#,##0;[Red]\-#,##0"/>
      <fill>
        <patternFill patternType="none">
          <fgColor indexed="64"/>
          <bgColor indexed="65"/>
        </patternFill>
      </fill>
    </dxf>
    <dxf>
      <numFmt numFmtId="6" formatCode="#,##0;[Red]\-#,##0"/>
      <fill>
        <patternFill patternType="none">
          <fgColor indexed="64"/>
          <bgColor indexed="65"/>
        </patternFill>
      </fill>
    </dxf>
    <dxf>
      <numFmt numFmtId="6" formatCode="#,##0;[Red]\-#,##0"/>
      <fill>
        <patternFill patternType="none">
          <fgColor indexed="64"/>
          <bgColor indexed="65"/>
        </patternFill>
      </fill>
    </dxf>
    <dxf>
      <numFmt numFmtId="6" formatCode="#,##0;[Red]\-#,##0"/>
      <fill>
        <patternFill patternType="none">
          <fgColor indexed="64"/>
          <bgColor indexed="65"/>
        </patternFill>
      </fill>
    </dxf>
    <dxf>
      <numFmt numFmtId="6" formatCode="#,##0;[Red]\-#,##0"/>
      <fill>
        <patternFill patternType="none">
          <fgColor indexed="64"/>
          <bgColor indexed="65"/>
        </patternFill>
      </fill>
    </dxf>
    <dxf>
      <numFmt numFmtId="6" formatCode="#,##0;[Red]\-#,##0"/>
      <fill>
        <patternFill patternType="none">
          <fgColor indexed="64"/>
          <bgColor indexed="65"/>
        </patternFill>
      </fill>
    </dxf>
    <dxf>
      <numFmt numFmtId="6" formatCode="#,##0;[Red]\-#,##0"/>
      <fill>
        <patternFill patternType="none">
          <fgColor indexed="64"/>
          <bgColor indexed="65"/>
        </patternFill>
      </fill>
    </dxf>
    <dxf>
      <numFmt numFmtId="6" formatCode="#,##0;[Red]\-#,##0"/>
      <fill>
        <patternFill patternType="none">
          <fgColor indexed="64"/>
          <bgColor indexed="65"/>
        </patternFill>
      </fill>
    </dxf>
    <dxf>
      <numFmt numFmtId="6" formatCode="#,##0;[Red]\-#,##0"/>
      <fill>
        <patternFill patternType="none">
          <fgColor indexed="64"/>
          <bgColor indexed="65"/>
        </patternFill>
      </fill>
    </dxf>
    <dxf>
      <numFmt numFmtId="6" formatCode="#,##0;[Red]\-#,##0"/>
      <fill>
        <patternFill patternType="none">
          <fgColor indexed="64"/>
          <bgColor indexed="65"/>
        </patternFill>
      </fill>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dxf>
    <dxf>
      <border outline="0">
        <bottom style="thin">
          <color theme="4" tint="0.39997558519241921"/>
        </bottom>
      </border>
    </dxf>
    <dxf>
      <font>
        <b/>
        <i val="0"/>
        <strike val="0"/>
        <condense val="0"/>
        <extend val="0"/>
        <outline val="0"/>
        <shadow val="0"/>
        <u val="none"/>
        <vertAlign val="baseline"/>
        <sz val="11"/>
        <color theme="1"/>
        <name val="ＭＳ Ｐゴシック"/>
        <scheme val="minor"/>
      </font>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fill>
        <patternFill patternType="none">
          <fgColor indexed="64"/>
          <bgColor indexed="65"/>
        </patternFill>
      </fill>
    </dxf>
    <dxf>
      <font>
        <b val="0"/>
        <i val="0"/>
        <strike val="0"/>
        <condense val="0"/>
        <extend val="0"/>
        <outline val="0"/>
        <shadow val="0"/>
        <u val="none"/>
        <vertAlign val="baseline"/>
        <sz val="11"/>
        <color auto="1"/>
        <name val="メイリオ"/>
        <scheme val="none"/>
      </font>
      <fill>
        <patternFill patternType="none">
          <fgColor indexed="64"/>
          <bgColor indexed="65"/>
        </patternFill>
      </fill>
    </dxf>
    <dxf>
      <font>
        <b val="0"/>
        <i val="0"/>
        <strike val="0"/>
        <condense val="0"/>
        <extend val="0"/>
        <outline val="0"/>
        <shadow val="0"/>
        <u val="none"/>
        <vertAlign val="baseline"/>
        <sz val="11"/>
        <color auto="1"/>
        <name val="メイリオ"/>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メイリオ"/>
        <scheme val="none"/>
      </font>
    </dxf>
    <dxf>
      <font>
        <b/>
        <i val="0"/>
        <strike val="0"/>
        <condense val="0"/>
        <extend val="0"/>
        <outline val="0"/>
        <shadow val="0"/>
        <u val="none"/>
        <vertAlign val="baseline"/>
        <sz val="11"/>
        <color auto="1"/>
        <name val="メイリオ"/>
        <scheme val="none"/>
      </font>
      <fill>
        <patternFill patternType="solid">
          <fgColor theme="4"/>
          <bgColor theme="4"/>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メイリオ"/>
        <scheme val="none"/>
      </font>
    </dxf>
    <dxf>
      <font>
        <b/>
        <i val="0"/>
        <strike val="0"/>
        <condense val="0"/>
        <extend val="0"/>
        <outline val="0"/>
        <shadow val="0"/>
        <u val="none"/>
        <vertAlign val="baseline"/>
        <sz val="11"/>
        <color auto="1"/>
        <name val="メイリオ"/>
        <scheme val="none"/>
      </font>
      <fill>
        <patternFill patternType="solid">
          <fgColor theme="4"/>
          <bgColor theme="4"/>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メイリオ"/>
        <scheme val="none"/>
      </font>
      <numFmt numFmtId="6" formatCode="#,##0;[Red]\-#,##0"/>
    </dxf>
    <dxf>
      <font>
        <b/>
        <i val="0"/>
        <strike val="0"/>
        <condense val="0"/>
        <extend val="0"/>
        <outline val="0"/>
        <shadow val="0"/>
        <u val="none"/>
        <vertAlign val="baseline"/>
        <sz val="11"/>
        <color auto="1"/>
        <name val="メイリオ"/>
        <scheme val="none"/>
      </font>
      <fill>
        <patternFill patternType="solid">
          <fgColor theme="4"/>
          <bgColor theme="4"/>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メイリオ"/>
        <scheme val="none"/>
      </font>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border diagonalUp="0" diagonalDown="0">
        <left style="thin">
          <color theme="4" tint="0.39997558519241921"/>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auto="1"/>
        <name val="メイリオ"/>
        <scheme val="none"/>
      </font>
      <fill>
        <patternFill patternType="solid">
          <fgColor theme="4"/>
          <bgColor theme="4"/>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メイリオ"/>
        <scheme val="none"/>
      </font>
      <numFmt numFmtId="6" formatCode="#,##0;[Red]\-#,##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メイリオ"/>
        <scheme val="none"/>
      </font>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auto="1"/>
        <name val="メイリオ"/>
        <scheme val="none"/>
      </font>
      <fill>
        <patternFill patternType="solid">
          <fgColor theme="4"/>
          <bgColor theme="4"/>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メイリオ"/>
        <family val="3"/>
        <charset val="128"/>
        <scheme val="none"/>
      </font>
      <fill>
        <patternFill patternType="solid">
          <fgColor theme="4" tint="0.79998168889431442"/>
          <bgColor theme="4" tint="0.79998168889431442"/>
        </patternFill>
      </fill>
      <border diagonalUp="0" diagonalDown="0">
        <left style="thin">
          <color theme="0"/>
        </left>
        <right/>
        <top style="thin">
          <color theme="4" tint="0.39997558519241921"/>
        </top>
        <bottom/>
        <vertical/>
        <horizontal/>
      </border>
    </dxf>
    <dxf>
      <font>
        <b val="0"/>
        <i val="0"/>
        <strike val="0"/>
        <condense val="0"/>
        <extend val="0"/>
        <outline val="0"/>
        <shadow val="0"/>
        <u val="none"/>
        <vertAlign val="baseline"/>
        <sz val="11"/>
        <color theme="1"/>
        <name val="メイリオ"/>
        <family val="3"/>
        <charset val="128"/>
        <scheme val="none"/>
      </font>
      <numFmt numFmtId="6" formatCode="#,##0;[Red]\-#,##0"/>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メイリオ"/>
        <family val="3"/>
        <charset val="128"/>
        <scheme val="none"/>
      </font>
      <numFmt numFmtId="6" formatCode="#,##0;[Red]\-#,##0"/>
      <fill>
        <patternFill patternType="solid">
          <fgColor theme="4" tint="0.79998168889431442"/>
          <bgColor theme="4" tint="0.79998168889431442"/>
        </patternFill>
      </fill>
      <border diagonalUp="0" diagonalDown="0">
        <left style="thin">
          <color theme="0"/>
        </left>
        <right/>
        <top style="thin">
          <color theme="4" tint="0.39997558519241921"/>
        </top>
        <bottom/>
        <vertical/>
        <horizontal/>
      </border>
    </dxf>
    <dxf>
      <font>
        <b val="0"/>
        <i val="0"/>
        <strike val="0"/>
        <condense val="0"/>
        <extend val="0"/>
        <outline val="0"/>
        <shadow val="0"/>
        <u val="none"/>
        <vertAlign val="baseline"/>
        <sz val="11"/>
        <color theme="1"/>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メイリオ"/>
        <family val="3"/>
        <charset val="128"/>
        <scheme val="none"/>
      </font>
      <fill>
        <patternFill patternType="solid">
          <fgColor theme="4" tint="0.79998168889431442"/>
          <bgColor theme="4" tint="0.79998168889431442"/>
        </patternFill>
      </fill>
      <alignment horizontal="general" vertical="center" textRotation="0" wrapText="0" indent="0" justifyLastLine="0" shrinkToFit="1" readingOrder="0"/>
      <border diagonalUp="0" diagonalDown="0">
        <left style="thin">
          <color theme="0"/>
        </left>
        <right/>
        <top style="thin">
          <color theme="0"/>
        </top>
        <bottom/>
        <vertical/>
        <horizontal/>
      </border>
    </dxf>
    <dxf>
      <border outline="0">
        <right style="thin">
          <color theme="4" tint="0.39997558519241921"/>
        </right>
        <bottom style="thin">
          <color theme="4" tint="0.39997558519241921"/>
        </bottom>
      </border>
    </dxf>
    <dxf>
      <font>
        <b val="0"/>
        <i val="0"/>
        <strike val="0"/>
        <condense val="0"/>
        <extend val="0"/>
        <outline val="0"/>
        <shadow val="0"/>
        <u val="none"/>
        <vertAlign val="baseline"/>
        <sz val="11"/>
        <color theme="1"/>
        <name val="メイリオ"/>
        <family val="3"/>
        <charset val="128"/>
        <scheme val="none"/>
      </font>
      <border diagonalUp="0" diagonalDown="0">
        <left style="thin">
          <color theme="0"/>
        </left>
        <right/>
        <top style="thin">
          <color theme="4" tint="0.39997558519241921"/>
        </top>
        <bottom/>
        <vertical/>
        <horizontal/>
      </border>
    </dxf>
    <dxf>
      <font>
        <b val="0"/>
        <i val="0"/>
        <strike val="0"/>
        <condense val="0"/>
        <extend val="0"/>
        <outline val="0"/>
        <shadow val="0"/>
        <u val="none"/>
        <vertAlign val="baseline"/>
        <sz val="11"/>
        <color theme="1"/>
        <name val="メイリオ"/>
        <family val="3"/>
        <charset val="128"/>
        <scheme val="none"/>
      </font>
      <numFmt numFmtId="6" formatCode="#,##0;[Red]\-#,##0"/>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メイリオ"/>
        <family val="3"/>
        <charset val="128"/>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family val="3"/>
        <charset val="128"/>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family val="3"/>
        <charset val="128"/>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family val="3"/>
        <charset val="128"/>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family val="3"/>
        <charset val="128"/>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family val="3"/>
        <charset val="128"/>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family val="3"/>
        <charset val="128"/>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family val="3"/>
        <charset val="128"/>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family val="3"/>
        <charset val="128"/>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family val="3"/>
        <charset val="128"/>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family val="3"/>
        <charset val="128"/>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family val="3"/>
        <charset val="128"/>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family val="3"/>
        <charset val="128"/>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family val="3"/>
        <charset val="128"/>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family val="3"/>
        <charset val="128"/>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family val="3"/>
        <charset val="128"/>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family val="3"/>
        <charset val="128"/>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family val="3"/>
        <charset val="128"/>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family val="3"/>
        <charset val="128"/>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border outline="0">
        <right style="thin">
          <color theme="4" tint="0.39997558519241921"/>
        </right>
        <bottom style="thin">
          <color theme="4" tint="0.39997558519241921"/>
        </bottom>
      </border>
    </dxf>
    <dxf>
      <font>
        <b/>
        <i val="0"/>
        <strike val="0"/>
        <condense val="0"/>
        <extend val="0"/>
        <outline val="0"/>
        <shadow val="0"/>
        <u val="none"/>
        <vertAlign val="baseline"/>
        <sz val="11"/>
        <color auto="1"/>
        <name val="メイリオ"/>
        <family val="3"/>
        <charset val="128"/>
        <scheme val="none"/>
      </font>
      <fill>
        <patternFill patternType="solid">
          <fgColor theme="4"/>
          <bgColor theme="4"/>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numFmt numFmtId="6" formatCode="#,##0;[Red]\-#,##0"/>
      <fill>
        <patternFill patternType="none">
          <fgColor indexed="64"/>
          <bgColor indexed="65"/>
        </patternFill>
      </fill>
    </dxf>
    <dxf>
      <font>
        <b val="0"/>
        <i val="0"/>
        <strike val="0"/>
        <condense val="0"/>
        <extend val="0"/>
        <outline val="0"/>
        <shadow val="0"/>
        <u val="none"/>
        <vertAlign val="baseline"/>
        <sz val="11"/>
        <color auto="1"/>
        <name val="メイリオ"/>
        <scheme val="none"/>
      </font>
      <fill>
        <patternFill patternType="none">
          <fgColor indexed="64"/>
          <bgColor indexed="65"/>
        </patternFill>
      </fill>
    </dxf>
    <dxf>
      <font>
        <b val="0"/>
        <i val="0"/>
        <strike val="0"/>
        <condense val="0"/>
        <extend val="0"/>
        <outline val="0"/>
        <shadow val="0"/>
        <u val="none"/>
        <vertAlign val="baseline"/>
        <sz val="11"/>
        <color auto="1"/>
        <name val="メイリオ"/>
        <scheme val="none"/>
      </font>
      <fill>
        <patternFill patternType="none">
          <fgColor indexed="64"/>
          <bgColor indexed="65"/>
        </patternFill>
      </fill>
    </dxf>
    <dxf>
      <font>
        <b val="0"/>
        <i val="0"/>
        <strike val="0"/>
        <condense val="0"/>
        <extend val="0"/>
        <outline val="0"/>
        <shadow val="0"/>
        <u val="none"/>
        <vertAlign val="baseline"/>
        <sz val="11"/>
        <color auto="1"/>
        <name val="メイリオ"/>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auto="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0"/>
        <name val="メイリオ"/>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auto="1"/>
        <name val="メイリオ"/>
        <scheme val="none"/>
      </font>
      <fill>
        <patternFill patternType="none">
          <fgColor indexed="64"/>
          <bgColor indexed="65"/>
        </patternFill>
      </fill>
    </dxf>
    <dxf>
      <font>
        <b val="0"/>
        <i val="0"/>
        <strike val="0"/>
        <condense val="0"/>
        <extend val="0"/>
        <outline val="0"/>
        <shadow val="0"/>
        <u val="none"/>
        <vertAlign val="baseline"/>
        <sz val="11"/>
        <color theme="1"/>
        <name val="メイリオ"/>
        <scheme val="none"/>
      </font>
      <fill>
        <patternFill patternType="none">
          <fgColor indexed="64"/>
          <bgColor indexed="65"/>
        </patternFill>
      </fill>
    </dxf>
    <dxf>
      <font>
        <b val="0"/>
        <i val="0"/>
        <strike val="0"/>
        <condense val="0"/>
        <extend val="0"/>
        <outline val="0"/>
        <shadow val="0"/>
        <u val="none"/>
        <vertAlign val="baseline"/>
        <sz val="11"/>
        <color theme="0"/>
        <name val="メイリオ"/>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dxf>
    <dxf>
      <font>
        <b val="0"/>
        <i val="0"/>
        <strike val="0"/>
        <condense val="0"/>
        <extend val="0"/>
        <outline val="0"/>
        <shadow val="0"/>
        <u val="none"/>
        <vertAlign val="baseline"/>
        <sz val="11"/>
        <color auto="1"/>
        <name val="メイリオ"/>
        <scheme val="none"/>
      </font>
      <fill>
        <patternFill patternType="solid">
          <fgColor indexed="64"/>
          <bgColor theme="0"/>
        </patternFill>
      </fill>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dxf>
    <dxf>
      <font>
        <b val="0"/>
        <i val="0"/>
        <strike val="0"/>
        <condense val="0"/>
        <extend val="0"/>
        <outline val="0"/>
        <shadow val="0"/>
        <u val="none"/>
        <vertAlign val="baseline"/>
        <sz val="11"/>
        <color auto="1"/>
        <name val="メイリオ"/>
        <scheme val="none"/>
      </font>
      <fill>
        <patternFill patternType="solid">
          <fgColor indexed="64"/>
          <bgColor theme="0"/>
        </patternFill>
      </fill>
    </dxf>
    <dxf>
      <font>
        <b val="0"/>
        <i val="0"/>
        <strike val="0"/>
        <condense val="0"/>
        <extend val="0"/>
        <outline val="0"/>
        <shadow val="0"/>
        <u val="none"/>
        <vertAlign val="baseline"/>
        <sz val="11"/>
        <color auto="1"/>
        <name val="メイリオ"/>
        <scheme val="none"/>
      </font>
      <fill>
        <patternFill patternType="solid">
          <fgColor indexed="64"/>
          <bgColor theme="0"/>
        </patternFill>
      </fill>
    </dxf>
    <dxf>
      <font>
        <b val="0"/>
        <i val="0"/>
        <strike val="0"/>
        <condense val="0"/>
        <extend val="0"/>
        <outline val="0"/>
        <shadow val="0"/>
        <u val="none"/>
        <vertAlign val="baseline"/>
        <sz val="11"/>
        <color auto="1"/>
        <name val="メイリオ"/>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border diagonalUp="0" diagonalDown="0">
        <left style="thin">
          <color theme="8"/>
        </left>
        <right/>
        <top style="thin">
          <color theme="8"/>
        </top>
        <bottom style="thin">
          <color theme="8"/>
        </bottom>
        <vertical/>
        <horizontal/>
      </border>
    </dxf>
    <dxf>
      <font>
        <b val="0"/>
        <i val="0"/>
        <strike val="0"/>
        <condense val="0"/>
        <extend val="0"/>
        <outline val="0"/>
        <shadow val="0"/>
        <u val="none"/>
        <vertAlign val="baseline"/>
        <sz val="11"/>
        <color auto="1"/>
        <name val="メイリオ"/>
        <scheme val="none"/>
      </font>
      <fill>
        <patternFill patternType="solid">
          <fgColor indexed="64"/>
          <bgColor theme="0"/>
        </patternFill>
      </fill>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1"/>
        <color auto="1"/>
        <name val="メイリオ"/>
        <scheme val="none"/>
      </font>
      <numFmt numFmtId="6" formatCode="#,##0;[Red]\-#,##0"/>
      <fill>
        <patternFill patternType="solid">
          <fgColor indexed="64"/>
          <bgColor theme="0"/>
        </patternFill>
      </fill>
      <border diagonalUp="0" diagonalDown="0">
        <left style="thin">
          <color theme="8"/>
        </left>
        <right style="thin">
          <color theme="8"/>
        </right>
        <top style="thin">
          <color theme="8"/>
        </top>
        <bottom style="thin">
          <color theme="8"/>
        </bottom>
        <vertical/>
        <horizontal/>
      </border>
    </dxf>
    <dxf>
      <font>
        <b val="0"/>
        <i val="0"/>
        <strike val="0"/>
        <condense val="0"/>
        <extend val="0"/>
        <outline val="0"/>
        <shadow val="0"/>
        <u val="none"/>
        <vertAlign val="baseline"/>
        <sz val="11"/>
        <color auto="1"/>
        <name val="メイリオ"/>
        <scheme val="none"/>
      </font>
      <fill>
        <patternFill patternType="solid">
          <fgColor indexed="64"/>
          <bgColor theme="0"/>
        </patternFill>
      </fill>
      <border diagonalUp="0" diagonalDown="0">
        <left style="thin">
          <color theme="8"/>
        </left>
        <right style="thin">
          <color theme="8"/>
        </right>
        <top style="thin">
          <color theme="8"/>
        </top>
        <bottom style="thin">
          <color theme="8"/>
        </bottom>
        <vertical/>
        <horizontal/>
      </border>
    </dxf>
    <dxf>
      <border outline="0">
        <right style="thin">
          <color theme="8"/>
        </right>
        <bottom style="thin">
          <color theme="8"/>
        </bottom>
      </border>
    </dxf>
    <dxf>
      <font>
        <b val="0"/>
        <i val="0"/>
        <strike val="0"/>
        <condense val="0"/>
        <extend val="0"/>
        <outline val="0"/>
        <shadow val="0"/>
        <u val="none"/>
        <vertAlign val="baseline"/>
        <sz val="11"/>
        <color auto="1"/>
        <name val="メイリオ"/>
        <scheme val="none"/>
      </font>
      <fill>
        <patternFill patternType="solid">
          <fgColor indexed="64"/>
          <bgColor theme="0"/>
        </patternFill>
      </fill>
    </dxf>
    <dxf>
      <font>
        <b/>
        <i val="0"/>
        <strike val="0"/>
        <condense val="0"/>
        <extend val="0"/>
        <outline val="0"/>
        <shadow val="0"/>
        <u val="none"/>
        <vertAlign val="baseline"/>
        <sz val="11"/>
        <color auto="1"/>
        <name val="メイリオ"/>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theme="8"/>
        </left>
        <right style="thin">
          <color theme="8"/>
        </right>
        <top/>
        <bottom/>
      </border>
    </dxf>
    <dxf>
      <font>
        <b val="0"/>
        <i val="0"/>
        <strike val="0"/>
        <condense val="0"/>
        <extend val="0"/>
        <outline val="0"/>
        <shadow val="0"/>
        <u val="none"/>
        <vertAlign val="baseline"/>
        <sz val="11"/>
        <color theme="1"/>
        <name val="メイリオ"/>
        <scheme val="none"/>
      </font>
      <numFmt numFmtId="6" formatCode="#,##0;[Red]\-#,##0"/>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1"/>
        <name val="メイリオ"/>
        <scheme val="none"/>
      </font>
      <numFmt numFmtId="6" formatCode="#,##0;[Red]\-#,##0"/>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6" formatCode="#,##0;[Red]\-#,##0"/>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6" formatCode="#,##0;[Red]\-#,##0"/>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6" formatCode="#,##0;[Red]\-#,##0"/>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6" formatCode="#,##0;[Red]\-#,##0"/>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6" formatCode="#,##0;[Red]\-#,##0"/>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6" formatCode="#,##0;[Red]\-#,##0"/>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6" formatCode="#,##0;[Red]\-#,##0"/>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6" formatCode="#,##0;[Red]\-#,##0"/>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6" formatCode="#,##0;[Red]\-#,##0"/>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6" formatCode="#,##0;[Red]\-#,##0"/>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6" formatCode="#,##0;[Red]\-#,##0"/>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6" formatCode="#,##0;[Red]\-#,##0"/>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6" formatCode="#,##0;[Red]\-#,##0"/>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6" formatCode="#,##0;[Red]\-#,##0"/>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6" formatCode="#,##0;[Red]\-#,##0"/>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6" formatCode="#,##0;[Red]\-#,##0"/>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6" formatCode="#,##0;[Red]\-#,##0"/>
      <alignment horizontal="general" vertical="center" textRotation="0" wrapText="1" indent="0" justifyLastLine="0" shrinkToFit="0" readingOrder="0"/>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dxf>
    <dxf>
      <font>
        <b val="0"/>
        <i val="0"/>
        <strike val="0"/>
        <condense val="0"/>
        <extend val="0"/>
        <outline val="0"/>
        <shadow val="0"/>
        <u val="none"/>
        <vertAlign val="baseline"/>
        <sz val="11"/>
        <color theme="1"/>
        <name val="メイリオ"/>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メイリオ"/>
        <scheme val="none"/>
      </font>
      <fill>
        <patternFill patternType="none">
          <fgColor indexed="64"/>
          <bgColor auto="1"/>
        </patternFill>
      </fill>
      <alignment horizontal="general" vertical="center" textRotation="0" wrapText="0" indent="0" justifyLastLine="0" shrinkToFit="1"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fill>
        <patternFill patternType="none">
          <fgColor indexed="64"/>
          <bgColor auto="1"/>
        </patternFill>
      </fill>
    </dxf>
    <dxf>
      <font>
        <b val="0"/>
        <i val="0"/>
        <strike val="0"/>
        <condense val="0"/>
        <extend val="0"/>
        <outline val="0"/>
        <shadow val="0"/>
        <u val="none"/>
        <vertAlign val="baseline"/>
        <sz val="11"/>
        <color theme="1"/>
        <name val="メイリオ"/>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fill>
        <patternFill patternType="none">
          <fgColor indexed="64"/>
          <bgColor auto="1"/>
        </patternFill>
      </fill>
      <alignment horizontal="general" vertical="center" textRotation="0" wrapText="0" indent="0" justifyLastLine="0" shrinkToFit="1"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0"/>
        <name val="メイリオ"/>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メイリオ"/>
        <scheme val="none"/>
      </font>
      <fill>
        <patternFill patternType="none">
          <fgColor indexed="64"/>
          <bgColor auto="1"/>
        </patternFill>
      </fill>
      <alignment horizontal="general" vertical="center" textRotation="0" wrapText="0" indent="0" justifyLastLine="0" shrinkToFit="1" readingOrder="0"/>
    </dxf>
    <dxf>
      <font>
        <b val="0"/>
        <i val="0"/>
        <strike val="0"/>
        <condense val="0"/>
        <extend val="0"/>
        <outline val="0"/>
        <shadow val="0"/>
        <u val="none"/>
        <vertAlign val="baseline"/>
        <sz val="11"/>
        <color theme="0"/>
        <name val="メイリオ"/>
        <scheme val="none"/>
      </font>
      <fill>
        <patternFill patternType="none">
          <fgColor indexed="64"/>
          <bgColor auto="1"/>
        </patternFill>
      </fill>
    </dxf>
    <dxf>
      <font>
        <b val="0"/>
        <i val="0"/>
        <strike val="0"/>
        <condense val="0"/>
        <extend val="0"/>
        <outline val="0"/>
        <shadow val="0"/>
        <u val="none"/>
        <vertAlign val="baseline"/>
        <sz val="11"/>
        <color auto="1"/>
        <name val="メイリオ"/>
        <scheme val="none"/>
      </font>
      <fill>
        <patternFill patternType="none">
          <fgColor indexed="64"/>
          <bgColor auto="1"/>
        </patternFill>
      </fill>
    </dxf>
    <dxf>
      <font>
        <b val="0"/>
        <i val="0"/>
        <strike val="0"/>
        <condense val="0"/>
        <extend val="0"/>
        <outline val="0"/>
        <shadow val="0"/>
        <u val="none"/>
        <vertAlign val="baseline"/>
        <sz val="11"/>
        <color auto="1"/>
        <name val="メイリオ"/>
        <scheme val="none"/>
      </font>
      <fill>
        <patternFill patternType="none">
          <fgColor indexed="64"/>
          <bgColor auto="1"/>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auto="1"/>
        <name val="メイリオ"/>
        <scheme val="none"/>
      </font>
      <fill>
        <patternFill patternType="none">
          <fgColor indexed="64"/>
          <bgColor auto="1"/>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auto="1"/>
        <name val="メイリオ"/>
        <scheme val="none"/>
      </font>
      <fill>
        <patternFill patternType="none">
          <fgColor indexed="64"/>
          <bgColor auto="1"/>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auto="1"/>
        <name val="メイリオ"/>
        <scheme val="none"/>
      </font>
      <fill>
        <patternFill patternType="none">
          <fgColor indexed="64"/>
          <bgColor auto="1"/>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auto="1"/>
        <name val="メイリオ"/>
        <scheme val="none"/>
      </font>
      <fill>
        <patternFill patternType="none">
          <fgColor indexed="64"/>
          <bgColor auto="1"/>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auto="1"/>
        <name val="メイリオ"/>
        <scheme val="none"/>
      </font>
      <fill>
        <patternFill patternType="none">
          <fgColor indexed="64"/>
          <bgColor auto="1"/>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auto="1"/>
        <name val="メイリオ"/>
        <scheme val="none"/>
      </font>
      <fill>
        <patternFill patternType="none">
          <fgColor indexed="64"/>
          <bgColor auto="1"/>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auto="1"/>
        <name val="メイリオ"/>
        <scheme val="none"/>
      </font>
      <fill>
        <patternFill patternType="none">
          <fgColor indexed="64"/>
          <bgColor auto="1"/>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auto="1"/>
        <name val="メイリオ"/>
        <scheme val="none"/>
      </font>
      <fill>
        <patternFill patternType="none">
          <fgColor indexed="64"/>
          <bgColor auto="1"/>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auto="1"/>
        <name val="メイリオ"/>
        <scheme val="none"/>
      </font>
      <fill>
        <patternFill patternType="none">
          <fgColor indexed="64"/>
          <bgColor auto="1"/>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auto="1"/>
        <name val="メイリオ"/>
        <scheme val="none"/>
      </font>
      <fill>
        <patternFill patternType="none">
          <fgColor indexed="64"/>
          <bgColor auto="1"/>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auto="1"/>
        <name val="メイリオ"/>
        <scheme val="none"/>
      </font>
      <fill>
        <patternFill patternType="none">
          <fgColor indexed="64"/>
          <bgColor auto="1"/>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auto="1"/>
        <name val="メイリオ"/>
        <scheme val="none"/>
      </font>
      <fill>
        <patternFill patternType="none">
          <fgColor indexed="64"/>
          <bgColor auto="1"/>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auto="1"/>
        <name val="メイリオ"/>
        <scheme val="none"/>
      </font>
      <fill>
        <patternFill patternType="none">
          <fgColor indexed="64"/>
          <bgColor auto="1"/>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auto="1"/>
        <name val="メイリオ"/>
        <scheme val="none"/>
      </font>
      <fill>
        <patternFill patternType="none">
          <fgColor indexed="64"/>
          <bgColor auto="1"/>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auto="1"/>
        <name val="メイリオ"/>
        <scheme val="none"/>
      </font>
      <fill>
        <patternFill patternType="none">
          <fgColor indexed="64"/>
          <bgColor auto="1"/>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auto="1"/>
        <name val="メイリオ"/>
        <scheme val="none"/>
      </font>
      <fill>
        <patternFill patternType="none">
          <fgColor indexed="64"/>
          <bgColor auto="1"/>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auto="1"/>
        <name val="メイリオ"/>
        <scheme val="none"/>
      </font>
      <fill>
        <patternFill patternType="none">
          <fgColor indexed="64"/>
          <bgColor auto="1"/>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auto="1"/>
        <name val="メイリオ"/>
        <scheme val="none"/>
      </font>
      <fill>
        <patternFill patternType="none">
          <fgColor indexed="64"/>
          <bgColor auto="1"/>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auto="1"/>
        <name val="メイリオ"/>
        <scheme val="none"/>
      </font>
      <fill>
        <patternFill patternType="none">
          <fgColor indexed="64"/>
          <bgColor auto="1"/>
        </patternFill>
      </fill>
    </dxf>
    <dxf>
      <font>
        <b val="0"/>
        <i val="0"/>
        <strike val="0"/>
        <condense val="0"/>
        <extend val="0"/>
        <outline val="0"/>
        <shadow val="0"/>
        <u val="none"/>
        <vertAlign val="baseline"/>
        <sz val="11"/>
        <color auto="1"/>
        <name val="メイリオ"/>
        <scheme val="none"/>
      </font>
      <fill>
        <patternFill patternType="none">
          <fgColor indexed="64"/>
          <bgColor auto="1"/>
        </patternFill>
      </fill>
    </dxf>
    <dxf>
      <font>
        <b val="0"/>
        <i val="0"/>
        <strike val="0"/>
        <condense val="0"/>
        <extend val="0"/>
        <outline val="0"/>
        <shadow val="0"/>
        <u val="none"/>
        <vertAlign val="baseline"/>
        <sz val="11"/>
        <color theme="1"/>
        <name val="メイリオ"/>
        <scheme val="none"/>
      </font>
    </dxf>
    <dxf>
      <border outline="0">
        <bottom style="thin">
          <color theme="0"/>
        </bottom>
      </border>
    </dxf>
    <dxf>
      <font>
        <b val="0"/>
        <i val="0"/>
        <strike val="0"/>
        <condense val="0"/>
        <extend val="0"/>
        <outline val="0"/>
        <shadow val="0"/>
        <u val="none"/>
        <vertAlign val="baseline"/>
        <sz val="11"/>
        <color theme="1"/>
        <name val="メイリオ"/>
        <scheme val="none"/>
      </font>
      <fill>
        <patternFill patternType="solid">
          <fgColor theme="4" tint="0.79998168889431442"/>
          <bgColor theme="4" tint="0.79998168889431442"/>
        </patternFill>
      </fill>
    </dxf>
    <dxf>
      <font>
        <b val="0"/>
        <i val="0"/>
        <strike val="0"/>
        <condense val="0"/>
        <extend val="0"/>
        <outline val="0"/>
        <shadow val="0"/>
        <u val="none"/>
        <vertAlign val="baseline"/>
        <sz val="11"/>
        <color auto="1"/>
        <name val="メイリオ"/>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theme="1"/>
        <name val="メイリオ"/>
        <scheme val="none"/>
      </font>
      <alignment horizontal="general" vertical="center" textRotation="0" wrapText="0" indent="0" justifyLastLine="0" shrinkToFit="1"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auto="1"/>
        <name val="メイリオ"/>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1"/>
        <color auto="1"/>
        <name val="メイリオ"/>
        <scheme val="none"/>
      </font>
      <alignment horizontal="general" vertical="center" textRotation="0" wrapText="0" indent="0" justifyLastLine="0" shrinkToFit="1" readingOrder="0"/>
      <border diagonalUp="0" diagonalDown="0">
        <left style="thin">
          <color theme="0"/>
        </left>
        <right/>
        <top style="thin">
          <color theme="0"/>
        </top>
        <bottom/>
        <vertical/>
        <horizontal/>
      </border>
    </dxf>
    <dxf>
      <border outline="0">
        <bottom style="thin">
          <color theme="0"/>
        </bottom>
      </border>
    </dxf>
    <dxf>
      <font>
        <b val="0"/>
        <i val="0"/>
        <strike val="0"/>
        <condense val="0"/>
        <extend val="0"/>
        <outline val="0"/>
        <shadow val="0"/>
        <u val="none"/>
        <vertAlign val="baseline"/>
        <sz val="11"/>
        <color auto="1"/>
        <name val="メイリオ"/>
        <scheme val="none"/>
      </font>
      <alignment horizontal="general" vertical="center" textRotation="0" wrapText="0" indent="0" justifyLastLine="0" shrinkToFit="1" readingOrder="0"/>
    </dxf>
    <dxf>
      <font>
        <b/>
        <i val="0"/>
        <strike val="0"/>
        <condense val="0"/>
        <extend val="0"/>
        <outline val="0"/>
        <shadow val="0"/>
        <u val="none"/>
        <vertAlign val="baseline"/>
        <sz val="9"/>
        <color auto="1"/>
        <name val="メイリオ"/>
        <scheme val="none"/>
      </font>
      <fill>
        <patternFill patternType="solid">
          <fgColor theme="4"/>
          <bgColor theme="4"/>
        </patternFill>
      </fill>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dxf>
    <dxf>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dxf>
    <dxf>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style="thin">
          <color theme="0"/>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dxf>
    <dxf>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dxf>
    <dxf>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alignment vertical="center" textRotation="0" wrapText="1" indent="0" justifyLastLine="0" shrinkToFit="0" readingOrder="0"/>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dxf>
    <dxf>
      <font>
        <b val="0"/>
        <i val="0"/>
        <strike val="0"/>
        <condense val="0"/>
        <extend val="0"/>
        <outline val="0"/>
        <shadow val="0"/>
        <u val="none"/>
        <vertAlign val="baseline"/>
        <sz val="11"/>
        <color theme="1"/>
        <name val="メイリオ"/>
        <scheme val="none"/>
      </font>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right" vertical="center" textRotation="0" wrapText="0" indent="0" justifyLastLine="0" shrinkToFit="0" readingOrder="0"/>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numFmt numFmtId="176" formatCode="#,##0_ ;[Red]\-#,##0\ "/>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0"/>
        <name val="メイリオ"/>
        <scheme val="none"/>
      </font>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メイリオ"/>
        <scheme val="none"/>
      </font>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fill>
        <patternFill patternType="solid">
          <fgColor indexed="64"/>
          <bgColor theme="5" tint="-0.499984740745262"/>
        </patternFill>
      </fill>
      <alignment horizontal="right" vertical="center" textRotation="0" wrapText="0" indent="0" justifyLastLine="0" shrinkToFit="0" readingOrder="0"/>
    </dxf>
    <dxf>
      <font>
        <b val="0"/>
        <i val="0"/>
        <strike val="0"/>
        <condense val="0"/>
        <extend val="0"/>
        <outline val="0"/>
        <shadow val="0"/>
        <u val="none"/>
        <vertAlign val="baseline"/>
        <sz val="11"/>
        <color theme="1"/>
        <name val="メイリオ"/>
        <family val="3"/>
        <charset val="128"/>
        <scheme val="none"/>
      </font>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0"/>
        <name val="メイリオ"/>
        <family val="3"/>
        <charset val="128"/>
        <scheme val="none"/>
      </font>
    </dxf>
    <dxf>
      <border outline="0">
        <top style="thin">
          <color theme="4" tint="0.39997558519241921"/>
        </top>
      </border>
    </dxf>
    <dxf>
      <font>
        <b val="0"/>
        <i val="0"/>
        <strike val="0"/>
        <condense val="0"/>
        <extend val="0"/>
        <outline val="0"/>
        <shadow val="0"/>
        <u val="none"/>
        <vertAlign val="baseline"/>
        <sz val="11"/>
        <color theme="1"/>
        <name val="メイリオ"/>
        <family val="3"/>
        <charset val="128"/>
        <scheme val="none"/>
      </font>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0"/>
        <name val="メイリオ"/>
        <family val="3"/>
        <charset val="128"/>
        <scheme val="none"/>
      </font>
    </dxf>
    <dxf>
      <border outline="0">
        <right style="thin">
          <color theme="0"/>
        </right>
        <top style="thin">
          <color theme="4" tint="0.39997558519241921"/>
        </top>
      </border>
    </dxf>
    <dxf>
      <font>
        <b val="0"/>
        <i val="0"/>
        <strike val="0"/>
        <condense val="0"/>
        <extend val="0"/>
        <outline val="0"/>
        <shadow val="0"/>
        <u val="none"/>
        <vertAlign val="baseline"/>
        <sz val="11"/>
        <color theme="1"/>
        <name val="メイリオ"/>
        <scheme val="none"/>
      </font>
      <numFmt numFmtId="182" formatCode="#,##0_ "/>
      <fill>
        <patternFill patternType="solid">
          <fgColor theme="4" tint="0.79998168889431442"/>
          <bgColor theme="4" tint="0.79998168889431442"/>
        </patternFill>
      </fill>
      <border diagonalUp="0" diagonalDown="0">
        <left style="thin">
          <color theme="0"/>
        </left>
        <right style="thin">
          <color theme="0"/>
        </right>
        <top style="thin">
          <color theme="0"/>
        </top>
        <bottom/>
        <vertical/>
        <horizontal/>
      </border>
    </dxf>
    <dxf>
      <border outline="0">
        <top style="thin">
          <color theme="4" tint="0.39997558519241921"/>
        </top>
      </border>
    </dxf>
    <dxf>
      <font>
        <b val="0"/>
        <i val="0"/>
        <strike val="0"/>
        <condense val="0"/>
        <extend val="0"/>
        <outline val="0"/>
        <shadow val="0"/>
        <u val="none"/>
        <vertAlign val="baseline"/>
        <sz val="11"/>
        <color theme="1"/>
        <name val="メイリオ"/>
        <scheme val="none"/>
      </font>
      <numFmt numFmtId="182" formatCode="#,##0_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dxf>
    <dxf>
      <alignment horizontal="center" vertical="center" textRotation="0" wrapText="0" indent="0" justifyLastLine="0" shrinkToFit="0" readingOrder="0"/>
    </dxf>
    <dxf>
      <font>
        <b val="0"/>
        <i val="0"/>
        <strike val="0"/>
        <condense val="0"/>
        <extend val="0"/>
        <outline val="0"/>
        <shadow val="0"/>
        <u val="none"/>
        <vertAlign val="baseline"/>
        <sz val="11"/>
        <color auto="1"/>
        <name val="メイリオ"/>
        <scheme val="none"/>
      </font>
      <numFmt numFmtId="182" formatCode="#,##0_ "/>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border outline="0">
        <right style="thin">
          <color theme="0"/>
        </right>
      </border>
    </dxf>
    <dxf>
      <border outline="0">
        <top style="thin">
          <color theme="4" tint="0.39997558519241921"/>
        </top>
      </border>
    </dxf>
    <dxf>
      <border outline="0">
        <bottom style="thin">
          <color theme="4" tint="0.39997558519241921"/>
        </bottom>
      </border>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1"/>
        <name val="メイリオ"/>
        <scheme val="none"/>
      </font>
      <numFmt numFmtId="182" formatCode="#,##0_ "/>
      <fill>
        <patternFill patternType="solid">
          <fgColor theme="4" tint="0.79998168889431442"/>
          <bgColor theme="4" tint="0.79998168889431442"/>
        </patternFill>
      </fill>
      <border diagonalUp="0" diagonalDown="0">
        <left style="thin">
          <color theme="0"/>
        </left>
        <right style="thin">
          <color theme="0"/>
        </right>
        <top style="thin">
          <color theme="0"/>
        </top>
        <bottom/>
        <vertical/>
        <horizontal/>
      </border>
    </dxf>
    <dxf>
      <border outline="0">
        <top style="thin">
          <color theme="4" tint="0.39997558519241921"/>
        </top>
      </border>
    </dxf>
    <dxf>
      <font>
        <b val="0"/>
        <i val="0"/>
        <strike val="0"/>
        <condense val="0"/>
        <extend val="0"/>
        <outline val="0"/>
        <shadow val="0"/>
        <u val="none"/>
        <vertAlign val="baseline"/>
        <sz val="12"/>
        <color theme="1"/>
        <name val="メイリオ"/>
        <scheme val="none"/>
      </font>
    </dxf>
    <dxf>
      <font>
        <b val="0"/>
        <i val="0"/>
        <strike val="0"/>
        <condense val="0"/>
        <extend val="0"/>
        <outline val="0"/>
        <shadow val="0"/>
        <u val="none"/>
        <vertAlign val="baseline"/>
        <sz val="11"/>
        <color theme="1"/>
        <name val="メイリオ"/>
        <scheme val="none"/>
      </font>
      <numFmt numFmtId="182" formatCode="#,##0_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dxf>
    <dxf>
      <alignment horizontal="center" vertical="center" textRotation="0" wrapText="0" indent="0" justifyLastLine="0" shrinkToFit="0" readingOrder="0"/>
    </dxf>
    <dxf>
      <font>
        <b val="0"/>
        <i val="0"/>
        <strike val="0"/>
        <condense val="0"/>
        <extend val="0"/>
        <outline val="0"/>
        <shadow val="0"/>
        <u val="none"/>
        <vertAlign val="baseline"/>
        <sz val="11"/>
        <color auto="1"/>
        <name val="メイリオ"/>
        <family val="3"/>
        <charset val="128"/>
        <scheme val="none"/>
      </font>
      <numFmt numFmtId="176" formatCode="#,##0_ ;[Red]\-#,##0\ "/>
      <border diagonalUp="0" diagonalDown="0">
        <left style="thin">
          <color theme="0"/>
        </left>
        <right style="thin">
          <color theme="0"/>
        </right>
        <top style="thin">
          <color theme="0"/>
        </top>
        <bottom style="thin">
          <color theme="0"/>
        </bottom>
        <vertical/>
        <horizontal/>
      </border>
      <protection locked="0" hidden="0"/>
    </dxf>
    <dxf>
      <font>
        <b val="0"/>
        <i val="0"/>
        <strike val="0"/>
        <condense val="0"/>
        <extend val="0"/>
        <outline val="0"/>
        <shadow val="0"/>
        <u val="none"/>
        <vertAlign val="baseline"/>
        <sz val="11"/>
        <color theme="0"/>
        <name val="メイリオ"/>
        <family val="3"/>
        <charset val="128"/>
        <scheme val="none"/>
      </font>
      <fill>
        <patternFill patternType="solid">
          <fgColor indexed="64"/>
          <bgColor theme="5" tint="-0.499984740745262"/>
        </patternFill>
      </fill>
      <alignment horizontal="left" vertical="center" textRotation="0" wrapText="0" indent="0" justifyLastLine="0" shrinkToFit="0" readingOrder="0"/>
      <protection locked="0" hidden="0"/>
    </dxf>
    <dxf>
      <border outline="0">
        <top style="thin">
          <color theme="4" tint="0.39997558519241921"/>
        </top>
      </border>
    </dxf>
    <dxf>
      <font>
        <b val="0"/>
        <i val="0"/>
        <strike val="0"/>
        <condense val="0"/>
        <extend val="0"/>
        <outline val="0"/>
        <shadow val="0"/>
        <u val="none"/>
        <vertAlign val="baseline"/>
        <sz val="11"/>
        <color auto="1"/>
        <name val="メイリオ"/>
        <family val="3"/>
        <charset val="128"/>
        <scheme val="none"/>
      </font>
      <numFmt numFmtId="176" formatCode="#,##0_ ;[Red]\-#,##0\ "/>
      <border diagonalUp="0" diagonalDown="0">
        <left style="thin">
          <color theme="0"/>
        </left>
        <right style="thin">
          <color theme="0"/>
        </right>
        <top style="thin">
          <color theme="0"/>
        </top>
        <bottom style="thin">
          <color theme="0"/>
        </bottom>
        <vertical/>
        <horizontal/>
      </border>
      <protection locked="0" hidden="0"/>
    </dxf>
    <dxf>
      <font>
        <b val="0"/>
        <i val="0"/>
        <strike val="0"/>
        <condense val="0"/>
        <extend val="0"/>
        <outline val="0"/>
        <shadow val="0"/>
        <u val="none"/>
        <vertAlign val="baseline"/>
        <sz val="11"/>
        <color theme="0"/>
        <name val="メイリオ"/>
        <family val="3"/>
        <charset val="128"/>
        <scheme val="none"/>
      </font>
      <fill>
        <patternFill patternType="solid">
          <fgColor indexed="64"/>
          <bgColor theme="5" tint="-0.499984740745262"/>
        </patternFill>
      </fill>
      <alignment horizontal="left" vertical="center" textRotation="0" wrapText="0" indent="0" justifyLastLine="0" shrinkToFit="0" readingOrder="0"/>
      <protection locked="0" hidden="0"/>
    </dxf>
    <dxf>
      <border outline="0">
        <top style="thin">
          <color theme="4" tint="0.39997558519241921"/>
        </top>
      </border>
    </dxf>
    <dxf>
      <font>
        <b val="0"/>
        <i val="0"/>
        <strike val="0"/>
        <condense val="0"/>
        <extend val="0"/>
        <outline val="0"/>
        <shadow val="0"/>
        <u val="none"/>
        <vertAlign val="baseline"/>
        <sz val="11"/>
        <color auto="1"/>
        <name val="メイリオ"/>
        <family val="3"/>
        <charset val="128"/>
        <scheme val="none"/>
      </font>
      <numFmt numFmtId="176" formatCode="#,##0_ ;[Red]\-#,##0\ "/>
      <fill>
        <patternFill patternType="solid">
          <fgColor theme="4" tint="0.79998168889431442"/>
          <bgColor theme="4" tint="0.79998168889431442"/>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0"/>
        <name val="メイリオ"/>
        <family val="3"/>
        <charset val="128"/>
        <scheme val="none"/>
      </font>
      <fill>
        <patternFill patternType="solid">
          <fgColor indexed="64"/>
          <bgColor theme="5" tint="-0.499984740745262"/>
        </patternFill>
      </fill>
      <alignment horizontal="left" vertical="center" textRotation="0" wrapText="0" indent="0" justifyLastLine="0" shrinkToFit="0" readingOrder="0"/>
      <border diagonalUp="0" diagonalDown="0">
        <left style="thin">
          <color theme="4" tint="0.39997558519241921"/>
        </left>
        <right/>
        <top style="thin">
          <color theme="4" tint="0.39997558519241921"/>
        </top>
        <bottom/>
        <vertical/>
        <horizontal/>
      </border>
    </dxf>
    <dxf>
      <border outline="0">
        <top style="thin">
          <color theme="4" tint="0.39997558519241921"/>
        </top>
      </border>
    </dxf>
    <dxf>
      <font>
        <b val="0"/>
        <i val="0"/>
        <strike val="0"/>
        <condense val="0"/>
        <extend val="0"/>
        <outline val="0"/>
        <shadow val="0"/>
        <u val="none"/>
        <vertAlign val="baseline"/>
        <sz val="11"/>
        <color auto="1"/>
        <name val="メイリオ"/>
        <scheme val="none"/>
      </font>
      <numFmt numFmtId="182" formatCode="#,##0_ "/>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メイリオ"/>
        <scheme val="none"/>
      </font>
      <border outline="0">
        <right style="thin">
          <color theme="0"/>
        </right>
      </border>
    </dxf>
    <dxf>
      <border outline="0">
        <top style="thin">
          <color theme="4" tint="0.39997558519241921"/>
        </top>
      </border>
    </dxf>
    <dxf>
      <border outline="0">
        <bottom style="thin">
          <color theme="4" tint="0.39997558519241921"/>
        </bottom>
      </border>
    </dxf>
    <dxf>
      <font>
        <b val="0"/>
        <i val="0"/>
        <strike val="0"/>
        <condense val="0"/>
        <extend val="0"/>
        <outline val="0"/>
        <shadow val="0"/>
        <u val="none"/>
        <vertAlign val="baseline"/>
        <sz val="11"/>
        <color theme="1"/>
        <name val="メイリオ"/>
        <scheme val="none"/>
      </font>
    </dxf>
    <dxf>
      <font>
        <b val="0"/>
        <i val="0"/>
        <strike val="0"/>
        <condense val="0"/>
        <extend val="0"/>
        <outline val="0"/>
        <shadow val="0"/>
        <u val="none"/>
        <vertAlign val="baseline"/>
        <sz val="11"/>
        <color theme="1"/>
        <name val="メイリオ"/>
        <scheme val="none"/>
      </font>
      <numFmt numFmtId="182" formatCode="#,##0_ "/>
      <fill>
        <patternFill patternType="solid">
          <fgColor theme="4" tint="0.79998168889431442"/>
          <bgColor theme="4" tint="0.79998168889431442"/>
        </patternFill>
      </fill>
      <border diagonalUp="0" diagonalDown="0">
        <left style="thin">
          <color theme="0"/>
        </left>
        <right style="thin">
          <color theme="0"/>
        </right>
        <top style="thin">
          <color theme="0"/>
        </top>
        <bottom/>
        <vertical/>
        <horizontal/>
      </border>
    </dxf>
    <dxf>
      <border outline="0">
        <top style="thin">
          <color theme="4" tint="0.39997558519241921"/>
        </top>
      </border>
    </dxf>
    <dxf>
      <font>
        <b val="0"/>
        <i val="0"/>
        <strike val="0"/>
        <condense val="0"/>
        <extend val="0"/>
        <outline val="0"/>
        <shadow val="0"/>
        <u val="none"/>
        <vertAlign val="baseline"/>
        <sz val="12"/>
        <color theme="1"/>
        <name val="メイリオ"/>
        <scheme val="none"/>
      </font>
    </dxf>
    <dxf>
      <font>
        <b val="0"/>
        <i val="0"/>
        <strike val="0"/>
        <condense val="0"/>
        <extend val="0"/>
        <outline val="0"/>
        <shadow val="0"/>
        <u val="none"/>
        <vertAlign val="baseline"/>
        <sz val="11"/>
        <color theme="1"/>
        <name val="メイリオ"/>
        <scheme val="none"/>
      </font>
      <numFmt numFmtId="182" formatCode="#,##0_ "/>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0"/>
        <name val="メイリオ"/>
        <scheme val="none"/>
      </font>
    </dxf>
    <dxf>
      <alignment horizontal="center" vertical="center" textRotation="0" wrapText="0" indent="0" justifyLastLine="0" shrinkToFit="0" readingOrder="0"/>
    </dxf>
    <dxf>
      <font>
        <b val="0"/>
        <i val="0"/>
        <strike val="0"/>
        <condense val="0"/>
        <extend val="0"/>
        <outline val="0"/>
        <shadow val="0"/>
        <u val="none"/>
        <vertAlign val="baseline"/>
        <sz val="11"/>
        <color auto="1"/>
        <name val="メイリオ"/>
        <family val="3"/>
        <charset val="128"/>
        <scheme val="none"/>
      </font>
      <numFmt numFmtId="176" formatCode="#,##0_ ;[Red]\-#,##0\ "/>
      <border diagonalUp="0" diagonalDown="0">
        <left style="thin">
          <color theme="0"/>
        </left>
        <right style="thin">
          <color theme="0"/>
        </right>
        <top style="thin">
          <color theme="0"/>
        </top>
        <bottom style="thin">
          <color theme="0"/>
        </bottom>
        <vertical/>
        <horizontal/>
      </border>
      <protection locked="0" hidden="0"/>
    </dxf>
    <dxf>
      <font>
        <b val="0"/>
        <i val="0"/>
        <strike val="0"/>
        <condense val="0"/>
        <extend val="0"/>
        <outline val="0"/>
        <shadow val="0"/>
        <u val="none"/>
        <vertAlign val="baseline"/>
        <sz val="11"/>
        <color theme="0"/>
        <name val="メイリオ"/>
        <family val="3"/>
        <charset val="128"/>
        <scheme val="none"/>
      </font>
      <fill>
        <patternFill patternType="solid">
          <fgColor indexed="64"/>
          <bgColor theme="5" tint="-0.499984740745262"/>
        </patternFill>
      </fill>
      <alignment horizontal="left" vertical="center" textRotation="0" wrapText="0" indent="0" justifyLastLine="0" shrinkToFit="0" readingOrder="0"/>
      <protection locked="0" hidden="0"/>
    </dxf>
    <dxf>
      <border outline="0">
        <top style="thin">
          <color theme="4" tint="0.39997558519241921"/>
        </top>
      </border>
    </dxf>
    <dxf>
      <font>
        <b val="0"/>
        <i val="0"/>
        <strike val="0"/>
        <condense val="0"/>
        <extend val="0"/>
        <outline val="0"/>
        <shadow val="0"/>
        <u val="none"/>
        <vertAlign val="baseline"/>
        <sz val="11"/>
        <color auto="1"/>
        <name val="メイリオ"/>
        <family val="3"/>
        <charset val="128"/>
        <scheme val="none"/>
      </font>
      <numFmt numFmtId="176" formatCode="#,##0_ ;[Red]\-#,##0\ "/>
      <border diagonalUp="0" diagonalDown="0">
        <left style="thin">
          <color theme="0"/>
        </left>
        <right style="thin">
          <color theme="0"/>
        </right>
        <top style="thin">
          <color theme="0"/>
        </top>
        <bottom style="thin">
          <color theme="0"/>
        </bottom>
        <vertical/>
        <horizontal/>
      </border>
      <protection locked="0" hidden="0"/>
    </dxf>
    <dxf>
      <font>
        <b val="0"/>
        <i val="0"/>
        <strike val="0"/>
        <condense val="0"/>
        <extend val="0"/>
        <outline val="0"/>
        <shadow val="0"/>
        <u val="none"/>
        <vertAlign val="baseline"/>
        <sz val="11"/>
        <color theme="0"/>
        <name val="メイリオ"/>
        <family val="3"/>
        <charset val="128"/>
        <scheme val="none"/>
      </font>
      <fill>
        <patternFill patternType="solid">
          <fgColor indexed="64"/>
          <bgColor theme="5" tint="-0.499984740745262"/>
        </patternFill>
      </fill>
      <alignment horizontal="left" vertical="center" textRotation="0" wrapText="0" indent="0" justifyLastLine="0" shrinkToFit="0" readingOrder="0"/>
      <protection locked="0" hidden="0"/>
    </dxf>
    <dxf>
      <border outline="0">
        <top style="thin">
          <color theme="4" tint="0.39997558519241921"/>
        </top>
      </border>
    </dxf>
    <dxf>
      <font>
        <b val="0"/>
        <i val="0"/>
        <strike val="0"/>
        <condense val="0"/>
        <extend val="0"/>
        <outline val="0"/>
        <shadow val="0"/>
        <u val="none"/>
        <vertAlign val="baseline"/>
        <sz val="11"/>
        <color auto="1"/>
        <name val="メイリオ"/>
        <family val="3"/>
        <charset val="128"/>
        <scheme val="none"/>
      </font>
      <numFmt numFmtId="176" formatCode="#,##0_ ;[Red]\-#,##0\ "/>
      <fill>
        <patternFill patternType="solid">
          <fgColor theme="4" tint="0.79998168889431442"/>
          <bgColor theme="4" tint="0.79998168889431442"/>
        </patternFill>
      </fill>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1"/>
        <color theme="0"/>
        <name val="メイリオ"/>
        <family val="3"/>
        <charset val="128"/>
        <scheme val="none"/>
      </font>
      <fill>
        <patternFill patternType="solid">
          <fgColor indexed="64"/>
          <bgColor theme="5" tint="-0.499984740745262"/>
        </patternFill>
      </fill>
      <alignment horizontal="left" vertical="center" textRotation="0" wrapText="0" indent="0" justifyLastLine="0" shrinkToFit="0" readingOrder="0"/>
      <border diagonalUp="0" diagonalDown="0">
        <left style="thin">
          <color theme="4" tint="0.39997558519241921"/>
        </left>
        <right/>
        <top style="thin">
          <color theme="4" tint="0.39997558519241921"/>
        </top>
        <bottom/>
        <vertical/>
        <horizontal/>
      </border>
    </dxf>
    <dxf>
      <border outline="0">
        <top style="thin">
          <color theme="4" tint="0.39997558519241921"/>
        </top>
      </border>
    </dxf>
  </dxfs>
  <tableStyles count="0" defaultTableStyle="TableStyleMedium2" defaultPivotStyle="PivotStyleLight16"/>
  <colors>
    <mruColors>
      <color rgb="FFF8FED2"/>
      <color rgb="FF669B76"/>
      <color rgb="FF4D99BB"/>
      <color rgb="FF8BB397"/>
      <color rgb="FF3C7D9B"/>
      <color rgb="FFF8C8B2"/>
      <color rgb="FFEAE4D1"/>
      <color rgb="FFFF7C80"/>
      <color rgb="FFFAFD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r>
              <a:rPr lang="ja-JP" sz="1200" b="1"/>
              <a:t>年齢区分</a:t>
            </a:r>
          </a:p>
        </c:rich>
      </c:tx>
      <c:layout>
        <c:manualLayout>
          <c:xMode val="edge"/>
          <c:yMode val="edge"/>
          <c:x val="0.38648181712605029"/>
          <c:y val="1.6987671231044367E-2"/>
        </c:manualLayout>
      </c:layout>
      <c:overlay val="0"/>
      <c:spPr>
        <a:noFill/>
        <a:ln>
          <a:noFill/>
        </a:ln>
        <a:effectLst/>
      </c:spPr>
      <c:txPr>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endParaRPr lang="ja-JP"/>
        </a:p>
      </c:txPr>
    </c:title>
    <c:autoTitleDeleted val="0"/>
    <c:plotArea>
      <c:layout/>
      <c:pieChart>
        <c:varyColors val="1"/>
        <c:ser>
          <c:idx val="0"/>
          <c:order val="0"/>
          <c:tx>
            <c:strRef>
              <c:f>'グラフ(年齢区分）'!$N$4</c:f>
              <c:strCache>
                <c:ptCount val="1"/>
                <c:pt idx="0">
                  <c:v>全体</c:v>
                </c:pt>
              </c:strCache>
            </c:strRef>
          </c:tx>
          <c:spPr>
            <a:scene3d>
              <a:camera prst="orthographicFront"/>
              <a:lightRig rig="threePt" dir="t"/>
            </a:scene3d>
            <a:sp3d>
              <a:bevelT w="63500" h="25400"/>
            </a:sp3d>
          </c:spPr>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1-F8BB-452E-BFB8-1A1D90280907}"/>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3-F8BB-452E-BFB8-1A1D90280907}"/>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5-F8BB-452E-BFB8-1A1D90280907}"/>
              </c:ext>
            </c:extLst>
          </c:dPt>
          <c:dPt>
            <c:idx val="3"/>
            <c:bubble3D val="0"/>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7-F8BB-452E-BFB8-1A1D90280907}"/>
              </c:ext>
            </c:extLst>
          </c:dPt>
          <c:dPt>
            <c:idx val="4"/>
            <c:bubble3D val="0"/>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9-F8BB-452E-BFB8-1A1D90280907}"/>
              </c:ext>
            </c:extLst>
          </c:dPt>
          <c:dPt>
            <c:idx val="5"/>
            <c:bubble3D val="0"/>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B-F8BB-452E-BFB8-1A1D90280907}"/>
              </c:ext>
            </c:extLst>
          </c:dPt>
          <c:dPt>
            <c:idx val="6"/>
            <c:bubble3D val="0"/>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D-F8BB-452E-BFB8-1A1D90280907}"/>
              </c:ext>
            </c:extLst>
          </c:dPt>
          <c:dPt>
            <c:idx val="7"/>
            <c:bubble3D val="0"/>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F-F8BB-452E-BFB8-1A1D90280907}"/>
              </c:ext>
            </c:extLst>
          </c:dPt>
          <c:dPt>
            <c:idx val="8"/>
            <c:bubble3D val="0"/>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11-F8BB-452E-BFB8-1A1D90280907}"/>
              </c:ext>
            </c:extLst>
          </c:dPt>
          <c:dLbls>
            <c:dLbl>
              <c:idx val="1"/>
              <c:layout>
                <c:manualLayout>
                  <c:x val="0.1654797385620915"/>
                  <c:y val="6.5291666666666666E-3"/>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2824509803921569"/>
                      <c:h val="0.17982847222222223"/>
                    </c:manualLayout>
                  </c15:layout>
                </c:ext>
                <c:ext xmlns:c16="http://schemas.microsoft.com/office/drawing/2014/chart" uri="{C3380CC4-5D6E-409C-BE32-E72D297353CC}">
                  <c16:uniqueId val="{00000003-F8BB-452E-BFB8-1A1D90280907}"/>
                </c:ext>
              </c:extLst>
            </c:dLbl>
            <c:dLbl>
              <c:idx val="2"/>
              <c:layout>
                <c:manualLayout>
                  <c:x val="0.1579875816993464"/>
                  <c:y val="0.10841701388888889"/>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F8BB-452E-BFB8-1A1D90280907}"/>
                </c:ext>
              </c:extLst>
            </c:dLbl>
            <c:dLbl>
              <c:idx val="3"/>
              <c:layout>
                <c:manualLayout>
                  <c:x val="0.16864918300653595"/>
                  <c:y val="0.18855104166666667"/>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F8BB-452E-BFB8-1A1D90280907}"/>
                </c:ext>
              </c:extLst>
            </c:dLbl>
            <c:dLbl>
              <c:idx val="8"/>
              <c:layout>
                <c:manualLayout>
                  <c:x val="-0.28123921568627452"/>
                  <c:y val="-3.7262152777777766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F8BB-452E-BFB8-1A1D90280907}"/>
                </c:ext>
              </c:extLst>
            </c:dLbl>
            <c:numFmt formatCode="0.0%" sourceLinked="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showLegendKey val="0"/>
            <c:showVal val="1"/>
            <c:showCatName val="1"/>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'グラフ(年齢区分）'!$M$5:$M$13</c:f>
              <c:strCache>
                <c:ptCount val="9"/>
                <c:pt idx="0">
                  <c:v>19歳以下</c:v>
                </c:pt>
                <c:pt idx="1">
                  <c:v>20歳代</c:v>
                </c:pt>
                <c:pt idx="2">
                  <c:v>30歳代</c:v>
                </c:pt>
                <c:pt idx="3">
                  <c:v>40歳代</c:v>
                </c:pt>
                <c:pt idx="4">
                  <c:v>50歳代</c:v>
                </c:pt>
                <c:pt idx="5">
                  <c:v>60歳代</c:v>
                </c:pt>
                <c:pt idx="6">
                  <c:v>70歳代</c:v>
                </c:pt>
                <c:pt idx="7">
                  <c:v>80歳代</c:v>
                </c:pt>
                <c:pt idx="8">
                  <c:v>90歳以上</c:v>
                </c:pt>
              </c:strCache>
            </c:strRef>
          </c:cat>
          <c:val>
            <c:numRef>
              <c:f>'グラフ(年齢区分）'!$N$5:$N$13</c:f>
              <c:numCache>
                <c:formatCode>#,##0"人"</c:formatCode>
                <c:ptCount val="9"/>
                <c:pt idx="0">
                  <c:v>165</c:v>
                </c:pt>
                <c:pt idx="1">
                  <c:v>358</c:v>
                </c:pt>
                <c:pt idx="2">
                  <c:v>477</c:v>
                </c:pt>
                <c:pt idx="3">
                  <c:v>1028</c:v>
                </c:pt>
                <c:pt idx="4">
                  <c:v>2238</c:v>
                </c:pt>
                <c:pt idx="5">
                  <c:v>2346</c:v>
                </c:pt>
                <c:pt idx="6">
                  <c:v>3332</c:v>
                </c:pt>
                <c:pt idx="7">
                  <c:v>3250</c:v>
                </c:pt>
                <c:pt idx="8">
                  <c:v>813</c:v>
                </c:pt>
              </c:numCache>
            </c:numRef>
          </c:val>
          <c:extLst>
            <c:ext xmlns:c16="http://schemas.microsoft.com/office/drawing/2014/chart" uri="{C3380CC4-5D6E-409C-BE32-E72D297353CC}">
              <c16:uniqueId val="{00000012-F8BB-452E-BFB8-1A1D90280907}"/>
            </c:ext>
          </c:extLst>
        </c:ser>
        <c:dLbls>
          <c:showLegendKey val="0"/>
          <c:showVal val="1"/>
          <c:showCatName val="0"/>
          <c:showSerName val="0"/>
          <c:showPercent val="0"/>
          <c:showBubbleSize val="0"/>
          <c:showLeaderLines val="1"/>
        </c:dLbls>
        <c:firstSliceAng val="0"/>
      </c:pie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メイリオ" panose="020B0604030504040204" pitchFamily="50" charset="-128"/>
          <a:ea typeface="メイリオ" panose="020B0604030504040204" pitchFamily="50" charset="-128"/>
        </a:defRPr>
      </a:pPr>
      <a:endParaRPr lang="ja-JP"/>
    </a:p>
  </c:txPr>
  <c:printSettings>
    <c:headerFooter>
      <c:oddHeader>&amp;C○○市町村（○○保健所圏域）の在院患者の状況</c:oddHeader>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r>
              <a:rPr lang="en-US" altLang="ja-JP" sz="1200" b="1">
                <a:latin typeface="メイリオ" panose="020B0604030504040204" pitchFamily="50" charset="-128"/>
                <a:ea typeface="メイリオ" panose="020B0604030504040204" pitchFamily="50" charset="-128"/>
              </a:rPr>
              <a:t>65</a:t>
            </a:r>
            <a:r>
              <a:rPr lang="ja-JP" altLang="en-US" sz="1200" b="1">
                <a:latin typeface="メイリオ" panose="020B0604030504040204" pitchFamily="50" charset="-128"/>
                <a:ea typeface="メイリオ" panose="020B0604030504040204" pitchFamily="50" charset="-128"/>
              </a:rPr>
              <a:t>歳以上</a:t>
            </a:r>
            <a:endParaRPr lang="ja-JP" sz="1200" b="1">
              <a:latin typeface="メイリオ" panose="020B0604030504040204" pitchFamily="50" charset="-128"/>
              <a:ea typeface="メイリオ" panose="020B0604030504040204" pitchFamily="50" charset="-128"/>
            </a:endParaRPr>
          </a:p>
        </c:rich>
      </c:tx>
      <c:layout>
        <c:manualLayout>
          <c:xMode val="edge"/>
          <c:yMode val="edge"/>
          <c:x val="0.36990981962620362"/>
          <c:y val="8.4938356155221835E-3"/>
        </c:manualLayout>
      </c:layout>
      <c:overlay val="0"/>
      <c:spPr>
        <a:noFill/>
        <a:ln>
          <a:noFill/>
        </a:ln>
        <a:effectLst/>
      </c:spPr>
      <c:txPr>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endParaRPr lang="ja-JP"/>
        </a:p>
      </c:txPr>
    </c:title>
    <c:autoTitleDeleted val="0"/>
    <c:plotArea>
      <c:layout/>
      <c:barChart>
        <c:barDir val="bar"/>
        <c:grouping val="clustered"/>
        <c:varyColors val="0"/>
        <c:ser>
          <c:idx val="0"/>
          <c:order val="0"/>
          <c:tx>
            <c:strRef>
              <c:f>'グラフ(疾患名)'!$O$45</c:f>
              <c:strCache>
                <c:ptCount val="1"/>
                <c:pt idx="0">
                  <c:v>人数</c:v>
                </c:pt>
              </c:strCache>
            </c:strRef>
          </c:tx>
          <c:spPr>
            <a:solidFill>
              <a:srgbClr val="F8FED2"/>
            </a:solidFill>
            <a:ln w="9525" cap="flat" cmpd="sng" algn="ctr">
              <a:solidFill>
                <a:srgbClr val="FFFF00"/>
              </a:solidFill>
              <a:round/>
            </a:ln>
            <a:effectLst>
              <a:outerShdw blurRad="40000" dist="20000" dir="5400000" rotWithShape="0">
                <a:srgbClr val="000000">
                  <a:alpha val="38000"/>
                </a:srgbClr>
              </a:outerShdw>
            </a:effectLst>
            <a:scene3d>
              <a:camera prst="orthographicFront"/>
              <a:lightRig rig="threePt" dir="t"/>
            </a:scene3d>
            <a:sp3d>
              <a:bevelT w="63500" h="25400"/>
            </a:sp3d>
          </c:spPr>
          <c:invertIfNegative val="0"/>
          <c:dPt>
            <c:idx val="0"/>
            <c:invertIfNegative val="0"/>
            <c:bubble3D val="0"/>
            <c:spPr>
              <a:solidFill>
                <a:srgbClr val="F8FED2"/>
              </a:solidFill>
              <a:ln w="9525" cap="flat" cmpd="sng" algn="ctr">
                <a:solidFill>
                  <a:srgbClr val="FFFF00"/>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1-196B-4E6B-9279-E7EDE4536D1F}"/>
              </c:ext>
            </c:extLst>
          </c:dPt>
          <c:dPt>
            <c:idx val="1"/>
            <c:invertIfNegative val="0"/>
            <c:bubble3D val="0"/>
            <c:spPr>
              <a:solidFill>
                <a:srgbClr val="F8FED2"/>
              </a:solidFill>
              <a:ln w="9525" cap="flat" cmpd="sng" algn="ctr">
                <a:solidFill>
                  <a:srgbClr val="FFFF00"/>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3-196B-4E6B-9279-E7EDE4536D1F}"/>
              </c:ext>
            </c:extLst>
          </c:dPt>
          <c:dPt>
            <c:idx val="2"/>
            <c:invertIfNegative val="0"/>
            <c:bubble3D val="0"/>
            <c:spPr>
              <a:solidFill>
                <a:srgbClr val="F8FED2"/>
              </a:solidFill>
              <a:ln w="9525" cap="flat" cmpd="sng" algn="ctr">
                <a:solidFill>
                  <a:srgbClr val="FFFF00"/>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5-196B-4E6B-9279-E7EDE4536D1F}"/>
              </c:ext>
            </c:extLst>
          </c:dPt>
          <c:dPt>
            <c:idx val="3"/>
            <c:invertIfNegative val="0"/>
            <c:bubble3D val="0"/>
            <c:spPr>
              <a:solidFill>
                <a:srgbClr val="F8FED2"/>
              </a:solidFill>
              <a:ln w="9525" cap="flat" cmpd="sng" algn="ctr">
                <a:solidFill>
                  <a:srgbClr val="FFFF00"/>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7-196B-4E6B-9279-E7EDE4536D1F}"/>
              </c:ext>
            </c:extLst>
          </c:dPt>
          <c:dPt>
            <c:idx val="4"/>
            <c:invertIfNegative val="0"/>
            <c:bubble3D val="0"/>
            <c:spPr>
              <a:solidFill>
                <a:srgbClr val="F8FED2"/>
              </a:solidFill>
              <a:ln w="9525" cap="flat" cmpd="sng" algn="ctr">
                <a:solidFill>
                  <a:srgbClr val="FFFF00"/>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9-196B-4E6B-9279-E7EDE4536D1F}"/>
              </c:ext>
            </c:extLst>
          </c:dPt>
          <c:dPt>
            <c:idx val="5"/>
            <c:invertIfNegative val="0"/>
            <c:bubble3D val="0"/>
            <c:spPr>
              <a:solidFill>
                <a:srgbClr val="F8FED2"/>
              </a:solidFill>
              <a:ln w="9525" cap="flat" cmpd="sng" algn="ctr">
                <a:solidFill>
                  <a:srgbClr val="FFFF00"/>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B-196B-4E6B-9279-E7EDE4536D1F}"/>
              </c:ext>
            </c:extLst>
          </c:dPt>
          <c:dPt>
            <c:idx val="6"/>
            <c:invertIfNegative val="0"/>
            <c:bubble3D val="0"/>
            <c:spPr>
              <a:solidFill>
                <a:srgbClr val="F8FED2"/>
              </a:solidFill>
              <a:ln w="9525" cap="flat" cmpd="sng" algn="ctr">
                <a:solidFill>
                  <a:srgbClr val="FFFF00"/>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D-196B-4E6B-9279-E7EDE4536D1F}"/>
              </c:ext>
            </c:extLst>
          </c:dPt>
          <c:dPt>
            <c:idx val="7"/>
            <c:invertIfNegative val="0"/>
            <c:bubble3D val="0"/>
            <c:spPr>
              <a:solidFill>
                <a:srgbClr val="F8FED2"/>
              </a:solidFill>
              <a:ln w="9525" cap="flat" cmpd="sng" algn="ctr">
                <a:solidFill>
                  <a:srgbClr val="FFFF00"/>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F-196B-4E6B-9279-E7EDE4536D1F}"/>
              </c:ext>
            </c:extLst>
          </c:dPt>
          <c:dPt>
            <c:idx val="8"/>
            <c:invertIfNegative val="0"/>
            <c:bubble3D val="0"/>
            <c:spPr>
              <a:solidFill>
                <a:srgbClr val="F8FED2"/>
              </a:solidFill>
              <a:ln w="9525" cap="flat" cmpd="sng" algn="ctr">
                <a:solidFill>
                  <a:srgbClr val="FFFF00"/>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11-196B-4E6B-9279-E7EDE4536D1F}"/>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'グラフ(疾患名)'!$T$5:$T$16</c:f>
              <c:strCache>
                <c:ptCount val="12"/>
                <c:pt idx="0">
                  <c:v>F0</c:v>
                </c:pt>
                <c:pt idx="1">
                  <c:v>F1</c:v>
                </c:pt>
                <c:pt idx="2">
                  <c:v>F2</c:v>
                </c:pt>
                <c:pt idx="3">
                  <c:v>F3</c:v>
                </c:pt>
                <c:pt idx="4">
                  <c:v>F4</c:v>
                </c:pt>
                <c:pt idx="5">
                  <c:v>F5</c:v>
                </c:pt>
                <c:pt idx="6">
                  <c:v>F6</c:v>
                </c:pt>
                <c:pt idx="7">
                  <c:v>F7</c:v>
                </c:pt>
                <c:pt idx="8">
                  <c:v>F8</c:v>
                </c:pt>
                <c:pt idx="9">
                  <c:v>F9</c:v>
                </c:pt>
                <c:pt idx="10">
                  <c:v>てんかん</c:v>
                </c:pt>
                <c:pt idx="11">
                  <c:v>その他</c:v>
                </c:pt>
              </c:strCache>
            </c:strRef>
          </c:cat>
          <c:val>
            <c:numRef>
              <c:f>'グラフ(疾患名)'!$O$46:$O$57</c:f>
              <c:numCache>
                <c:formatCode>#,##0"人"</c:formatCode>
                <c:ptCount val="12"/>
                <c:pt idx="0">
                  <c:v>3893</c:v>
                </c:pt>
                <c:pt idx="1">
                  <c:v>315</c:v>
                </c:pt>
                <c:pt idx="2">
                  <c:v>3038</c:v>
                </c:pt>
                <c:pt idx="3">
                  <c:v>1018</c:v>
                </c:pt>
                <c:pt idx="4">
                  <c:v>97</c:v>
                </c:pt>
                <c:pt idx="5">
                  <c:v>5</c:v>
                </c:pt>
                <c:pt idx="6">
                  <c:v>6</c:v>
                </c:pt>
                <c:pt idx="7">
                  <c:v>58</c:v>
                </c:pt>
                <c:pt idx="8">
                  <c:v>10</c:v>
                </c:pt>
                <c:pt idx="9">
                  <c:v>15</c:v>
                </c:pt>
                <c:pt idx="10">
                  <c:v>12</c:v>
                </c:pt>
                <c:pt idx="11">
                  <c:v>48</c:v>
                </c:pt>
              </c:numCache>
            </c:numRef>
          </c:val>
          <c:extLst>
            <c:ext xmlns:c16="http://schemas.microsoft.com/office/drawing/2014/chart" uri="{C3380CC4-5D6E-409C-BE32-E72D297353CC}">
              <c16:uniqueId val="{00000012-196B-4E6B-9279-E7EDE4536D1F}"/>
            </c:ext>
          </c:extLst>
        </c:ser>
        <c:dLbls>
          <c:showLegendKey val="0"/>
          <c:showVal val="0"/>
          <c:showCatName val="0"/>
          <c:showSerName val="0"/>
          <c:showPercent val="0"/>
          <c:showBubbleSize val="0"/>
        </c:dLbls>
        <c:gapWidth val="100"/>
        <c:axId val="635408048"/>
        <c:axId val="635413872"/>
      </c:barChart>
      <c:valAx>
        <c:axId val="635413872"/>
        <c:scaling>
          <c:orientation val="minMax"/>
        </c:scaling>
        <c:delete val="0"/>
        <c:axPos val="t"/>
        <c:majorGridlines>
          <c:spPr>
            <a:ln w="9525" cap="flat" cmpd="sng" algn="ctr">
              <a:solidFill>
                <a:schemeClr val="tx1">
                  <a:lumMod val="15000"/>
                  <a:lumOff val="85000"/>
                </a:schemeClr>
              </a:solidFill>
              <a:round/>
            </a:ln>
            <a:effectLst/>
          </c:spPr>
        </c:majorGridlines>
        <c:numFmt formatCode="#,##0&quot;人&quot;"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635408048"/>
        <c:crosses val="autoZero"/>
        <c:crossBetween val="between"/>
      </c:valAx>
      <c:catAx>
        <c:axId val="635408048"/>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635413872"/>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r>
              <a:rPr lang="en-US" altLang="ja-JP" sz="1200" b="1">
                <a:latin typeface="メイリオ" panose="020B0604030504040204" pitchFamily="50" charset="-128"/>
                <a:ea typeface="メイリオ" panose="020B0604030504040204" pitchFamily="50" charset="-128"/>
              </a:rPr>
              <a:t>65</a:t>
            </a:r>
            <a:r>
              <a:rPr lang="ja-JP" altLang="en-US" sz="1200" b="1">
                <a:latin typeface="メイリオ" panose="020B0604030504040204" pitchFamily="50" charset="-128"/>
                <a:ea typeface="メイリオ" panose="020B0604030504040204" pitchFamily="50" charset="-128"/>
              </a:rPr>
              <a:t>歳以上＿寛解・院内寛解群</a:t>
            </a:r>
            <a:endParaRPr lang="ja-JP" sz="1200" b="1">
              <a:latin typeface="メイリオ" panose="020B0604030504040204" pitchFamily="50" charset="-128"/>
              <a:ea typeface="メイリオ" panose="020B0604030504040204" pitchFamily="50" charset="-128"/>
            </a:endParaRPr>
          </a:p>
        </c:rich>
      </c:tx>
      <c:layout>
        <c:manualLayout>
          <c:xMode val="edge"/>
          <c:yMode val="edge"/>
          <c:x val="0.159632072694495"/>
          <c:y val="8.4938356155221835E-3"/>
        </c:manualLayout>
      </c:layout>
      <c:overlay val="0"/>
      <c:spPr>
        <a:noFill/>
        <a:ln>
          <a:noFill/>
        </a:ln>
        <a:effectLst/>
      </c:spPr>
      <c:txPr>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endParaRPr lang="ja-JP"/>
        </a:p>
      </c:txPr>
    </c:title>
    <c:autoTitleDeleted val="0"/>
    <c:plotArea>
      <c:layout/>
      <c:barChart>
        <c:barDir val="bar"/>
        <c:grouping val="clustered"/>
        <c:varyColors val="0"/>
        <c:ser>
          <c:idx val="2"/>
          <c:order val="0"/>
          <c:spPr>
            <a:solidFill>
              <a:srgbClr val="F8FED2"/>
            </a:solidFill>
            <a:ln w="9525" cap="flat" cmpd="sng" algn="ctr">
              <a:solidFill>
                <a:srgbClr val="FFFF00"/>
              </a:solidFill>
              <a:round/>
            </a:ln>
            <a:effectLst>
              <a:outerShdw blurRad="40000" dist="20000" dir="5400000" rotWithShape="0">
                <a:srgbClr val="000000">
                  <a:alpha val="38000"/>
                </a:srgbClr>
              </a:outerShdw>
            </a:effectLst>
            <a:scene3d>
              <a:camera prst="orthographicFront"/>
              <a:lightRig rig="threePt" dir="t"/>
            </a:scene3d>
            <a:sp3d>
              <a:bevelT w="63500" h="25400"/>
            </a:sp3d>
          </c:spPr>
          <c:invertIfNegative val="0"/>
          <c:dPt>
            <c:idx val="0"/>
            <c:invertIfNegative val="0"/>
            <c:bubble3D val="0"/>
            <c:spPr>
              <a:solidFill>
                <a:srgbClr val="F8FED2"/>
              </a:solidFill>
              <a:ln w="9525" cap="flat" cmpd="sng" algn="ctr">
                <a:solidFill>
                  <a:srgbClr val="FFFF00"/>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1-F055-4CA5-BF89-8FDF1AA0C46E}"/>
              </c:ext>
            </c:extLst>
          </c:dPt>
          <c:dPt>
            <c:idx val="1"/>
            <c:invertIfNegative val="0"/>
            <c:bubble3D val="0"/>
            <c:spPr>
              <a:solidFill>
                <a:srgbClr val="F8FED2"/>
              </a:solidFill>
              <a:ln w="9525" cap="flat" cmpd="sng" algn="ctr">
                <a:solidFill>
                  <a:srgbClr val="FFFF00"/>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3-F055-4CA5-BF89-8FDF1AA0C46E}"/>
              </c:ext>
            </c:extLst>
          </c:dPt>
          <c:dPt>
            <c:idx val="2"/>
            <c:invertIfNegative val="0"/>
            <c:bubble3D val="0"/>
            <c:spPr>
              <a:solidFill>
                <a:srgbClr val="F8FED2"/>
              </a:solidFill>
              <a:ln w="9525" cap="flat" cmpd="sng" algn="ctr">
                <a:solidFill>
                  <a:srgbClr val="FFFF00"/>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5-F055-4CA5-BF89-8FDF1AA0C46E}"/>
              </c:ext>
            </c:extLst>
          </c:dPt>
          <c:dPt>
            <c:idx val="3"/>
            <c:invertIfNegative val="0"/>
            <c:bubble3D val="0"/>
            <c:spPr>
              <a:solidFill>
                <a:srgbClr val="F8FED2"/>
              </a:solidFill>
              <a:ln w="9525" cap="flat" cmpd="sng" algn="ctr">
                <a:solidFill>
                  <a:srgbClr val="FFFF00"/>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7-F055-4CA5-BF89-8FDF1AA0C46E}"/>
              </c:ext>
            </c:extLst>
          </c:dPt>
          <c:dPt>
            <c:idx val="4"/>
            <c:invertIfNegative val="0"/>
            <c:bubble3D val="0"/>
            <c:spPr>
              <a:solidFill>
                <a:srgbClr val="F8FED2"/>
              </a:solidFill>
              <a:ln w="9525" cap="flat" cmpd="sng" algn="ctr">
                <a:solidFill>
                  <a:srgbClr val="FFFF00"/>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9-F055-4CA5-BF89-8FDF1AA0C46E}"/>
              </c:ext>
            </c:extLst>
          </c:dPt>
          <c:dPt>
            <c:idx val="5"/>
            <c:invertIfNegative val="0"/>
            <c:bubble3D val="0"/>
            <c:spPr>
              <a:solidFill>
                <a:srgbClr val="F8FED2"/>
              </a:solidFill>
              <a:ln w="9525" cap="flat" cmpd="sng" algn="ctr">
                <a:solidFill>
                  <a:srgbClr val="FFFF00"/>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B-F055-4CA5-BF89-8FDF1AA0C46E}"/>
              </c:ext>
            </c:extLst>
          </c:dPt>
          <c:dPt>
            <c:idx val="6"/>
            <c:invertIfNegative val="0"/>
            <c:bubble3D val="0"/>
            <c:spPr>
              <a:solidFill>
                <a:srgbClr val="F8FED2"/>
              </a:solidFill>
              <a:ln w="9525" cap="flat" cmpd="sng" algn="ctr">
                <a:solidFill>
                  <a:srgbClr val="FFFF00"/>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D-F055-4CA5-BF89-8FDF1AA0C46E}"/>
              </c:ext>
            </c:extLst>
          </c:dPt>
          <c:dPt>
            <c:idx val="7"/>
            <c:invertIfNegative val="0"/>
            <c:bubble3D val="0"/>
            <c:spPr>
              <a:solidFill>
                <a:srgbClr val="F8FED2"/>
              </a:solidFill>
              <a:ln w="9525" cap="flat" cmpd="sng" algn="ctr">
                <a:solidFill>
                  <a:srgbClr val="FFFF00"/>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F-F055-4CA5-BF89-8FDF1AA0C46E}"/>
              </c:ext>
            </c:extLst>
          </c:dPt>
          <c:dPt>
            <c:idx val="8"/>
            <c:invertIfNegative val="0"/>
            <c:bubble3D val="0"/>
            <c:spPr>
              <a:solidFill>
                <a:srgbClr val="F8FED2"/>
              </a:solidFill>
              <a:ln w="9525" cap="flat" cmpd="sng" algn="ctr">
                <a:solidFill>
                  <a:srgbClr val="FFFF00"/>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11-F055-4CA5-BF89-8FDF1AA0C46E}"/>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'グラフ(疾患名)'!$T$5:$T$16</c:f>
              <c:strCache>
                <c:ptCount val="12"/>
                <c:pt idx="0">
                  <c:v>F0</c:v>
                </c:pt>
                <c:pt idx="1">
                  <c:v>F1</c:v>
                </c:pt>
                <c:pt idx="2">
                  <c:v>F2</c:v>
                </c:pt>
                <c:pt idx="3">
                  <c:v>F3</c:v>
                </c:pt>
                <c:pt idx="4">
                  <c:v>F4</c:v>
                </c:pt>
                <c:pt idx="5">
                  <c:v>F5</c:v>
                </c:pt>
                <c:pt idx="6">
                  <c:v>F6</c:v>
                </c:pt>
                <c:pt idx="7">
                  <c:v>F7</c:v>
                </c:pt>
                <c:pt idx="8">
                  <c:v>F8</c:v>
                </c:pt>
                <c:pt idx="9">
                  <c:v>F9</c:v>
                </c:pt>
                <c:pt idx="10">
                  <c:v>てんかん</c:v>
                </c:pt>
                <c:pt idx="11">
                  <c:v>その他</c:v>
                </c:pt>
              </c:strCache>
            </c:strRef>
          </c:cat>
          <c:val>
            <c:numRef>
              <c:f>'グラフ(疾患名)'!$P$46:$P$57</c:f>
              <c:numCache>
                <c:formatCode>#,##0"人"</c:formatCode>
                <c:ptCount val="12"/>
                <c:pt idx="0">
                  <c:v>262</c:v>
                </c:pt>
                <c:pt idx="1">
                  <c:v>74</c:v>
                </c:pt>
                <c:pt idx="2">
                  <c:v>296</c:v>
                </c:pt>
                <c:pt idx="3">
                  <c:v>146</c:v>
                </c:pt>
                <c:pt idx="4">
                  <c:v>11</c:v>
                </c:pt>
                <c:pt idx="5">
                  <c:v>0</c:v>
                </c:pt>
                <c:pt idx="6">
                  <c:v>2</c:v>
                </c:pt>
                <c:pt idx="7">
                  <c:v>3</c:v>
                </c:pt>
                <c:pt idx="8">
                  <c:v>0</c:v>
                </c:pt>
                <c:pt idx="9">
                  <c:v>2</c:v>
                </c:pt>
                <c:pt idx="10">
                  <c:v>1</c:v>
                </c:pt>
                <c:pt idx="11">
                  <c:v>7</c:v>
                </c:pt>
              </c:numCache>
            </c:numRef>
          </c:val>
          <c:extLst>
            <c:ext xmlns:c16="http://schemas.microsoft.com/office/drawing/2014/chart" uri="{C3380CC4-5D6E-409C-BE32-E72D297353CC}">
              <c16:uniqueId val="{00000012-F055-4CA5-BF89-8FDF1AA0C46E}"/>
            </c:ext>
          </c:extLst>
        </c:ser>
        <c:dLbls>
          <c:showLegendKey val="0"/>
          <c:showVal val="0"/>
          <c:showCatName val="0"/>
          <c:showSerName val="0"/>
          <c:showPercent val="0"/>
          <c:showBubbleSize val="0"/>
        </c:dLbls>
        <c:gapWidth val="100"/>
        <c:axId val="292094896"/>
        <c:axId val="292097808"/>
      </c:barChart>
      <c:valAx>
        <c:axId val="292097808"/>
        <c:scaling>
          <c:orientation val="minMax"/>
        </c:scaling>
        <c:delete val="0"/>
        <c:axPos val="t"/>
        <c:majorGridlines>
          <c:spPr>
            <a:ln w="9525" cap="flat" cmpd="sng" algn="ctr">
              <a:solidFill>
                <a:schemeClr val="tx1">
                  <a:lumMod val="15000"/>
                  <a:lumOff val="85000"/>
                </a:schemeClr>
              </a:solidFill>
              <a:round/>
            </a:ln>
            <a:effectLst/>
          </c:spPr>
        </c:majorGridlines>
        <c:numFmt formatCode="#,##0&quot;人&quot;"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92094896"/>
        <c:crosses val="autoZero"/>
        <c:crossBetween val="between"/>
      </c:valAx>
      <c:catAx>
        <c:axId val="292094896"/>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292097808"/>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r>
              <a:rPr lang="en-US" altLang="ja-JP" sz="1200" b="1">
                <a:latin typeface="メイリオ" panose="020B0604030504040204" pitchFamily="50" charset="-128"/>
                <a:ea typeface="メイリオ" panose="020B0604030504040204" pitchFamily="50" charset="-128"/>
              </a:rPr>
              <a:t>1</a:t>
            </a:r>
            <a:r>
              <a:rPr lang="ja-JP" altLang="en-US" sz="1200" b="1">
                <a:latin typeface="メイリオ" panose="020B0604030504040204" pitchFamily="50" charset="-128"/>
                <a:ea typeface="メイリオ" panose="020B0604030504040204" pitchFamily="50" charset="-128"/>
              </a:rPr>
              <a:t>年以上＿寛解・院内寛解群</a:t>
            </a:r>
            <a:endParaRPr lang="ja-JP" sz="1200" b="1">
              <a:latin typeface="メイリオ" panose="020B0604030504040204" pitchFamily="50" charset="-128"/>
              <a:ea typeface="メイリオ" panose="020B0604030504040204" pitchFamily="50" charset="-128"/>
            </a:endParaRPr>
          </a:p>
        </c:rich>
      </c:tx>
      <c:layout>
        <c:manualLayout>
          <c:xMode val="edge"/>
          <c:yMode val="edge"/>
          <c:x val="0.22917408818129503"/>
          <c:y val="1.2740753423283275E-2"/>
        </c:manualLayout>
      </c:layout>
      <c:overlay val="0"/>
      <c:spPr>
        <a:noFill/>
        <a:ln>
          <a:noFill/>
        </a:ln>
        <a:effectLst/>
      </c:spPr>
      <c:txPr>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endParaRPr lang="ja-JP"/>
        </a:p>
      </c:txPr>
    </c:title>
    <c:autoTitleDeleted val="0"/>
    <c:plotArea>
      <c:layout/>
      <c:barChart>
        <c:barDir val="bar"/>
        <c:grouping val="clustered"/>
        <c:varyColors val="0"/>
        <c:ser>
          <c:idx val="0"/>
          <c:order val="0"/>
          <c:tx>
            <c:strRef>
              <c:f>'グラフ(疾患名)'!$R$23</c:f>
              <c:strCache>
                <c:ptCount val="1"/>
                <c:pt idx="0">
                  <c:v>計</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invertIfNegative val="0"/>
          <c:dPt>
            <c:idx val="0"/>
            <c:invertIfNegative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1-35F0-45D8-9675-A466BE431B89}"/>
              </c:ext>
            </c:extLst>
          </c:dPt>
          <c:dPt>
            <c:idx val="1"/>
            <c:invertIfNegative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3-35F0-45D8-9675-A466BE431B89}"/>
              </c:ext>
            </c:extLst>
          </c:dPt>
          <c:dPt>
            <c:idx val="2"/>
            <c:invertIfNegative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5-35F0-45D8-9675-A466BE431B89}"/>
              </c:ext>
            </c:extLst>
          </c:dPt>
          <c:dPt>
            <c:idx val="3"/>
            <c:invertIfNegative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7-35F0-45D8-9675-A466BE431B89}"/>
              </c:ext>
            </c:extLst>
          </c:dPt>
          <c:dPt>
            <c:idx val="4"/>
            <c:invertIfNegative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9-35F0-45D8-9675-A466BE431B89}"/>
              </c:ext>
            </c:extLst>
          </c:dPt>
          <c:dPt>
            <c:idx val="5"/>
            <c:invertIfNegative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B-35F0-45D8-9675-A466BE431B89}"/>
              </c:ext>
            </c:extLst>
          </c:dPt>
          <c:dPt>
            <c:idx val="6"/>
            <c:invertIfNegative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D-35F0-45D8-9675-A466BE431B89}"/>
              </c:ext>
            </c:extLst>
          </c:dPt>
          <c:dPt>
            <c:idx val="7"/>
            <c:invertIfNegative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F-35F0-45D8-9675-A466BE431B89}"/>
              </c:ext>
            </c:extLst>
          </c:dPt>
          <c:dPt>
            <c:idx val="8"/>
            <c:invertIfNegative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11-35F0-45D8-9675-A466BE431B89}"/>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'グラフ(疾患名)'!$T$5:$T$16</c:f>
              <c:strCache>
                <c:ptCount val="12"/>
                <c:pt idx="0">
                  <c:v>F0</c:v>
                </c:pt>
                <c:pt idx="1">
                  <c:v>F1</c:v>
                </c:pt>
                <c:pt idx="2">
                  <c:v>F2</c:v>
                </c:pt>
                <c:pt idx="3">
                  <c:v>F3</c:v>
                </c:pt>
                <c:pt idx="4">
                  <c:v>F4</c:v>
                </c:pt>
                <c:pt idx="5">
                  <c:v>F5</c:v>
                </c:pt>
                <c:pt idx="6">
                  <c:v>F6</c:v>
                </c:pt>
                <c:pt idx="7">
                  <c:v>F7</c:v>
                </c:pt>
                <c:pt idx="8">
                  <c:v>F8</c:v>
                </c:pt>
                <c:pt idx="9">
                  <c:v>F9</c:v>
                </c:pt>
                <c:pt idx="10">
                  <c:v>てんかん</c:v>
                </c:pt>
                <c:pt idx="11">
                  <c:v>その他</c:v>
                </c:pt>
              </c:strCache>
            </c:strRef>
          </c:cat>
          <c:val>
            <c:numRef>
              <c:f>'グラフ(疾患名)'!$R$24:$R$35</c:f>
              <c:numCache>
                <c:formatCode>#,##0"人"</c:formatCode>
                <c:ptCount val="12"/>
                <c:pt idx="0">
                  <c:v>86</c:v>
                </c:pt>
                <c:pt idx="1">
                  <c:v>31</c:v>
                </c:pt>
                <c:pt idx="2">
                  <c:v>311</c:v>
                </c:pt>
                <c:pt idx="3">
                  <c:v>63</c:v>
                </c:pt>
                <c:pt idx="4">
                  <c:v>9</c:v>
                </c:pt>
                <c:pt idx="5">
                  <c:v>0</c:v>
                </c:pt>
                <c:pt idx="6">
                  <c:v>2</c:v>
                </c:pt>
                <c:pt idx="7">
                  <c:v>8</c:v>
                </c:pt>
                <c:pt idx="8">
                  <c:v>5</c:v>
                </c:pt>
                <c:pt idx="9">
                  <c:v>2</c:v>
                </c:pt>
                <c:pt idx="10">
                  <c:v>1</c:v>
                </c:pt>
                <c:pt idx="11">
                  <c:v>7</c:v>
                </c:pt>
              </c:numCache>
            </c:numRef>
          </c:val>
          <c:extLst>
            <c:ext xmlns:c16="http://schemas.microsoft.com/office/drawing/2014/chart" uri="{C3380CC4-5D6E-409C-BE32-E72D297353CC}">
              <c16:uniqueId val="{00000012-35F0-45D8-9675-A466BE431B89}"/>
            </c:ext>
          </c:extLst>
        </c:ser>
        <c:dLbls>
          <c:showLegendKey val="0"/>
          <c:showVal val="0"/>
          <c:showCatName val="0"/>
          <c:showSerName val="0"/>
          <c:showPercent val="0"/>
          <c:showBubbleSize val="0"/>
        </c:dLbls>
        <c:gapWidth val="100"/>
        <c:axId val="630611664"/>
        <c:axId val="630606256"/>
      </c:barChart>
      <c:valAx>
        <c:axId val="630606256"/>
        <c:scaling>
          <c:orientation val="minMax"/>
        </c:scaling>
        <c:delete val="0"/>
        <c:axPos val="t"/>
        <c:majorGridlines>
          <c:spPr>
            <a:ln w="9525" cap="flat" cmpd="sng" algn="ctr">
              <a:solidFill>
                <a:schemeClr val="tx1">
                  <a:lumMod val="15000"/>
                  <a:lumOff val="85000"/>
                </a:schemeClr>
              </a:solidFill>
              <a:round/>
            </a:ln>
            <a:effectLst/>
          </c:spPr>
        </c:majorGridlines>
        <c:numFmt formatCode="#,##0&quot;人&quot;"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630611664"/>
        <c:crosses val="autoZero"/>
        <c:crossBetween val="between"/>
      </c:valAx>
      <c:catAx>
        <c:axId val="63061166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630606256"/>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mn-lt"/>
                <a:ea typeface="+mn-ea"/>
                <a:cs typeface="+mn-cs"/>
              </a:defRPr>
            </a:pPr>
            <a:r>
              <a:rPr lang="ja-JP" altLang="en-US" sz="1200" b="1"/>
              <a:t>在院期間＿患者全体</a:t>
            </a:r>
            <a:endParaRPr lang="ja-JP" sz="1200" b="1"/>
          </a:p>
        </c:rich>
      </c:tx>
      <c:overlay val="0"/>
      <c:spPr>
        <a:noFill/>
        <a:ln>
          <a:noFill/>
        </a:ln>
        <a:effectLst/>
      </c:spPr>
      <c:txPr>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barChart>
        <c:barDir val="bar"/>
        <c:grouping val="stacked"/>
        <c:varyColors val="0"/>
        <c:ser>
          <c:idx val="0"/>
          <c:order val="0"/>
          <c:tx>
            <c:strRef>
              <c:f>'グラフ(在院期間) '!$M$3</c:f>
              <c:strCache>
                <c:ptCount val="1"/>
                <c:pt idx="0">
                  <c:v>65歳未満</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tx>
                <c:rich>
                  <a:bodyPr/>
                  <a:lstStyle/>
                  <a:p>
                    <a:fld id="{7BF07D41-2DF2-4049-907F-58711DA358E4}"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92B7-4A50-8C5E-7771008A3F96}"/>
                </c:ext>
              </c:extLst>
            </c:dLbl>
            <c:dLbl>
              <c:idx val="1"/>
              <c:tx>
                <c:rich>
                  <a:bodyPr/>
                  <a:lstStyle/>
                  <a:p>
                    <a:fld id="{0D06594E-C657-4DC9-8E87-C0213B7D8B89}"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2B7-4A50-8C5E-7771008A3F96}"/>
                </c:ext>
              </c:extLst>
            </c:dLbl>
            <c:dLbl>
              <c:idx val="2"/>
              <c:tx>
                <c:rich>
                  <a:bodyPr/>
                  <a:lstStyle/>
                  <a:p>
                    <a:fld id="{A20AEF70-60D5-4A28-B25D-8CE03BA7559A}"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2B7-4A50-8C5E-7771008A3F96}"/>
                </c:ext>
              </c:extLst>
            </c:dLbl>
            <c:dLbl>
              <c:idx val="3"/>
              <c:tx>
                <c:rich>
                  <a:bodyPr/>
                  <a:lstStyle/>
                  <a:p>
                    <a:fld id="{E635C6AA-9325-4B01-9281-9B8CC33890D2}"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2B7-4A50-8C5E-7771008A3F9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1">
                          <a:lumMod val="35000"/>
                          <a:lumOff val="65000"/>
                        </a:schemeClr>
                      </a:solidFill>
                    </a:ln>
                    <a:effectLst/>
                  </c:spPr>
                </c15:leaderLines>
              </c:ext>
            </c:extLst>
          </c:dLbls>
          <c:cat>
            <c:strRef>
              <c:f>'グラフ(在院期間) '!$L$4:$L$7</c:f>
              <c:strCache>
                <c:ptCount val="4"/>
                <c:pt idx="0">
                  <c:v>1年未満</c:v>
                </c:pt>
                <c:pt idx="1">
                  <c:v>1年以上5年未満</c:v>
                </c:pt>
                <c:pt idx="2">
                  <c:v>5年以上10年未満</c:v>
                </c:pt>
                <c:pt idx="3">
                  <c:v>10年以上</c:v>
                </c:pt>
              </c:strCache>
            </c:strRef>
          </c:cat>
          <c:val>
            <c:numRef>
              <c:f>'グラフ(在院期間) '!$M$4:$M$7</c:f>
              <c:numCache>
                <c:formatCode>#,##0"人"</c:formatCode>
                <c:ptCount val="4"/>
                <c:pt idx="0">
                  <c:v>2823</c:v>
                </c:pt>
                <c:pt idx="1">
                  <c:v>1146</c:v>
                </c:pt>
                <c:pt idx="2">
                  <c:v>697</c:v>
                </c:pt>
                <c:pt idx="3">
                  <c:v>825</c:v>
                </c:pt>
              </c:numCache>
            </c:numRef>
          </c:val>
          <c:extLst>
            <c:ext xmlns:c15="http://schemas.microsoft.com/office/drawing/2012/chart" uri="{02D57815-91ED-43cb-92C2-25804820EDAC}">
              <c15:datalabelsRange>
                <c15:f>'グラフ(在院期間) '!$P$4:$P$7</c15:f>
                <c15:dlblRangeCache>
                  <c:ptCount val="4"/>
                  <c:pt idx="0">
                    <c:v>42.9%</c:v>
                  </c:pt>
                  <c:pt idx="1">
                    <c:v>30.3%</c:v>
                  </c:pt>
                  <c:pt idx="2">
                    <c:v>40.0%</c:v>
                  </c:pt>
                  <c:pt idx="3">
                    <c:v>43.2%</c:v>
                  </c:pt>
                </c15:dlblRangeCache>
              </c15:datalabelsRange>
            </c:ext>
            <c:ext xmlns:c16="http://schemas.microsoft.com/office/drawing/2014/chart" uri="{C3380CC4-5D6E-409C-BE32-E72D297353CC}">
              <c16:uniqueId val="{00000000-92B7-4A50-8C5E-7771008A3F96}"/>
            </c:ext>
          </c:extLst>
        </c:ser>
        <c:ser>
          <c:idx val="1"/>
          <c:order val="1"/>
          <c:tx>
            <c:strRef>
              <c:f>'グラフ(在院期間) '!$N$3</c:f>
              <c:strCache>
                <c:ptCount val="1"/>
                <c:pt idx="0">
                  <c:v>65歳以上</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invertIfNegative val="0"/>
          <c:dLbls>
            <c:dLbl>
              <c:idx val="0"/>
              <c:tx>
                <c:rich>
                  <a:bodyPr/>
                  <a:lstStyle/>
                  <a:p>
                    <a:fld id="{B8D8D1E1-6995-4527-A146-8DA032E85108}" type="CELLRANGE">
                      <a:rPr lang="en-US" altLang="ja-JP"/>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92B7-4A50-8C5E-7771008A3F96}"/>
                </c:ext>
              </c:extLst>
            </c:dLbl>
            <c:dLbl>
              <c:idx val="1"/>
              <c:tx>
                <c:rich>
                  <a:bodyPr/>
                  <a:lstStyle/>
                  <a:p>
                    <a:fld id="{6DF43BAF-DDB1-466B-95A0-C522EC83E9A1}"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92B7-4A50-8C5E-7771008A3F96}"/>
                </c:ext>
              </c:extLst>
            </c:dLbl>
            <c:dLbl>
              <c:idx val="2"/>
              <c:tx>
                <c:rich>
                  <a:bodyPr/>
                  <a:lstStyle/>
                  <a:p>
                    <a:fld id="{FDC6DC5F-E57B-4B01-8A07-0BF9B3A67EB2}"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2B7-4A50-8C5E-7771008A3F96}"/>
                </c:ext>
              </c:extLst>
            </c:dLbl>
            <c:dLbl>
              <c:idx val="3"/>
              <c:tx>
                <c:rich>
                  <a:bodyPr/>
                  <a:lstStyle/>
                  <a:p>
                    <a:fld id="{56B5E91A-A148-4532-B06A-A1A7383E237B}" type="CELLRANGE">
                      <a:rPr lang="ja-JP" altLang="en-US"/>
                      <a:pPr/>
                      <a:t>[CELLRANGE]</a:t>
                    </a:fld>
                    <a:endParaRPr lang="ja-JP" alt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92B7-4A50-8C5E-7771008A3F9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1">
                          <a:lumMod val="35000"/>
                          <a:lumOff val="65000"/>
                        </a:schemeClr>
                      </a:solidFill>
                    </a:ln>
                    <a:effectLst/>
                  </c:spPr>
                </c15:leaderLines>
              </c:ext>
            </c:extLst>
          </c:dLbls>
          <c:cat>
            <c:strRef>
              <c:f>'グラフ(在院期間) '!$L$4:$L$7</c:f>
              <c:strCache>
                <c:ptCount val="4"/>
                <c:pt idx="0">
                  <c:v>1年未満</c:v>
                </c:pt>
                <c:pt idx="1">
                  <c:v>1年以上5年未満</c:v>
                </c:pt>
                <c:pt idx="2">
                  <c:v>5年以上10年未満</c:v>
                </c:pt>
                <c:pt idx="3">
                  <c:v>10年以上</c:v>
                </c:pt>
              </c:strCache>
            </c:strRef>
          </c:cat>
          <c:val>
            <c:numRef>
              <c:f>'グラフ(在院期間) '!$N$4:$N$7</c:f>
              <c:numCache>
                <c:formatCode>#,##0"人"</c:formatCode>
                <c:ptCount val="4"/>
                <c:pt idx="0">
                  <c:v>3751</c:v>
                </c:pt>
                <c:pt idx="1">
                  <c:v>2637</c:v>
                </c:pt>
                <c:pt idx="2">
                  <c:v>1045</c:v>
                </c:pt>
                <c:pt idx="3">
                  <c:v>1083</c:v>
                </c:pt>
              </c:numCache>
            </c:numRef>
          </c:val>
          <c:extLst>
            <c:ext xmlns:c15="http://schemas.microsoft.com/office/drawing/2012/chart" uri="{02D57815-91ED-43cb-92C2-25804820EDAC}">
              <c15:datalabelsRange>
                <c15:f>'グラフ(在院期間) '!$Q$4:$Q$7</c15:f>
                <c15:dlblRangeCache>
                  <c:ptCount val="4"/>
                  <c:pt idx="0">
                    <c:v>57.1%</c:v>
                  </c:pt>
                  <c:pt idx="1">
                    <c:v>69.7%</c:v>
                  </c:pt>
                  <c:pt idx="2">
                    <c:v>60.0%</c:v>
                  </c:pt>
                  <c:pt idx="3">
                    <c:v>56.8%</c:v>
                  </c:pt>
                </c15:dlblRangeCache>
              </c15:datalabelsRange>
            </c:ext>
            <c:ext xmlns:c16="http://schemas.microsoft.com/office/drawing/2014/chart" uri="{C3380CC4-5D6E-409C-BE32-E72D297353CC}">
              <c16:uniqueId val="{00000001-92B7-4A50-8C5E-7771008A3F96}"/>
            </c:ext>
          </c:extLst>
        </c:ser>
        <c:dLbls>
          <c:showLegendKey val="0"/>
          <c:showVal val="0"/>
          <c:showCatName val="0"/>
          <c:showSerName val="0"/>
          <c:showPercent val="0"/>
          <c:showBubbleSize val="0"/>
        </c:dLbls>
        <c:gapWidth val="150"/>
        <c:overlap val="100"/>
        <c:axId val="116807760"/>
        <c:axId val="116801936"/>
      </c:barChart>
      <c:catAx>
        <c:axId val="1168077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6801936"/>
        <c:crosses val="autoZero"/>
        <c:auto val="1"/>
        <c:lblAlgn val="ctr"/>
        <c:lblOffset val="100"/>
        <c:noMultiLvlLbl val="0"/>
      </c:catAx>
      <c:valAx>
        <c:axId val="116801936"/>
        <c:scaling>
          <c:orientation val="minMax"/>
        </c:scaling>
        <c:delete val="0"/>
        <c:axPos val="b"/>
        <c:majorGridlines>
          <c:spPr>
            <a:ln w="9525" cap="flat" cmpd="sng" algn="ctr">
              <a:solidFill>
                <a:schemeClr val="tx1">
                  <a:lumMod val="15000"/>
                  <a:lumOff val="85000"/>
                </a:schemeClr>
              </a:solidFill>
              <a:round/>
            </a:ln>
            <a:effectLst/>
          </c:spPr>
        </c:majorGridlines>
        <c:numFmt formatCode="#,##0&quot;人&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6807760"/>
        <c:crosses val="autoZero"/>
        <c:crossBetween val="between"/>
      </c:valAx>
      <c:dTable>
        <c:showHorzBorder val="1"/>
        <c:showVertBorder val="1"/>
        <c:showOutline val="1"/>
        <c:showKeys val="0"/>
        <c:spPr>
          <a:noFill/>
          <a:ln w="9525">
            <a:solidFill>
              <a:schemeClr val="tx1">
                <a:lumMod val="15000"/>
                <a:lumOff val="85000"/>
              </a:schemeClr>
            </a:solidFill>
          </a:ln>
          <a:effectLst/>
        </c:spPr>
        <c:txPr>
          <a:bodyPr rot="0" spcFirstLastPara="1" vertOverflow="ellipsis" vert="horz" wrap="square" anchor="ctr" anchorCtr="1"/>
          <a:lstStyle/>
          <a:p>
            <a:pPr rtl="0">
              <a:defRPr sz="800" b="0" i="0" u="none" strike="noStrike" kern="1200" baseline="0">
                <a:solidFill>
                  <a:schemeClr val="tx1">
                    <a:lumMod val="50000"/>
                    <a:lumOff val="50000"/>
                  </a:schemeClr>
                </a:solidFill>
                <a:latin typeface="+mn-lt"/>
                <a:ea typeface="+mn-ea"/>
                <a:cs typeface="+mn-cs"/>
              </a:defRPr>
            </a:pPr>
            <a:endParaRPr lang="ja-JP"/>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oddHeader>&amp;C&amp;"游ゴシック,太字"&amp;14R4年度　大阪府の在院患者の状況&amp;R&amp;"游ゴシック,標準"&amp;10R4.6.30時点</c:oddHeader>
    </c:headerFooter>
    <c:pageMargins b="0.75" l="0.7" r="0.7" t="0.75" header="0.3" footer="0.3"/>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mn-lt"/>
                <a:ea typeface="+mn-ea"/>
                <a:cs typeface="+mn-cs"/>
              </a:defRPr>
            </a:pPr>
            <a:r>
              <a:rPr lang="ja-JP" altLang="en-US" sz="1200" b="1"/>
              <a:t>在院期間＿寛解・院内寛解群</a:t>
            </a:r>
            <a:endParaRPr lang="ja-JP" sz="1200" b="1"/>
          </a:p>
        </c:rich>
      </c:tx>
      <c:overlay val="0"/>
      <c:spPr>
        <a:noFill/>
        <a:ln>
          <a:noFill/>
        </a:ln>
        <a:effectLst/>
      </c:spPr>
      <c:txPr>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barChart>
        <c:barDir val="bar"/>
        <c:grouping val="stacked"/>
        <c:varyColors val="0"/>
        <c:ser>
          <c:idx val="0"/>
          <c:order val="0"/>
          <c:tx>
            <c:strRef>
              <c:f>'グラフ(在院期間) '!$M$8</c:f>
              <c:strCache>
                <c:ptCount val="1"/>
                <c:pt idx="0">
                  <c:v>65歳未満</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dLbl>
              <c:idx val="0"/>
              <c:tx>
                <c:rich>
                  <a:bodyPr/>
                  <a:lstStyle/>
                  <a:p>
                    <a:fld id="{AC1BE6A4-A413-4C5A-A8DA-7A3303328676}"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ED21-42B9-A33C-BF0B0FC6CD8F}"/>
                </c:ext>
              </c:extLst>
            </c:dLbl>
            <c:dLbl>
              <c:idx val="1"/>
              <c:tx>
                <c:rich>
                  <a:bodyPr/>
                  <a:lstStyle/>
                  <a:p>
                    <a:fld id="{596472DE-C4D7-472B-8A03-2A633BDC80EA}"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ED21-42B9-A33C-BF0B0FC6CD8F}"/>
                </c:ext>
              </c:extLst>
            </c:dLbl>
            <c:dLbl>
              <c:idx val="2"/>
              <c:layout>
                <c:manualLayout>
                  <c:x val="-6.632380182828003E-3"/>
                  <c:y val="-3.6002834868887314E-2"/>
                </c:manualLayout>
              </c:layout>
              <c:tx>
                <c:rich>
                  <a:bodyPr/>
                  <a:lstStyle/>
                  <a:p>
                    <a:fld id="{998E195B-8E27-4C7C-AFD3-689846D4571A}"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ED21-42B9-A33C-BF0B0FC6CD8F}"/>
                </c:ext>
              </c:extLst>
            </c:dLbl>
            <c:dLbl>
              <c:idx val="3"/>
              <c:layout>
                <c:manualLayout>
                  <c:x val="3.3050219888893333E-2"/>
                  <c:y val="-7.6506024096385544E-2"/>
                </c:manualLayout>
              </c:layout>
              <c:tx>
                <c:rich>
                  <a:bodyPr/>
                  <a:lstStyle/>
                  <a:p>
                    <a:fld id="{8F42D098-6DE6-4555-82B6-40ABA2DDC5D2}"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ED21-42B9-A33C-BF0B0FC6CD8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1">
                          <a:lumMod val="35000"/>
                          <a:lumOff val="65000"/>
                        </a:schemeClr>
                      </a:solidFill>
                    </a:ln>
                    <a:effectLst/>
                  </c:spPr>
                </c15:leaderLines>
              </c:ext>
            </c:extLst>
          </c:dLbls>
          <c:cat>
            <c:strRef>
              <c:f>'グラフ(在院期間) '!$L$9:$L$12</c:f>
              <c:strCache>
                <c:ptCount val="4"/>
                <c:pt idx="0">
                  <c:v>1年未満</c:v>
                </c:pt>
                <c:pt idx="1">
                  <c:v>1年以上5年未満</c:v>
                </c:pt>
                <c:pt idx="2">
                  <c:v>5年以上10年未満</c:v>
                </c:pt>
                <c:pt idx="3">
                  <c:v>10年以上</c:v>
                </c:pt>
              </c:strCache>
            </c:strRef>
          </c:cat>
          <c:val>
            <c:numRef>
              <c:f>'グラフ(在院期間) '!$M$9:$M$12</c:f>
              <c:numCache>
                <c:formatCode>#,##0"人"</c:formatCode>
                <c:ptCount val="4"/>
                <c:pt idx="0">
                  <c:v>659</c:v>
                </c:pt>
                <c:pt idx="1">
                  <c:v>97</c:v>
                </c:pt>
                <c:pt idx="2">
                  <c:v>57</c:v>
                </c:pt>
                <c:pt idx="3">
                  <c:v>44</c:v>
                </c:pt>
              </c:numCache>
            </c:numRef>
          </c:val>
          <c:extLst>
            <c:ext xmlns:c15="http://schemas.microsoft.com/office/drawing/2012/chart" uri="{02D57815-91ED-43cb-92C2-25804820EDAC}">
              <c15:datalabelsRange>
                <c15:f>'グラフ(在院期間) '!$P$9:$P$12</c15:f>
                <c15:dlblRangeCache>
                  <c:ptCount val="4"/>
                  <c:pt idx="0">
                    <c:v>58.0%</c:v>
                  </c:pt>
                  <c:pt idx="1">
                    <c:v>34.4%</c:v>
                  </c:pt>
                  <c:pt idx="2">
                    <c:v>44.9%</c:v>
                  </c:pt>
                  <c:pt idx="3">
                    <c:v>37.9%</c:v>
                  </c:pt>
                </c15:dlblRangeCache>
              </c15:datalabelsRange>
            </c:ext>
            <c:ext xmlns:c16="http://schemas.microsoft.com/office/drawing/2014/chart" uri="{C3380CC4-5D6E-409C-BE32-E72D297353CC}">
              <c16:uniqueId val="{00000000-ED21-42B9-A33C-BF0B0FC6CD8F}"/>
            </c:ext>
          </c:extLst>
        </c:ser>
        <c:ser>
          <c:idx val="1"/>
          <c:order val="1"/>
          <c:tx>
            <c:strRef>
              <c:f>'グラフ(在院期間) '!$N$8</c:f>
              <c:strCache>
                <c:ptCount val="1"/>
                <c:pt idx="0">
                  <c:v>65歳以上</c:v>
                </c:pt>
              </c:strCache>
            </c:strRef>
          </c:tx>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invertIfNegative val="0"/>
          <c:dLbls>
            <c:dLbl>
              <c:idx val="0"/>
              <c:tx>
                <c:rich>
                  <a:bodyPr/>
                  <a:lstStyle/>
                  <a:p>
                    <a:fld id="{9C276C48-3058-47A0-A2E5-24DE1B18E81F}"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ED21-42B9-A33C-BF0B0FC6CD8F}"/>
                </c:ext>
              </c:extLst>
            </c:dLbl>
            <c:dLbl>
              <c:idx val="1"/>
              <c:tx>
                <c:rich>
                  <a:bodyPr rot="0" spcFirstLastPara="1" vertOverflow="overflow" horzOverflow="overflow"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fld id="{9C2DF7CB-CCDE-4A59-AC90-D491333D7891}" type="CELLRANGE">
                      <a:rPr lang="en-US" altLang="ja-JP"/>
                      <a:pPr>
                        <a:defRPr sz="800"/>
                      </a:pPr>
                      <a:t>[CELLRANGE]</a:t>
                    </a:fld>
                    <a:endParaRPr lang="ja-JP" altLang="en-US"/>
                  </a:p>
                </c:rich>
              </c:tx>
              <c:spPr>
                <a:noFill/>
                <a:ln>
                  <a:noFill/>
                </a:ln>
                <a:effectLst/>
              </c:spPr>
              <c:txPr>
                <a:bodyPr rot="0" spcFirstLastPara="1" vertOverflow="overflow" horzOverflow="overflow"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ED21-42B9-A33C-BF0B0FC6CD8F}"/>
                </c:ext>
              </c:extLst>
            </c:dLbl>
            <c:dLbl>
              <c:idx val="2"/>
              <c:layout>
                <c:manualLayout>
                  <c:x val="0.13567010946949548"/>
                  <c:y val="0"/>
                </c:manualLayout>
              </c:layout>
              <c:tx>
                <c:rich>
                  <a:bodyPr/>
                  <a:lstStyle/>
                  <a:p>
                    <a:fld id="{E52312AC-BF0E-4093-AE35-0E1F71650A3E}"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ED21-42B9-A33C-BF0B0FC6CD8F}"/>
                </c:ext>
              </c:extLst>
            </c:dLbl>
            <c:dLbl>
              <c:idx val="3"/>
              <c:layout>
                <c:manualLayout>
                  <c:x val="0.10596246584831066"/>
                  <c:y val="-2.7002126151665487E-2"/>
                </c:manualLayout>
              </c:layout>
              <c:tx>
                <c:rich>
                  <a:bodyPr/>
                  <a:lstStyle/>
                  <a:p>
                    <a:fld id="{7BAE7160-C211-4066-BBFE-330A53D85480}"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ED21-42B9-A33C-BF0B0FC6CD8F}"/>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1">
                          <a:lumMod val="35000"/>
                          <a:lumOff val="65000"/>
                        </a:schemeClr>
                      </a:solidFill>
                    </a:ln>
                    <a:effectLst/>
                  </c:spPr>
                </c15:leaderLines>
              </c:ext>
            </c:extLst>
          </c:dLbls>
          <c:cat>
            <c:strRef>
              <c:f>'グラフ(在院期間) '!$L$9:$L$12</c:f>
              <c:strCache>
                <c:ptCount val="4"/>
                <c:pt idx="0">
                  <c:v>1年未満</c:v>
                </c:pt>
                <c:pt idx="1">
                  <c:v>1年以上5年未満</c:v>
                </c:pt>
                <c:pt idx="2">
                  <c:v>5年以上10年未満</c:v>
                </c:pt>
                <c:pt idx="3">
                  <c:v>10年以上</c:v>
                </c:pt>
              </c:strCache>
            </c:strRef>
          </c:cat>
          <c:val>
            <c:numRef>
              <c:f>'グラフ(在院期間) '!$N$9:$N$12</c:f>
              <c:numCache>
                <c:formatCode>#,##0"人"</c:formatCode>
                <c:ptCount val="4"/>
                <c:pt idx="0">
                  <c:v>477</c:v>
                </c:pt>
                <c:pt idx="1">
                  <c:v>185</c:v>
                </c:pt>
                <c:pt idx="2">
                  <c:v>70</c:v>
                </c:pt>
                <c:pt idx="3">
                  <c:v>72</c:v>
                </c:pt>
              </c:numCache>
            </c:numRef>
          </c:val>
          <c:extLst>
            <c:ext xmlns:c15="http://schemas.microsoft.com/office/drawing/2012/chart" uri="{02D57815-91ED-43cb-92C2-25804820EDAC}">
              <c15:datalabelsRange>
                <c15:f>'グラフ(在院期間) '!$Q$9:$Q$12</c15:f>
                <c15:dlblRangeCache>
                  <c:ptCount val="4"/>
                  <c:pt idx="0">
                    <c:v>42.0%</c:v>
                  </c:pt>
                  <c:pt idx="1">
                    <c:v>65.6%</c:v>
                  </c:pt>
                  <c:pt idx="2">
                    <c:v>55.1%</c:v>
                  </c:pt>
                  <c:pt idx="3">
                    <c:v>62.1%</c:v>
                  </c:pt>
                </c15:dlblRangeCache>
              </c15:datalabelsRange>
            </c:ext>
            <c:ext xmlns:c16="http://schemas.microsoft.com/office/drawing/2014/chart" uri="{C3380CC4-5D6E-409C-BE32-E72D297353CC}">
              <c16:uniqueId val="{00000001-ED21-42B9-A33C-BF0B0FC6CD8F}"/>
            </c:ext>
          </c:extLst>
        </c:ser>
        <c:dLbls>
          <c:showLegendKey val="0"/>
          <c:showVal val="0"/>
          <c:showCatName val="0"/>
          <c:showSerName val="0"/>
          <c:showPercent val="0"/>
          <c:showBubbleSize val="0"/>
        </c:dLbls>
        <c:gapWidth val="150"/>
        <c:overlap val="100"/>
        <c:axId val="116807760"/>
        <c:axId val="116801936"/>
      </c:barChart>
      <c:catAx>
        <c:axId val="1168077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6801936"/>
        <c:crosses val="autoZero"/>
        <c:auto val="1"/>
        <c:lblAlgn val="ctr"/>
        <c:lblOffset val="100"/>
        <c:noMultiLvlLbl val="0"/>
      </c:catAx>
      <c:valAx>
        <c:axId val="116801936"/>
        <c:scaling>
          <c:orientation val="minMax"/>
        </c:scaling>
        <c:delete val="0"/>
        <c:axPos val="b"/>
        <c:majorGridlines>
          <c:spPr>
            <a:ln w="9525" cap="flat" cmpd="sng" algn="ctr">
              <a:solidFill>
                <a:schemeClr val="tx1">
                  <a:lumMod val="15000"/>
                  <a:lumOff val="85000"/>
                </a:schemeClr>
              </a:solidFill>
              <a:round/>
            </a:ln>
            <a:effectLst/>
          </c:spPr>
        </c:majorGridlines>
        <c:numFmt formatCode="#,##0&quot;人&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6807760"/>
        <c:crosses val="autoZero"/>
        <c:crossBetween val="between"/>
      </c:valAx>
      <c:dTable>
        <c:showHorzBorder val="1"/>
        <c:showVertBorder val="1"/>
        <c:showOutline val="1"/>
        <c:showKeys val="0"/>
        <c:spPr>
          <a:noFill/>
          <a:ln w="9525">
            <a:solidFill>
              <a:schemeClr val="tx1">
                <a:lumMod val="15000"/>
                <a:lumOff val="85000"/>
              </a:schemeClr>
            </a:solidFill>
          </a:ln>
          <a:effectLst/>
        </c:spPr>
        <c:txPr>
          <a:bodyPr rot="0" spcFirstLastPara="1" vertOverflow="ellipsis" vert="horz" wrap="square" anchor="ctr" anchorCtr="1"/>
          <a:lstStyle/>
          <a:p>
            <a:pPr rtl="0">
              <a:defRPr sz="800" b="0" i="0" u="none" strike="noStrike" kern="1200" baseline="0">
                <a:solidFill>
                  <a:schemeClr val="tx1">
                    <a:lumMod val="50000"/>
                    <a:lumOff val="50000"/>
                  </a:schemeClr>
                </a:solidFill>
                <a:latin typeface="+mn-lt"/>
                <a:ea typeface="+mn-ea"/>
                <a:cs typeface="+mn-cs"/>
              </a:defRPr>
            </a:pPr>
            <a:endParaRPr lang="ja-JP"/>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mn-lt"/>
                <a:ea typeface="+mn-ea"/>
                <a:cs typeface="+mn-cs"/>
              </a:defRPr>
            </a:pPr>
            <a:r>
              <a:rPr lang="ja-JP" altLang="en-US" sz="1200" b="1"/>
              <a:t>在院期間＿患者全体</a:t>
            </a:r>
            <a:endParaRPr lang="ja-JP" sz="1200" b="1"/>
          </a:p>
        </c:rich>
      </c:tx>
      <c:overlay val="0"/>
      <c:spPr>
        <a:noFill/>
        <a:ln>
          <a:noFill/>
        </a:ln>
        <a:effectLst/>
      </c:spPr>
      <c:txPr>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barChart>
        <c:barDir val="bar"/>
        <c:grouping val="stacked"/>
        <c:varyColors val="0"/>
        <c:ser>
          <c:idx val="0"/>
          <c:order val="0"/>
          <c:tx>
            <c:strRef>
              <c:f>'グラフ(在院期間)  (2)'!$M$19</c:f>
              <c:strCache>
                <c:ptCount val="1"/>
                <c:pt idx="0">
                  <c:v>65歳未満</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dLbl>
              <c:idx val="0"/>
              <c:tx>
                <c:rich>
                  <a:bodyPr/>
                  <a:lstStyle/>
                  <a:p>
                    <a:fld id="{73BBF5D1-A3CD-49CD-A8F9-E0AD208F5B3D}"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1112-47EA-936E-DC321AD4966D}"/>
                </c:ext>
              </c:extLst>
            </c:dLbl>
            <c:dLbl>
              <c:idx val="1"/>
              <c:tx>
                <c:rich>
                  <a:bodyPr/>
                  <a:lstStyle/>
                  <a:p>
                    <a:fld id="{6F558A59-9564-419F-8372-F62555101AA7}"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1112-47EA-936E-DC321AD496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1">
                          <a:lumMod val="35000"/>
                          <a:lumOff val="65000"/>
                        </a:schemeClr>
                      </a:solidFill>
                    </a:ln>
                    <a:effectLst/>
                  </c:spPr>
                </c15:leaderLines>
              </c:ext>
            </c:extLst>
          </c:dLbls>
          <c:cat>
            <c:strRef>
              <c:f>'グラフ(在院期間)  (2)'!$L$20:$L$21</c:f>
              <c:strCache>
                <c:ptCount val="2"/>
                <c:pt idx="0">
                  <c:v>1年未満</c:v>
                </c:pt>
                <c:pt idx="1">
                  <c:v>1年以上</c:v>
                </c:pt>
              </c:strCache>
            </c:strRef>
          </c:cat>
          <c:val>
            <c:numRef>
              <c:f>'グラフ(在院期間)  (2)'!$M$20:$M$21</c:f>
              <c:numCache>
                <c:formatCode>#,##0"人"</c:formatCode>
                <c:ptCount val="2"/>
                <c:pt idx="0">
                  <c:v>2823</c:v>
                </c:pt>
                <c:pt idx="1">
                  <c:v>2668</c:v>
                </c:pt>
              </c:numCache>
            </c:numRef>
          </c:val>
          <c:extLst>
            <c:ext xmlns:c15="http://schemas.microsoft.com/office/drawing/2012/chart" uri="{02D57815-91ED-43cb-92C2-25804820EDAC}">
              <c15:datalabelsRange>
                <c15:f>'グラフ(在院期間)  (2)'!$P$20:$P$21</c15:f>
                <c15:dlblRangeCache>
                  <c:ptCount val="2"/>
                  <c:pt idx="0">
                    <c:v>42.9%</c:v>
                  </c:pt>
                  <c:pt idx="1">
                    <c:v>35.9%</c:v>
                  </c:pt>
                </c15:dlblRangeCache>
              </c15:datalabelsRange>
            </c:ext>
            <c:ext xmlns:c16="http://schemas.microsoft.com/office/drawing/2014/chart" uri="{C3380CC4-5D6E-409C-BE32-E72D297353CC}">
              <c16:uniqueId val="{00000002-1112-47EA-936E-DC321AD4966D}"/>
            </c:ext>
          </c:extLst>
        </c:ser>
        <c:ser>
          <c:idx val="1"/>
          <c:order val="1"/>
          <c:tx>
            <c:strRef>
              <c:f>'グラフ(在院期間)  (2)'!$N$19</c:f>
              <c:strCache>
                <c:ptCount val="1"/>
                <c:pt idx="0">
                  <c:v>65歳以上</c:v>
                </c:pt>
              </c:strCache>
            </c:strRef>
          </c:tx>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invertIfNegative val="0"/>
          <c:dLbls>
            <c:dLbl>
              <c:idx val="0"/>
              <c:tx>
                <c:rich>
                  <a:bodyPr/>
                  <a:lstStyle/>
                  <a:p>
                    <a:fld id="{C4720413-F637-4044-ADBC-6E02B18004D9}"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1112-47EA-936E-DC321AD4966D}"/>
                </c:ext>
              </c:extLst>
            </c:dLbl>
            <c:dLbl>
              <c:idx val="1"/>
              <c:tx>
                <c:rich>
                  <a:bodyPr/>
                  <a:lstStyle/>
                  <a:p>
                    <a:fld id="{E9C0C5C7-6644-4D04-8D55-D641761ED82A}" type="CELLRANGE">
                      <a:rPr lang="ja-JP" altLang="en-US"/>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1112-47EA-936E-DC321AD496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ja-JP"/>
              </a:p>
            </c:txPr>
            <c:dLblPos val="ct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1">
                          <a:lumMod val="35000"/>
                          <a:lumOff val="65000"/>
                        </a:schemeClr>
                      </a:solidFill>
                    </a:ln>
                    <a:effectLst/>
                  </c:spPr>
                </c15:leaderLines>
              </c:ext>
            </c:extLst>
          </c:dLbls>
          <c:cat>
            <c:strRef>
              <c:f>'グラフ(在院期間)  (2)'!$L$20:$L$21</c:f>
              <c:strCache>
                <c:ptCount val="2"/>
                <c:pt idx="0">
                  <c:v>1年未満</c:v>
                </c:pt>
                <c:pt idx="1">
                  <c:v>1年以上</c:v>
                </c:pt>
              </c:strCache>
            </c:strRef>
          </c:cat>
          <c:val>
            <c:numRef>
              <c:f>'グラフ(在院期間)  (2)'!$N$20:$N$21</c:f>
              <c:numCache>
                <c:formatCode>#,##0"人"</c:formatCode>
                <c:ptCount val="2"/>
                <c:pt idx="0">
                  <c:v>3751</c:v>
                </c:pt>
                <c:pt idx="1">
                  <c:v>4765</c:v>
                </c:pt>
              </c:numCache>
            </c:numRef>
          </c:val>
          <c:extLst>
            <c:ext xmlns:c15="http://schemas.microsoft.com/office/drawing/2012/chart" uri="{02D57815-91ED-43cb-92C2-25804820EDAC}">
              <c15:datalabelsRange>
                <c15:f>'グラフ(在院期間)  (2)'!$Q$20:$Q$21</c15:f>
                <c15:dlblRangeCache>
                  <c:ptCount val="2"/>
                  <c:pt idx="0">
                    <c:v>57.1%</c:v>
                  </c:pt>
                  <c:pt idx="1">
                    <c:v>64.1%</c:v>
                  </c:pt>
                </c15:dlblRangeCache>
              </c15:datalabelsRange>
            </c:ext>
            <c:ext xmlns:c16="http://schemas.microsoft.com/office/drawing/2014/chart" uri="{C3380CC4-5D6E-409C-BE32-E72D297353CC}">
              <c16:uniqueId val="{00000005-1112-47EA-936E-DC321AD4966D}"/>
            </c:ext>
          </c:extLst>
        </c:ser>
        <c:dLbls>
          <c:dLblPos val="ctr"/>
          <c:showLegendKey val="0"/>
          <c:showVal val="1"/>
          <c:showCatName val="0"/>
          <c:showSerName val="0"/>
          <c:showPercent val="0"/>
          <c:showBubbleSize val="0"/>
        </c:dLbls>
        <c:gapWidth val="150"/>
        <c:overlap val="100"/>
        <c:axId val="116807760"/>
        <c:axId val="116801936"/>
      </c:barChart>
      <c:catAx>
        <c:axId val="1168077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6801936"/>
        <c:crosses val="autoZero"/>
        <c:auto val="1"/>
        <c:lblAlgn val="ctr"/>
        <c:lblOffset val="100"/>
        <c:noMultiLvlLbl val="0"/>
      </c:catAx>
      <c:valAx>
        <c:axId val="116801936"/>
        <c:scaling>
          <c:orientation val="minMax"/>
        </c:scaling>
        <c:delete val="0"/>
        <c:axPos val="b"/>
        <c:majorGridlines>
          <c:spPr>
            <a:ln w="9525" cap="flat" cmpd="sng" algn="ctr">
              <a:solidFill>
                <a:schemeClr val="tx1">
                  <a:lumMod val="15000"/>
                  <a:lumOff val="85000"/>
                </a:schemeClr>
              </a:solidFill>
              <a:round/>
            </a:ln>
            <a:effectLst/>
          </c:spPr>
        </c:majorGridlines>
        <c:numFmt formatCode="#,##0&quot;人&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6807760"/>
        <c:crosses val="autoZero"/>
        <c:crossBetween val="between"/>
      </c:valAx>
      <c:dTable>
        <c:showHorzBorder val="1"/>
        <c:showVertBorder val="1"/>
        <c:showOutline val="1"/>
        <c:showKeys val="0"/>
        <c:spPr>
          <a:noFill/>
          <a:ln w="9525">
            <a:solidFill>
              <a:schemeClr val="tx1">
                <a:lumMod val="15000"/>
                <a:lumOff val="85000"/>
              </a:schemeClr>
            </a:solidFill>
          </a:ln>
          <a:effectLst/>
        </c:spPr>
        <c:txPr>
          <a:bodyPr rot="0" spcFirstLastPara="1" vertOverflow="ellipsis" vert="horz" wrap="square" anchor="ctr" anchorCtr="1"/>
          <a:lstStyle/>
          <a:p>
            <a:pPr rtl="0">
              <a:defRPr sz="800" b="0" i="0" u="none" strike="noStrike" kern="1200" baseline="0">
                <a:solidFill>
                  <a:schemeClr val="tx1">
                    <a:lumMod val="50000"/>
                    <a:lumOff val="50000"/>
                  </a:schemeClr>
                </a:solidFill>
                <a:latin typeface="+mn-lt"/>
                <a:ea typeface="+mn-ea"/>
                <a:cs typeface="+mn-cs"/>
              </a:defRPr>
            </a:pPr>
            <a:endParaRPr lang="ja-JP"/>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mn-lt"/>
                <a:ea typeface="+mn-ea"/>
                <a:cs typeface="+mn-cs"/>
              </a:defRPr>
            </a:pPr>
            <a:r>
              <a:rPr lang="ja-JP" altLang="en-US" sz="1200" b="1"/>
              <a:t>在院期間＿寛解・院内寛解群</a:t>
            </a:r>
            <a:endParaRPr lang="ja-JP" sz="1200" b="1"/>
          </a:p>
        </c:rich>
      </c:tx>
      <c:overlay val="0"/>
      <c:spPr>
        <a:noFill/>
        <a:ln>
          <a:noFill/>
        </a:ln>
        <a:effectLst/>
      </c:spPr>
      <c:txPr>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barChart>
        <c:barDir val="bar"/>
        <c:grouping val="stacked"/>
        <c:varyColors val="0"/>
        <c:ser>
          <c:idx val="0"/>
          <c:order val="0"/>
          <c:tx>
            <c:strRef>
              <c:f>'グラフ(在院期間)  (2)'!$M$22</c:f>
              <c:strCache>
                <c:ptCount val="1"/>
                <c:pt idx="0">
                  <c:v>65歳未満</c:v>
                </c:pt>
              </c:strCache>
            </c:strRef>
          </c:tx>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invertIfNegative val="0"/>
          <c:dLbls>
            <c:dLbl>
              <c:idx val="0"/>
              <c:tx>
                <c:rich>
                  <a:bodyPr/>
                  <a:lstStyle/>
                  <a:p>
                    <a:fld id="{8BD52E68-BA92-45F3-9149-1A25E7423488}"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DF6B-447D-A2E1-BC2C82C6B01C}"/>
                </c:ext>
              </c:extLst>
            </c:dLbl>
            <c:dLbl>
              <c:idx val="1"/>
              <c:tx>
                <c:rich>
                  <a:bodyPr/>
                  <a:lstStyle/>
                  <a:p>
                    <a:fld id="{0133DD5B-2E7F-4A56-BCED-195D61A45A16}"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DF6B-447D-A2E1-BC2C82C6B01C}"/>
                </c:ext>
              </c:extLst>
            </c:dLbl>
            <c:dLbl>
              <c:idx val="2"/>
              <c:layout>
                <c:manualLayout>
                  <c:x val="-6.632380182828003E-3"/>
                  <c:y val="-3.6002834868887314E-2"/>
                </c:manualLayout>
              </c:layout>
              <c:tx>
                <c:rich>
                  <a:bodyPr/>
                  <a:lstStyle/>
                  <a:p>
                    <a:fld id="{274410FC-5A5C-4664-A5AC-ABCEEFD0FE49}"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DF6B-447D-A2E1-BC2C82C6B01C}"/>
                </c:ext>
              </c:extLst>
            </c:dLbl>
            <c:dLbl>
              <c:idx val="3"/>
              <c:layout>
                <c:manualLayout>
                  <c:x val="3.3050219888893333E-2"/>
                  <c:y val="-7.6506024096385544E-2"/>
                </c:manualLayout>
              </c:layout>
              <c:tx>
                <c:rich>
                  <a:bodyPr/>
                  <a:lstStyle/>
                  <a:p>
                    <a:fld id="{24D671BE-4E31-4AC1-A24E-337F153E5A78}"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DF6B-447D-A2E1-BC2C82C6B01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1">
                          <a:lumMod val="35000"/>
                          <a:lumOff val="65000"/>
                        </a:schemeClr>
                      </a:solidFill>
                    </a:ln>
                    <a:effectLst/>
                  </c:spPr>
                </c15:leaderLines>
              </c:ext>
            </c:extLst>
          </c:dLbls>
          <c:cat>
            <c:strRef>
              <c:f>'グラフ(在院期間)  (2)'!$L$23:$L$24</c:f>
              <c:strCache>
                <c:ptCount val="2"/>
                <c:pt idx="0">
                  <c:v>1年未満</c:v>
                </c:pt>
                <c:pt idx="1">
                  <c:v>1年以上</c:v>
                </c:pt>
              </c:strCache>
            </c:strRef>
          </c:cat>
          <c:val>
            <c:numRef>
              <c:f>'グラフ(在院期間)  (2)'!$M$23:$M$24</c:f>
              <c:numCache>
                <c:formatCode>#,##0"人"</c:formatCode>
                <c:ptCount val="2"/>
                <c:pt idx="0">
                  <c:v>659</c:v>
                </c:pt>
                <c:pt idx="1">
                  <c:v>198</c:v>
                </c:pt>
              </c:numCache>
            </c:numRef>
          </c:val>
          <c:extLst>
            <c:ext xmlns:c15="http://schemas.microsoft.com/office/drawing/2012/chart" uri="{02D57815-91ED-43cb-92C2-25804820EDAC}">
              <c15:datalabelsRange>
                <c15:f>'グラフ(在院期間)  (2)'!$P$23:$P$24</c15:f>
                <c15:dlblRangeCache>
                  <c:ptCount val="2"/>
                  <c:pt idx="0">
                    <c:v>58.0%</c:v>
                  </c:pt>
                  <c:pt idx="1">
                    <c:v>37.7%</c:v>
                  </c:pt>
                </c15:dlblRangeCache>
              </c15:datalabelsRange>
            </c:ext>
            <c:ext xmlns:c16="http://schemas.microsoft.com/office/drawing/2014/chart" uri="{C3380CC4-5D6E-409C-BE32-E72D297353CC}">
              <c16:uniqueId val="{00000004-DF6B-447D-A2E1-BC2C82C6B01C}"/>
            </c:ext>
          </c:extLst>
        </c:ser>
        <c:ser>
          <c:idx val="1"/>
          <c:order val="1"/>
          <c:tx>
            <c:strRef>
              <c:f>'グラフ(在院期間)  (2)'!$N$22</c:f>
              <c:strCache>
                <c:ptCount val="1"/>
                <c:pt idx="0">
                  <c:v>65歳以上</c:v>
                </c:pt>
              </c:strCache>
            </c:strRef>
          </c:tx>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invertIfNegative val="0"/>
          <c:dLbls>
            <c:dLbl>
              <c:idx val="0"/>
              <c:tx>
                <c:rich>
                  <a:bodyPr/>
                  <a:lstStyle/>
                  <a:p>
                    <a:fld id="{47DB57D2-DC99-441D-A24A-07F179025CFA}"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DF6B-447D-A2E1-BC2C82C6B01C}"/>
                </c:ext>
              </c:extLst>
            </c:dLbl>
            <c:dLbl>
              <c:idx val="1"/>
              <c:tx>
                <c:rich>
                  <a:bodyPr rot="0" spcFirstLastPara="1" vertOverflow="overflow" horzOverflow="overflow"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fld id="{B2E5BBBB-0BB7-414E-950A-4B5D8C8C1908}" type="CELLRANGE">
                      <a:rPr lang="en-US" altLang="ja-JP"/>
                      <a:pPr>
                        <a:defRPr sz="800"/>
                      </a:pPr>
                      <a:t>[CELLRANGE]</a:t>
                    </a:fld>
                    <a:endParaRPr lang="ja-JP" altLang="en-US"/>
                  </a:p>
                </c:rich>
              </c:tx>
              <c:spPr>
                <a:noFill/>
                <a:ln>
                  <a:noFill/>
                </a:ln>
                <a:effectLst/>
              </c:spPr>
              <c:txPr>
                <a:bodyPr rot="0" spcFirstLastPara="1" vertOverflow="overflow" horzOverflow="overflow"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ja-JP"/>
                </a:p>
              </c:txPr>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DF6B-447D-A2E1-BC2C82C6B01C}"/>
                </c:ext>
              </c:extLst>
            </c:dLbl>
            <c:dLbl>
              <c:idx val="2"/>
              <c:layout>
                <c:manualLayout>
                  <c:x val="0.13567010946949548"/>
                  <c:y val="0"/>
                </c:manualLayout>
              </c:layout>
              <c:tx>
                <c:rich>
                  <a:bodyPr/>
                  <a:lstStyle/>
                  <a:p>
                    <a:fld id="{78776ADA-6B63-4EC8-A823-9CF628006C12}"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DF6B-447D-A2E1-BC2C82C6B01C}"/>
                </c:ext>
              </c:extLst>
            </c:dLbl>
            <c:dLbl>
              <c:idx val="3"/>
              <c:layout>
                <c:manualLayout>
                  <c:x val="0.10596246584831066"/>
                  <c:y val="-2.7002126151665487E-2"/>
                </c:manualLayout>
              </c:layout>
              <c:tx>
                <c:rich>
                  <a:bodyPr/>
                  <a:lstStyle/>
                  <a:p>
                    <a:fld id="{10AFB482-CF89-4F63-8E5C-953673290398}" type="CELLRANGE">
                      <a:rPr lang="en-US" altLang="ja-JP"/>
                      <a:pPr/>
                      <a:t>[CELLRANGE]</a:t>
                    </a:fld>
                    <a:endParaRPr lang="ja-JP" altLang="en-US"/>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DF6B-447D-A2E1-BC2C82C6B01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ja-JP"/>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1">
                          <a:lumMod val="35000"/>
                          <a:lumOff val="65000"/>
                        </a:schemeClr>
                      </a:solidFill>
                    </a:ln>
                    <a:effectLst/>
                  </c:spPr>
                </c15:leaderLines>
              </c:ext>
            </c:extLst>
          </c:dLbls>
          <c:cat>
            <c:strRef>
              <c:f>'グラフ(在院期間)  (2)'!$L$23:$L$24</c:f>
              <c:strCache>
                <c:ptCount val="2"/>
                <c:pt idx="0">
                  <c:v>1年未満</c:v>
                </c:pt>
                <c:pt idx="1">
                  <c:v>1年以上</c:v>
                </c:pt>
              </c:strCache>
            </c:strRef>
          </c:cat>
          <c:val>
            <c:numRef>
              <c:f>'グラフ(在院期間)  (2)'!$N$23:$N$24</c:f>
              <c:numCache>
                <c:formatCode>#,##0"人"</c:formatCode>
                <c:ptCount val="2"/>
                <c:pt idx="0">
                  <c:v>477</c:v>
                </c:pt>
                <c:pt idx="1">
                  <c:v>327</c:v>
                </c:pt>
              </c:numCache>
            </c:numRef>
          </c:val>
          <c:extLst>
            <c:ext xmlns:c15="http://schemas.microsoft.com/office/drawing/2012/chart" uri="{02D57815-91ED-43cb-92C2-25804820EDAC}">
              <c15:datalabelsRange>
                <c15:f>'グラフ(在院期間)  (2)'!$Q$23:$Q$24</c15:f>
                <c15:dlblRangeCache>
                  <c:ptCount val="2"/>
                  <c:pt idx="0">
                    <c:v>42.0%</c:v>
                  </c:pt>
                  <c:pt idx="1">
                    <c:v>62.3%</c:v>
                  </c:pt>
                </c15:dlblRangeCache>
              </c15:datalabelsRange>
            </c:ext>
            <c:ext xmlns:c16="http://schemas.microsoft.com/office/drawing/2014/chart" uri="{C3380CC4-5D6E-409C-BE32-E72D297353CC}">
              <c16:uniqueId val="{00000009-DF6B-447D-A2E1-BC2C82C6B01C}"/>
            </c:ext>
          </c:extLst>
        </c:ser>
        <c:dLbls>
          <c:showLegendKey val="0"/>
          <c:showVal val="0"/>
          <c:showCatName val="0"/>
          <c:showSerName val="0"/>
          <c:showPercent val="0"/>
          <c:showBubbleSize val="0"/>
        </c:dLbls>
        <c:gapWidth val="150"/>
        <c:overlap val="100"/>
        <c:axId val="116807760"/>
        <c:axId val="116801936"/>
      </c:barChart>
      <c:catAx>
        <c:axId val="1168077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6801936"/>
        <c:crosses val="autoZero"/>
        <c:auto val="1"/>
        <c:lblAlgn val="ctr"/>
        <c:lblOffset val="100"/>
        <c:noMultiLvlLbl val="0"/>
      </c:catAx>
      <c:valAx>
        <c:axId val="116801936"/>
        <c:scaling>
          <c:orientation val="minMax"/>
        </c:scaling>
        <c:delete val="0"/>
        <c:axPos val="b"/>
        <c:majorGridlines>
          <c:spPr>
            <a:ln w="9525" cap="flat" cmpd="sng" algn="ctr">
              <a:solidFill>
                <a:schemeClr val="tx1">
                  <a:lumMod val="15000"/>
                  <a:lumOff val="85000"/>
                </a:schemeClr>
              </a:solidFill>
              <a:round/>
            </a:ln>
            <a:effectLst/>
          </c:spPr>
        </c:majorGridlines>
        <c:numFmt formatCode="#,##0&quot;人&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16807760"/>
        <c:crosses val="autoZero"/>
        <c:crossBetween val="between"/>
      </c:valAx>
      <c:dTable>
        <c:showHorzBorder val="1"/>
        <c:showVertBorder val="1"/>
        <c:showOutline val="1"/>
        <c:showKeys val="0"/>
        <c:spPr>
          <a:noFill/>
          <a:ln w="9525">
            <a:solidFill>
              <a:schemeClr val="tx1">
                <a:lumMod val="15000"/>
                <a:lumOff val="85000"/>
              </a:schemeClr>
            </a:solidFill>
          </a:ln>
          <a:effectLst/>
        </c:spPr>
        <c:txPr>
          <a:bodyPr rot="0" spcFirstLastPara="1" vertOverflow="ellipsis" vert="horz" wrap="square" anchor="ctr" anchorCtr="1"/>
          <a:lstStyle/>
          <a:p>
            <a:pPr rtl="0">
              <a:defRPr sz="800" b="0" i="0" u="none" strike="noStrike" kern="1200" baseline="0">
                <a:solidFill>
                  <a:schemeClr val="tx1">
                    <a:lumMod val="50000"/>
                    <a:lumOff val="50000"/>
                  </a:schemeClr>
                </a:solidFill>
                <a:latin typeface="+mn-lt"/>
                <a:ea typeface="+mn-ea"/>
                <a:cs typeface="+mn-cs"/>
              </a:defRPr>
            </a:pPr>
            <a:endParaRPr lang="ja-JP"/>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ja-JP" b="1"/>
              <a:t>退院阻害要因の有無</a:t>
            </a:r>
          </a:p>
        </c:rich>
      </c:tx>
      <c:layout>
        <c:manualLayout>
          <c:xMode val="edge"/>
          <c:yMode val="edge"/>
          <c:x val="0.34159014620726857"/>
          <c:y val="2.2882777777777776E-2"/>
        </c:manualLayout>
      </c:layout>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manualLayout>
          <c:layoutTarget val="inner"/>
          <c:xMode val="edge"/>
          <c:yMode val="edge"/>
          <c:x val="6.9531712199843887E-2"/>
          <c:y val="0.19912972222222222"/>
          <c:w val="0.87222222222222212"/>
          <c:h val="0.74600129172335139"/>
        </c:manualLayout>
      </c:layout>
      <c:ofPieChart>
        <c:ofPieType val="pie"/>
        <c:varyColors val="1"/>
        <c:ser>
          <c:idx val="0"/>
          <c:order val="0"/>
          <c:spPr>
            <a:scene3d>
              <a:camera prst="orthographicFront"/>
              <a:lightRig rig="threePt" dir="t"/>
            </a:scene3d>
            <a:sp3d>
              <a:bevelT w="63500" h="25400"/>
            </a:sp3d>
          </c:spPr>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1-1C89-44F0-84D0-778BA3C76980}"/>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3-1C89-44F0-84D0-778BA3C76980}"/>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5-1C89-44F0-84D0-778BA3C76980}"/>
              </c:ext>
            </c:extLst>
          </c:dPt>
          <c:dPt>
            <c:idx val="3"/>
            <c:bubble3D val="0"/>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7-1C89-44F0-84D0-778BA3C76980}"/>
              </c:ext>
            </c:extLst>
          </c:dPt>
          <c:dPt>
            <c:idx val="4"/>
            <c:bubble3D val="0"/>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9-1C89-44F0-84D0-778BA3C7698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ja-JP"/>
              </a:p>
            </c:txPr>
            <c:showLegendKey val="0"/>
            <c:showVal val="1"/>
            <c:showCatName val="1"/>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'グラフ(退院阻害要因＿１) '!$O$9:$O$12</c:f>
              <c:strCache>
                <c:ptCount val="4"/>
                <c:pt idx="0">
                  <c:v>病状（主症状）が不安定で入院による治療が必要</c:v>
                </c:pt>
                <c:pt idx="1">
                  <c:v>退院予定</c:v>
                </c:pt>
                <c:pt idx="2">
                  <c:v>退院阻害要因がある</c:v>
                </c:pt>
                <c:pt idx="3">
                  <c:v>退院阻害要因がない</c:v>
                </c:pt>
              </c:strCache>
            </c:strRef>
          </c:cat>
          <c:val>
            <c:numRef>
              <c:f>'グラフ(退院阻害要因＿１) '!$P$9:$P$12</c:f>
              <c:numCache>
                <c:formatCode>#,##0"人"</c:formatCode>
                <c:ptCount val="4"/>
                <c:pt idx="0">
                  <c:v>10619</c:v>
                </c:pt>
                <c:pt idx="1">
                  <c:v>1538</c:v>
                </c:pt>
                <c:pt idx="2">
                  <c:v>1618</c:v>
                </c:pt>
                <c:pt idx="3">
                  <c:v>232</c:v>
                </c:pt>
              </c:numCache>
            </c:numRef>
          </c:val>
          <c:extLst>
            <c:ext xmlns:c16="http://schemas.microsoft.com/office/drawing/2014/chart" uri="{C3380CC4-5D6E-409C-BE32-E72D297353CC}">
              <c16:uniqueId val="{0000000A-1C89-44F0-84D0-778BA3C76980}"/>
            </c:ext>
          </c:extLst>
        </c:ser>
        <c:dLbls>
          <c:showLegendKey val="0"/>
          <c:showVal val="1"/>
          <c:showCatName val="0"/>
          <c:showSerName val="0"/>
          <c:showPercent val="0"/>
          <c:showBubbleSize val="0"/>
          <c:showLeaderLines val="1"/>
        </c:dLbls>
        <c:gapWidth val="100"/>
        <c:secondPieSize val="75"/>
        <c:serLines>
          <c:spPr>
            <a:ln w="9525">
              <a:solidFill>
                <a:schemeClr val="tx1">
                  <a:lumMod val="35000"/>
                  <a:lumOff val="65000"/>
                </a:schemeClr>
              </a:solidFill>
              <a:prstDash val="dash"/>
            </a:ln>
            <a:effectLst/>
          </c:spPr>
        </c:serLines>
      </c:ofPie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mn-lt"/>
                <a:ea typeface="+mn-ea"/>
                <a:cs typeface="+mn-cs"/>
              </a:defRPr>
            </a:pPr>
            <a:r>
              <a:rPr lang="ja-JP" sz="1200" b="1"/>
              <a:t>退院阻害要因の有無</a:t>
            </a:r>
            <a:r>
              <a:rPr lang="ja-JP" altLang="en-US" sz="1200" b="1"/>
              <a:t>＿</a:t>
            </a:r>
            <a:r>
              <a:rPr lang="en-US" altLang="ja-JP" sz="1200" b="1"/>
              <a:t>1</a:t>
            </a:r>
            <a:r>
              <a:rPr lang="ja-JP" altLang="en-US" sz="1200" b="1"/>
              <a:t>年以上　寛解・院内寛解群</a:t>
            </a:r>
            <a:endParaRPr lang="ja-JP" sz="1200" b="1"/>
          </a:p>
        </c:rich>
      </c:tx>
      <c:layout>
        <c:manualLayout>
          <c:xMode val="edge"/>
          <c:yMode val="edge"/>
          <c:x val="0.12753567378198905"/>
          <c:y val="2.2882740324149081E-2"/>
        </c:manualLayout>
      </c:layout>
      <c:overlay val="0"/>
      <c:spPr>
        <a:noFill/>
        <a:ln>
          <a:noFill/>
        </a:ln>
        <a:effectLst/>
      </c:spPr>
      <c:txPr>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manualLayout>
          <c:layoutTarget val="inner"/>
          <c:xMode val="edge"/>
          <c:yMode val="edge"/>
          <c:x val="6.9531712199843887E-2"/>
          <c:y val="0.19912972222222222"/>
          <c:w val="0.87222222222222212"/>
          <c:h val="0.74600129172335139"/>
        </c:manualLayout>
      </c:layout>
      <c:ofPieChart>
        <c:ofPieType val="pie"/>
        <c:varyColors val="1"/>
        <c:ser>
          <c:idx val="0"/>
          <c:order val="0"/>
          <c:spPr>
            <a:scene3d>
              <a:camera prst="orthographicFront"/>
              <a:lightRig rig="threePt" dir="t"/>
            </a:scene3d>
            <a:sp3d>
              <a:bevelT w="63500" h="25400"/>
            </a:sp3d>
          </c:spPr>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1-5B7A-41BE-A599-6FBD5DED398A}"/>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3-5B7A-41BE-A599-6FBD5DED398A}"/>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5-5B7A-41BE-A599-6FBD5DED398A}"/>
              </c:ext>
            </c:extLst>
          </c:dPt>
          <c:dPt>
            <c:idx val="3"/>
            <c:bubble3D val="0"/>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7-5B7A-41BE-A599-6FBD5DED398A}"/>
              </c:ext>
            </c:extLst>
          </c:dPt>
          <c:dPt>
            <c:idx val="4"/>
            <c:bubble3D val="0"/>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9-5B7A-41BE-A599-6FBD5DED398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ja-JP"/>
              </a:p>
            </c:txPr>
            <c:showLegendKey val="0"/>
            <c:showVal val="1"/>
            <c:showCatName val="1"/>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'グラフ(退院阻害要因＿１) '!$O$9:$O$12</c:f>
              <c:strCache>
                <c:ptCount val="4"/>
                <c:pt idx="0">
                  <c:v>病状（主症状）が不安定で入院による治療が必要</c:v>
                </c:pt>
                <c:pt idx="1">
                  <c:v>退院予定</c:v>
                </c:pt>
                <c:pt idx="2">
                  <c:v>退院阻害要因がある</c:v>
                </c:pt>
                <c:pt idx="3">
                  <c:v>退院阻害要因がない</c:v>
                </c:pt>
              </c:strCache>
            </c:strRef>
          </c:cat>
          <c:val>
            <c:numRef>
              <c:f>'グラフ(退院阻害要因＿１) '!$R$9:$R$12</c:f>
              <c:numCache>
                <c:formatCode>#,##0"人"</c:formatCode>
                <c:ptCount val="4"/>
                <c:pt idx="0">
                  <c:v>164</c:v>
                </c:pt>
                <c:pt idx="1">
                  <c:v>45</c:v>
                </c:pt>
                <c:pt idx="2">
                  <c:v>292</c:v>
                </c:pt>
                <c:pt idx="3">
                  <c:v>24</c:v>
                </c:pt>
              </c:numCache>
            </c:numRef>
          </c:val>
          <c:extLst>
            <c:ext xmlns:c16="http://schemas.microsoft.com/office/drawing/2014/chart" uri="{C3380CC4-5D6E-409C-BE32-E72D297353CC}">
              <c16:uniqueId val="{0000000A-5B7A-41BE-A599-6FBD5DED398A}"/>
            </c:ext>
          </c:extLst>
        </c:ser>
        <c:dLbls>
          <c:showLegendKey val="0"/>
          <c:showVal val="1"/>
          <c:showCatName val="0"/>
          <c:showSerName val="0"/>
          <c:showPercent val="0"/>
          <c:showBubbleSize val="0"/>
          <c:showLeaderLines val="1"/>
        </c:dLbls>
        <c:gapWidth val="100"/>
        <c:secondPieSize val="75"/>
        <c:serLines>
          <c:spPr>
            <a:ln w="9525">
              <a:solidFill>
                <a:schemeClr val="tx1">
                  <a:lumMod val="35000"/>
                  <a:lumOff val="65000"/>
                </a:schemeClr>
              </a:solidFill>
              <a:prstDash val="dash"/>
            </a:ln>
            <a:effectLst/>
          </c:spPr>
        </c:serLines>
      </c:ofPie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ja-JP" b="1"/>
              <a:t>退院予定の有無</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manualLayout>
          <c:layoutTarget val="inner"/>
          <c:xMode val="edge"/>
          <c:yMode val="edge"/>
          <c:x val="0.23362970809792846"/>
          <c:y val="0.29219135802469137"/>
          <c:w val="0.53694268608580786"/>
          <c:h val="0.58126578517307981"/>
        </c:manualLayout>
      </c:layout>
      <c:pieChart>
        <c:varyColors val="1"/>
        <c:ser>
          <c:idx val="0"/>
          <c:order val="0"/>
          <c:spPr>
            <a:scene3d>
              <a:camera prst="orthographicFront"/>
              <a:lightRig rig="threePt" dir="t"/>
            </a:scene3d>
            <a:sp3d>
              <a:bevelT w="63500" h="25400"/>
            </a:sp3d>
          </c:spPr>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1-2B92-4CD4-90AA-2F1A93583109}"/>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3-2B92-4CD4-90AA-2F1A93583109}"/>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5-2B92-4CD4-90AA-2F1A93583109}"/>
              </c:ext>
            </c:extLst>
          </c:dPt>
          <c:dLbls>
            <c:dLbl>
              <c:idx val="0"/>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2B92-4CD4-90AA-2F1A93583109}"/>
                </c:ext>
              </c:extLst>
            </c:dLbl>
            <c:dLbl>
              <c:idx val="1"/>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B92-4CD4-90AA-2F1A93583109}"/>
                </c:ext>
              </c:extLst>
            </c:dLbl>
            <c:dLbl>
              <c:idx val="2"/>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2B92-4CD4-90AA-2F1A9358310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ja-JP"/>
              </a:p>
            </c:txPr>
            <c:dLblPos val="bestFit"/>
            <c:showLegendKey val="0"/>
            <c:showVal val="0"/>
            <c:showCatName val="1"/>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'グラフ(退院阻害要因＿１) '!$H$3:$H$5</c:f>
              <c:strCache>
                <c:ptCount val="3"/>
                <c:pt idx="0">
                  <c:v>病状（主症状）が落ち着き、入院によらない形で治療ができる程度まで回復</c:v>
                </c:pt>
                <c:pt idx="1">
                  <c:v>病状（主症状）が不安定で入院による治療が必要</c:v>
                </c:pt>
                <c:pt idx="2">
                  <c:v>退院予定</c:v>
                </c:pt>
              </c:strCache>
            </c:strRef>
          </c:cat>
          <c:val>
            <c:numRef>
              <c:f>'グラフ(退院阻害要因＿１) '!$I$3:$I$5</c:f>
              <c:numCache>
                <c:formatCode>#,##0"人"</c:formatCode>
                <c:ptCount val="3"/>
                <c:pt idx="0">
                  <c:v>1850</c:v>
                </c:pt>
                <c:pt idx="1">
                  <c:v>10619</c:v>
                </c:pt>
                <c:pt idx="2">
                  <c:v>1538</c:v>
                </c:pt>
              </c:numCache>
            </c:numRef>
          </c:val>
          <c:extLst>
            <c:ext xmlns:c16="http://schemas.microsoft.com/office/drawing/2014/chart" uri="{C3380CC4-5D6E-409C-BE32-E72D297353CC}">
              <c16:uniqueId val="{00000006-2B92-4CD4-90AA-2F1A93583109}"/>
            </c:ext>
          </c:extLst>
        </c:ser>
        <c:dLbls>
          <c:showLegendKey val="0"/>
          <c:showVal val="0"/>
          <c:showCatName val="0"/>
          <c:showSerName val="0"/>
          <c:showPercent val="0"/>
          <c:showBubbleSize val="0"/>
          <c:showLeaderLines val="1"/>
        </c:dLbls>
        <c:firstSliceAng val="0"/>
      </c:pie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r>
              <a:rPr lang="ja-JP" sz="1200" b="1"/>
              <a:t>年齢区分＿寛解・院内寛解群</a:t>
            </a:r>
          </a:p>
        </c:rich>
      </c:tx>
      <c:overlay val="0"/>
      <c:spPr>
        <a:noFill/>
        <a:ln>
          <a:noFill/>
        </a:ln>
        <a:effectLst/>
      </c:spPr>
      <c:txPr>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endParaRPr lang="ja-JP"/>
        </a:p>
      </c:txPr>
    </c:title>
    <c:autoTitleDeleted val="0"/>
    <c:plotArea>
      <c:layout/>
      <c:pieChart>
        <c:varyColors val="1"/>
        <c:ser>
          <c:idx val="2"/>
          <c:order val="0"/>
          <c:tx>
            <c:strRef>
              <c:f>'グラフ(年齢区分）'!$Q$4</c:f>
              <c:strCache>
                <c:ptCount val="1"/>
                <c:pt idx="0">
                  <c:v>計</c:v>
                </c:pt>
              </c:strCache>
            </c:strRef>
          </c:tx>
          <c:spPr>
            <a:scene3d>
              <a:camera prst="orthographicFront"/>
              <a:lightRig rig="threePt" dir="t"/>
            </a:scene3d>
            <a:sp3d>
              <a:bevelT w="63500" h="25400"/>
            </a:sp3d>
          </c:spPr>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1-B8D9-4FC4-879E-1F357D6C2F1C}"/>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3-B8D9-4FC4-879E-1F357D6C2F1C}"/>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5-B8D9-4FC4-879E-1F357D6C2F1C}"/>
              </c:ext>
            </c:extLst>
          </c:dPt>
          <c:dPt>
            <c:idx val="3"/>
            <c:bubble3D val="0"/>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7-B8D9-4FC4-879E-1F357D6C2F1C}"/>
              </c:ext>
            </c:extLst>
          </c:dPt>
          <c:dPt>
            <c:idx val="4"/>
            <c:bubble3D val="0"/>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9-B8D9-4FC4-879E-1F357D6C2F1C}"/>
              </c:ext>
            </c:extLst>
          </c:dPt>
          <c:dPt>
            <c:idx val="5"/>
            <c:bubble3D val="0"/>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B-B8D9-4FC4-879E-1F357D6C2F1C}"/>
              </c:ext>
            </c:extLst>
          </c:dPt>
          <c:dPt>
            <c:idx val="6"/>
            <c:bubble3D val="0"/>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D-B8D9-4FC4-879E-1F357D6C2F1C}"/>
              </c:ext>
            </c:extLst>
          </c:dPt>
          <c:dPt>
            <c:idx val="7"/>
            <c:bubble3D val="0"/>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F-B8D9-4FC4-879E-1F357D6C2F1C}"/>
              </c:ext>
            </c:extLst>
          </c:dPt>
          <c:dPt>
            <c:idx val="8"/>
            <c:bubble3D val="0"/>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11-B8D9-4FC4-879E-1F357D6C2F1C}"/>
              </c:ext>
            </c:extLst>
          </c:dPt>
          <c:dLbls>
            <c:dLbl>
              <c:idx val="0"/>
              <c:layout>
                <c:manualLayout>
                  <c:x val="2.7865810609790726E-2"/>
                  <c:y val="4.1157984004836792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8D9-4FC4-879E-1F357D6C2F1C}"/>
                </c:ext>
              </c:extLst>
            </c:dLbl>
            <c:dLbl>
              <c:idx val="1"/>
              <c:layout>
                <c:manualLayout>
                  <c:x val="0.27473798563512597"/>
                  <c:y val="-2.6601756819480005E-3"/>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8D9-4FC4-879E-1F357D6C2F1C}"/>
                </c:ext>
              </c:extLst>
            </c:dLbl>
            <c:dLbl>
              <c:idx val="2"/>
              <c:layout>
                <c:manualLayout>
                  <c:x val="0.20347242303694382"/>
                  <c:y val="0.1478017685904647"/>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B8D9-4FC4-879E-1F357D6C2F1C}"/>
                </c:ext>
              </c:extLst>
            </c:dLbl>
            <c:dLbl>
              <c:idx val="3"/>
              <c:layout>
                <c:manualLayout>
                  <c:x val="-0.11490873459371166"/>
                  <c:y val="9.4394937941495491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B8D9-4FC4-879E-1F357D6C2F1C}"/>
                </c:ext>
              </c:extLst>
            </c:dLbl>
            <c:dLbl>
              <c:idx val="8"/>
              <c:layout>
                <c:manualLayout>
                  <c:x val="-0.3296131592041745"/>
                  <c:y val="0.13804288651299285"/>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B8D9-4FC4-879E-1F357D6C2F1C}"/>
                </c:ext>
              </c:extLst>
            </c:dLbl>
            <c:numFmt formatCode="0.0%" sourceLinked="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showLegendKey val="0"/>
            <c:showVal val="1"/>
            <c:showCatName val="1"/>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'グラフ(年齢区分）'!$M$5:$M$13</c:f>
              <c:strCache>
                <c:ptCount val="9"/>
                <c:pt idx="0">
                  <c:v>19歳以下</c:v>
                </c:pt>
                <c:pt idx="1">
                  <c:v>20歳代</c:v>
                </c:pt>
                <c:pt idx="2">
                  <c:v>30歳代</c:v>
                </c:pt>
                <c:pt idx="3">
                  <c:v>40歳代</c:v>
                </c:pt>
                <c:pt idx="4">
                  <c:v>50歳代</c:v>
                </c:pt>
                <c:pt idx="5">
                  <c:v>60歳代</c:v>
                </c:pt>
                <c:pt idx="6">
                  <c:v>70歳代</c:v>
                </c:pt>
                <c:pt idx="7">
                  <c:v>80歳代</c:v>
                </c:pt>
                <c:pt idx="8">
                  <c:v>90歳以上</c:v>
                </c:pt>
              </c:strCache>
            </c:strRef>
          </c:cat>
          <c:val>
            <c:numRef>
              <c:f>'グラフ(年齢区分）'!$Q$5:$Q$13</c:f>
              <c:numCache>
                <c:formatCode>#,##0"人"</c:formatCode>
                <c:ptCount val="9"/>
                <c:pt idx="0">
                  <c:v>20</c:v>
                </c:pt>
                <c:pt idx="1">
                  <c:v>71</c:v>
                </c:pt>
                <c:pt idx="2">
                  <c:v>100</c:v>
                </c:pt>
                <c:pt idx="3">
                  <c:v>173</c:v>
                </c:pt>
                <c:pt idx="4">
                  <c:v>342</c:v>
                </c:pt>
                <c:pt idx="5">
                  <c:v>290</c:v>
                </c:pt>
                <c:pt idx="6">
                  <c:v>365</c:v>
                </c:pt>
                <c:pt idx="7">
                  <c:v>239</c:v>
                </c:pt>
                <c:pt idx="8">
                  <c:v>61</c:v>
                </c:pt>
              </c:numCache>
            </c:numRef>
          </c:val>
          <c:extLst>
            <c:ext xmlns:c16="http://schemas.microsoft.com/office/drawing/2014/chart" uri="{C3380CC4-5D6E-409C-BE32-E72D297353CC}">
              <c16:uniqueId val="{00000012-B8D9-4FC4-879E-1F357D6C2F1C}"/>
            </c:ext>
          </c:extLst>
        </c:ser>
        <c:dLbls>
          <c:showLegendKey val="0"/>
          <c:showVal val="1"/>
          <c:showCatName val="0"/>
          <c:showSerName val="0"/>
          <c:showPercent val="0"/>
          <c:showBubbleSize val="0"/>
          <c:showLeaderLines val="1"/>
        </c:dLbls>
        <c:firstSliceAng val="0"/>
      </c:pie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r>
              <a:rPr lang="ja-JP" b="1"/>
              <a:t>退院予定の有無（</a:t>
            </a:r>
            <a:r>
              <a:rPr lang="en-US" b="1"/>
              <a:t>1</a:t>
            </a:r>
            <a:r>
              <a:rPr lang="ja-JP" b="1"/>
              <a:t>年以上寛解・院内寛解群）</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50000"/>
                  <a:lumOff val="50000"/>
                </a:schemeClr>
              </a:solidFill>
              <a:latin typeface="+mn-lt"/>
              <a:ea typeface="+mn-ea"/>
              <a:cs typeface="+mn-cs"/>
            </a:defRPr>
          </a:pPr>
          <a:endParaRPr lang="ja-JP"/>
        </a:p>
      </c:txPr>
    </c:title>
    <c:autoTitleDeleted val="0"/>
    <c:plotArea>
      <c:layout/>
      <c:pieChart>
        <c:varyColors val="1"/>
        <c:ser>
          <c:idx val="0"/>
          <c:order val="0"/>
          <c:spPr>
            <a:scene3d>
              <a:camera prst="orthographicFront"/>
              <a:lightRig rig="threePt" dir="t"/>
            </a:scene3d>
            <a:sp3d>
              <a:bevelT w="63500" h="25400"/>
            </a:sp3d>
          </c:spPr>
          <c:explosion val="2"/>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1-ABFC-405E-8739-0649B48FAC54}"/>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3-ABFC-405E-8739-0649B48FAC54}"/>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5-ABFC-405E-8739-0649B48FAC54}"/>
              </c:ext>
            </c:extLst>
          </c:dPt>
          <c:dLbls>
            <c:dLbl>
              <c:idx val="0"/>
              <c:layout>
                <c:manualLayout>
                  <c:x val="-2.224495916504296E-3"/>
                  <c:y val="-4.2453908103277059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BFC-405E-8739-0649B48FAC54}"/>
                </c:ext>
              </c:extLst>
            </c:dLbl>
            <c:dLbl>
              <c:idx val="1"/>
              <c:layout>
                <c:manualLayout>
                  <c:x val="9.9084645669291357E-2"/>
                  <c:y val="6.1385243511227677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BFC-405E-8739-0649B48FAC54}"/>
                </c:ext>
              </c:extLst>
            </c:dLbl>
            <c:dLbl>
              <c:idx val="2"/>
              <c:layout>
                <c:manualLayout>
                  <c:x val="4.8185258092738409E-2"/>
                  <c:y val="6.2194881889763777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BFC-405E-8739-0649B48FAC54}"/>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ja-JP"/>
              </a:p>
            </c:txPr>
            <c:showLegendKey val="0"/>
            <c:showVal val="1"/>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'グラフ(退院阻害要因＿１) '!$H$3:$H$5</c:f>
              <c:strCache>
                <c:ptCount val="3"/>
                <c:pt idx="0">
                  <c:v>病状（主症状）が落ち着き、入院によらない形で治療ができる程度まで回復</c:v>
                </c:pt>
                <c:pt idx="1">
                  <c:v>病状（主症状）が不安定で入院による治療が必要</c:v>
                </c:pt>
                <c:pt idx="2">
                  <c:v>退院予定</c:v>
                </c:pt>
              </c:strCache>
            </c:strRef>
          </c:cat>
          <c:val>
            <c:numRef>
              <c:f>'グラフ(退院阻害要因＿１) '!$K$3:$K$5</c:f>
              <c:numCache>
                <c:formatCode>#,##0"人"</c:formatCode>
                <c:ptCount val="3"/>
                <c:pt idx="0">
                  <c:v>316</c:v>
                </c:pt>
                <c:pt idx="1">
                  <c:v>164</c:v>
                </c:pt>
                <c:pt idx="2">
                  <c:v>45</c:v>
                </c:pt>
              </c:numCache>
            </c:numRef>
          </c:val>
          <c:extLst>
            <c:ext xmlns:c16="http://schemas.microsoft.com/office/drawing/2014/chart" uri="{C3380CC4-5D6E-409C-BE32-E72D297353CC}">
              <c16:uniqueId val="{00000006-ABFC-405E-8739-0649B48FAC54}"/>
            </c:ext>
          </c:extLst>
        </c:ser>
        <c:dLbls>
          <c:showLegendKey val="0"/>
          <c:showVal val="0"/>
          <c:showCatName val="1"/>
          <c:showSerName val="0"/>
          <c:showPercent val="1"/>
          <c:showBubbleSize val="0"/>
          <c:showLeaderLines val="1"/>
        </c:dLbls>
        <c:firstSliceAng val="0"/>
      </c:pie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r>
              <a:rPr lang="ja-JP" sz="1200">
                <a:latin typeface="メイリオ" panose="020B0604030504040204" pitchFamily="50" charset="-128"/>
                <a:ea typeface="メイリオ" panose="020B0604030504040204" pitchFamily="50" charset="-128"/>
              </a:rPr>
              <a:t>退院阻害要因（複数回答）</a:t>
            </a:r>
          </a:p>
        </c:rich>
      </c:tx>
      <c:layout>
        <c:manualLayout>
          <c:xMode val="edge"/>
          <c:yMode val="edge"/>
          <c:x val="0.30113275626159491"/>
          <c:y val="4.7142168472679253E-3"/>
        </c:manualLayout>
      </c:layout>
      <c:overlay val="0"/>
      <c:spPr>
        <a:noFill/>
        <a:ln>
          <a:noFill/>
        </a:ln>
        <a:effectLst/>
      </c:spPr>
      <c:txPr>
        <a:bodyPr rot="0" spcFirstLastPara="1" vertOverflow="ellipsis" vert="horz" wrap="square" anchor="ctr" anchorCtr="1"/>
        <a:lstStyle/>
        <a:p>
          <a:pPr>
            <a:defRPr sz="1200" b="0"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endParaRPr lang="ja-JP"/>
        </a:p>
      </c:txPr>
    </c:title>
    <c:autoTitleDeleted val="0"/>
    <c:plotArea>
      <c:layout>
        <c:manualLayout>
          <c:layoutTarget val="inner"/>
          <c:xMode val="edge"/>
          <c:yMode val="edge"/>
          <c:x val="0.5006108611423572"/>
          <c:y val="8.7115148450480392E-2"/>
          <c:w val="0.45619237924329531"/>
          <c:h val="0.85802993089166602"/>
        </c:manualLayout>
      </c:layout>
      <c:barChart>
        <c:barDir val="bar"/>
        <c:grouping val="clustered"/>
        <c:varyColors val="0"/>
        <c:ser>
          <c:idx val="0"/>
          <c:order val="0"/>
          <c:tx>
            <c:strRef>
              <c:f>'グラフ(退院阻害要因＿２）'!$L$3</c:f>
              <c:strCache>
                <c:ptCount val="1"/>
                <c:pt idx="0">
                  <c:v>65歳未満</c:v>
                </c:pt>
              </c:strCache>
            </c:strRef>
          </c:tx>
          <c:spPr>
            <a:solidFill>
              <a:srgbClr val="669B76"/>
            </a:soli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invertIfNegative val="0"/>
          <c:cat>
            <c:strRef>
              <c:f>'グラフ(退院阻害要因＿２）'!$K$4:$K$23</c:f>
              <c:strCache>
                <c:ptCount val="20"/>
                <c:pt idx="0">
                  <c:v>病状は落ち着いているが、ときどき不安定な病状が見られ、そのことが退院を阻害する要因になっている</c:v>
                </c:pt>
                <c:pt idx="1">
                  <c:v>病識がなく通院服薬の中断が予測される</c:v>
                </c:pt>
                <c:pt idx="2">
                  <c:v>反社会的行動が予測される</c:v>
                </c:pt>
                <c:pt idx="3">
                  <c:v>退院意欲が乏しい</c:v>
                </c:pt>
                <c:pt idx="4">
                  <c:v>現実認識が乏しい</c:v>
                </c:pt>
                <c:pt idx="5">
                  <c:v>退院による環境変化への不安が強い</c:v>
                </c:pt>
                <c:pt idx="6">
                  <c:v>援助者との対人関係がもてない</c:v>
                </c:pt>
                <c:pt idx="7">
                  <c:v>家事（食事・洗濯・金銭管理など）ができない</c:v>
                </c:pt>
                <c:pt idx="8">
                  <c:v>家族がいない・本人をサポートする機能が実質ない</c:v>
                </c:pt>
                <c:pt idx="9">
                  <c:v>家族が退院に反対している</c:v>
                </c:pt>
                <c:pt idx="10">
                  <c:v>住まいの確保ができない</c:v>
                </c:pt>
                <c:pt idx="11">
                  <c:v>生活費の確保ができない</c:v>
                </c:pt>
                <c:pt idx="12">
                  <c:v>日常生活を支える制度がない</c:v>
                </c:pt>
                <c:pt idx="13">
                  <c:v>救急診療体制がない</c:v>
                </c:pt>
                <c:pt idx="14">
                  <c:v>退院に向けてサポートする人的資源が乏しい</c:v>
                </c:pt>
                <c:pt idx="15">
                  <c:v>退院後サポート・マネジメントする人的資源が乏しい</c:v>
                </c:pt>
                <c:pt idx="16">
                  <c:v>住所地と入院先の距離があり支援体制がとりにくい</c:v>
                </c:pt>
                <c:pt idx="17">
                  <c:v>身体的機能や状態を原因としたADLの低下がある</c:v>
                </c:pt>
                <c:pt idx="18">
                  <c:v>身体合併症の程度が重いなど身体面のフォローが必要であり、地域での生活が困難</c:v>
                </c:pt>
                <c:pt idx="19">
                  <c:v>その他の退院阻害要因がある</c:v>
                </c:pt>
              </c:strCache>
            </c:strRef>
          </c:cat>
          <c:val>
            <c:numRef>
              <c:f>'グラフ(退院阻害要因＿２）'!$L$4:$L$23</c:f>
              <c:numCache>
                <c:formatCode>0.0%</c:formatCode>
                <c:ptCount val="20"/>
                <c:pt idx="0">
                  <c:v>0.35976789168278528</c:v>
                </c:pt>
                <c:pt idx="1">
                  <c:v>0.2688588007736944</c:v>
                </c:pt>
                <c:pt idx="2">
                  <c:v>7.7369439071566737E-2</c:v>
                </c:pt>
                <c:pt idx="3">
                  <c:v>0.3520309477756286</c:v>
                </c:pt>
                <c:pt idx="4">
                  <c:v>0.40232108317214699</c:v>
                </c:pt>
                <c:pt idx="5">
                  <c:v>0.31721470019342357</c:v>
                </c:pt>
                <c:pt idx="6">
                  <c:v>8.5106382978723402E-2</c:v>
                </c:pt>
                <c:pt idx="7">
                  <c:v>0.30560928433268858</c:v>
                </c:pt>
                <c:pt idx="8">
                  <c:v>0.17794970986460348</c:v>
                </c:pt>
                <c:pt idx="9">
                  <c:v>0.14506769825918761</c:v>
                </c:pt>
                <c:pt idx="10">
                  <c:v>0.32495164410058025</c:v>
                </c:pt>
                <c:pt idx="11">
                  <c:v>5.0290135396518373E-2</c:v>
                </c:pt>
                <c:pt idx="12">
                  <c:v>3.6750483558994199E-2</c:v>
                </c:pt>
                <c:pt idx="13">
                  <c:v>5.8027079303675051E-3</c:v>
                </c:pt>
                <c:pt idx="14">
                  <c:v>7.9303675048355893E-2</c:v>
                </c:pt>
                <c:pt idx="15">
                  <c:v>8.8974854932301742E-2</c:v>
                </c:pt>
                <c:pt idx="16">
                  <c:v>7.7369439071566732E-3</c:v>
                </c:pt>
                <c:pt idx="17">
                  <c:v>7.7369439071566737E-2</c:v>
                </c:pt>
                <c:pt idx="18">
                  <c:v>4.4487427466150871E-2</c:v>
                </c:pt>
                <c:pt idx="19">
                  <c:v>2.7079303675048357E-2</c:v>
                </c:pt>
              </c:numCache>
            </c:numRef>
          </c:val>
          <c:extLst>
            <c:ext xmlns:c16="http://schemas.microsoft.com/office/drawing/2014/chart" uri="{C3380CC4-5D6E-409C-BE32-E72D297353CC}">
              <c16:uniqueId val="{00000000-937D-4A97-83B7-B58ADA48352F}"/>
            </c:ext>
          </c:extLst>
        </c:ser>
        <c:ser>
          <c:idx val="1"/>
          <c:order val="1"/>
          <c:tx>
            <c:strRef>
              <c:f>'グラフ(退院阻害要因＿２）'!$M$3</c:f>
              <c:strCache>
                <c:ptCount val="1"/>
                <c:pt idx="0">
                  <c:v>65歳以上</c:v>
                </c:pt>
              </c:strCache>
            </c:strRef>
          </c:tx>
          <c:spPr>
            <a:solidFill>
              <a:schemeClr val="accent3">
                <a:lumMod val="20000"/>
                <a:lumOff val="80000"/>
              </a:schemeClr>
            </a:solidFill>
            <a:ln w="9525" cap="flat" cmpd="sng" algn="ctr">
              <a:solidFill>
                <a:schemeClr val="accent3">
                  <a:lumMod val="40000"/>
                  <a:lumOff val="60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invertIfNegative val="0"/>
          <c:cat>
            <c:strRef>
              <c:f>'グラフ(退院阻害要因＿２）'!$K$4:$K$23</c:f>
              <c:strCache>
                <c:ptCount val="20"/>
                <c:pt idx="0">
                  <c:v>病状は落ち着いているが、ときどき不安定な病状が見られ、そのことが退院を阻害する要因になっている</c:v>
                </c:pt>
                <c:pt idx="1">
                  <c:v>病識がなく通院服薬の中断が予測される</c:v>
                </c:pt>
                <c:pt idx="2">
                  <c:v>反社会的行動が予測される</c:v>
                </c:pt>
                <c:pt idx="3">
                  <c:v>退院意欲が乏しい</c:v>
                </c:pt>
                <c:pt idx="4">
                  <c:v>現実認識が乏しい</c:v>
                </c:pt>
                <c:pt idx="5">
                  <c:v>退院による環境変化への不安が強い</c:v>
                </c:pt>
                <c:pt idx="6">
                  <c:v>援助者との対人関係がもてない</c:v>
                </c:pt>
                <c:pt idx="7">
                  <c:v>家事（食事・洗濯・金銭管理など）ができない</c:v>
                </c:pt>
                <c:pt idx="8">
                  <c:v>家族がいない・本人をサポートする機能が実質ない</c:v>
                </c:pt>
                <c:pt idx="9">
                  <c:v>家族が退院に反対している</c:v>
                </c:pt>
                <c:pt idx="10">
                  <c:v>住まいの確保ができない</c:v>
                </c:pt>
                <c:pt idx="11">
                  <c:v>生活費の確保ができない</c:v>
                </c:pt>
                <c:pt idx="12">
                  <c:v>日常生活を支える制度がない</c:v>
                </c:pt>
                <c:pt idx="13">
                  <c:v>救急診療体制がない</c:v>
                </c:pt>
                <c:pt idx="14">
                  <c:v>退院に向けてサポートする人的資源が乏しい</c:v>
                </c:pt>
                <c:pt idx="15">
                  <c:v>退院後サポート・マネジメントする人的資源が乏しい</c:v>
                </c:pt>
                <c:pt idx="16">
                  <c:v>住所地と入院先の距離があり支援体制がとりにくい</c:v>
                </c:pt>
                <c:pt idx="17">
                  <c:v>身体的機能や状態を原因としたADLの低下がある</c:v>
                </c:pt>
                <c:pt idx="18">
                  <c:v>身体合併症の程度が重いなど身体面のフォローが必要であり、地域での生活が困難</c:v>
                </c:pt>
                <c:pt idx="19">
                  <c:v>その他の退院阻害要因がある</c:v>
                </c:pt>
              </c:strCache>
            </c:strRef>
          </c:cat>
          <c:val>
            <c:numRef>
              <c:f>'グラフ(退院阻害要因＿２）'!$M$4:$M$23</c:f>
              <c:numCache>
                <c:formatCode>0.0%</c:formatCode>
                <c:ptCount val="20"/>
                <c:pt idx="0">
                  <c:v>0.33514986376021799</c:v>
                </c:pt>
                <c:pt idx="1">
                  <c:v>0.22797456857402362</c:v>
                </c:pt>
                <c:pt idx="2">
                  <c:v>2.3614895549500452E-2</c:v>
                </c:pt>
                <c:pt idx="3">
                  <c:v>0.40871934604904631</c:v>
                </c:pt>
                <c:pt idx="4">
                  <c:v>0.40781108083560402</c:v>
                </c:pt>
                <c:pt idx="5">
                  <c:v>0.29427792915531337</c:v>
                </c:pt>
                <c:pt idx="6">
                  <c:v>8.3560399636693913E-2</c:v>
                </c:pt>
                <c:pt idx="7">
                  <c:v>0.33787465940054495</c:v>
                </c:pt>
                <c:pt idx="8">
                  <c:v>0.17801998183469572</c:v>
                </c:pt>
                <c:pt idx="9">
                  <c:v>0.17529518619436876</c:v>
                </c:pt>
                <c:pt idx="10">
                  <c:v>0.34514078110808355</c:v>
                </c:pt>
                <c:pt idx="11">
                  <c:v>7.3569482288828342E-2</c:v>
                </c:pt>
                <c:pt idx="12">
                  <c:v>5.5404178019981834E-2</c:v>
                </c:pt>
                <c:pt idx="13">
                  <c:v>1.3623978201634877E-2</c:v>
                </c:pt>
                <c:pt idx="14">
                  <c:v>9.264305177111716E-2</c:v>
                </c:pt>
                <c:pt idx="15">
                  <c:v>8.3560399636693913E-2</c:v>
                </c:pt>
                <c:pt idx="16">
                  <c:v>1.4532243415077202E-2</c:v>
                </c:pt>
                <c:pt idx="17">
                  <c:v>0.24613987284287012</c:v>
                </c:pt>
                <c:pt idx="18">
                  <c:v>9.0826521344232511E-2</c:v>
                </c:pt>
                <c:pt idx="19">
                  <c:v>2.2706630336058128E-2</c:v>
                </c:pt>
              </c:numCache>
            </c:numRef>
          </c:val>
          <c:extLst>
            <c:ext xmlns:c16="http://schemas.microsoft.com/office/drawing/2014/chart" uri="{C3380CC4-5D6E-409C-BE32-E72D297353CC}">
              <c16:uniqueId val="{00000001-937D-4A97-83B7-B58ADA48352F}"/>
            </c:ext>
          </c:extLst>
        </c:ser>
        <c:dLbls>
          <c:showLegendKey val="0"/>
          <c:showVal val="0"/>
          <c:showCatName val="0"/>
          <c:showSerName val="0"/>
          <c:showPercent val="0"/>
          <c:showBubbleSize val="0"/>
        </c:dLbls>
        <c:gapWidth val="100"/>
        <c:axId val="1896483359"/>
        <c:axId val="1896485023"/>
      </c:barChart>
      <c:catAx>
        <c:axId val="1896483359"/>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endParaRPr lang="ja-JP"/>
          </a:p>
        </c:txPr>
        <c:crossAx val="1896485023"/>
        <c:crosses val="autoZero"/>
        <c:auto val="1"/>
        <c:lblAlgn val="ctr"/>
        <c:lblOffset val="100"/>
        <c:tickMarkSkip val="1"/>
        <c:noMultiLvlLbl val="0"/>
      </c:catAx>
      <c:valAx>
        <c:axId val="1896485023"/>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ja-JP"/>
          </a:p>
        </c:txPr>
        <c:crossAx val="18964833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r>
              <a:rPr lang="ja-JP" sz="1200">
                <a:latin typeface="メイリオ" panose="020B0604030504040204" pitchFamily="50" charset="-128"/>
                <a:ea typeface="メイリオ" panose="020B0604030504040204" pitchFamily="50" charset="-128"/>
              </a:rPr>
              <a:t>退院阻害要因（複数回答）</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title>
    <c:autoTitleDeleted val="0"/>
    <c:plotArea>
      <c:layout/>
      <c:barChart>
        <c:barDir val="bar"/>
        <c:grouping val="clustered"/>
        <c:varyColors val="0"/>
        <c:ser>
          <c:idx val="0"/>
          <c:order val="0"/>
          <c:tx>
            <c:strRef>
              <c:f>'グラフ(退院阻害要因＿２）'!$L$47</c:f>
              <c:strCache>
                <c:ptCount val="1"/>
                <c:pt idx="0">
                  <c:v>1年未満</c:v>
                </c:pt>
              </c:strCache>
            </c:strRef>
          </c:tx>
          <c:spPr>
            <a:solidFill>
              <a:schemeClr val="accent5">
                <a:tint val="58000"/>
              </a:schemeClr>
            </a:solidFill>
            <a:ln>
              <a:noFill/>
            </a:ln>
            <a:effectLst/>
          </c:spPr>
          <c:invertIfNegative val="0"/>
          <c:cat>
            <c:strRef>
              <c:f>'グラフ(退院阻害要因＿２）'!$K$48:$K$67</c:f>
              <c:strCache>
                <c:ptCount val="20"/>
                <c:pt idx="0">
                  <c:v>病状は落ち着いているが、ときどき不安定な病状が見られ、そのことが退院を阻害する要因になっている</c:v>
                </c:pt>
                <c:pt idx="1">
                  <c:v>病識がなく通院服薬の中断が予測される</c:v>
                </c:pt>
                <c:pt idx="2">
                  <c:v>反社会的行動が予測される</c:v>
                </c:pt>
                <c:pt idx="3">
                  <c:v>退院意欲が乏しい</c:v>
                </c:pt>
                <c:pt idx="4">
                  <c:v>現実認識が乏しい</c:v>
                </c:pt>
                <c:pt idx="5">
                  <c:v>退院による環境変化への不安が強い</c:v>
                </c:pt>
                <c:pt idx="6">
                  <c:v>援助者との対人関係がもてない</c:v>
                </c:pt>
                <c:pt idx="7">
                  <c:v>家事（食事・洗濯・金銭管理など）ができない</c:v>
                </c:pt>
                <c:pt idx="8">
                  <c:v>家族がいない・本人をサポートする機能が実質ない</c:v>
                </c:pt>
                <c:pt idx="9">
                  <c:v>家族が退院に反対している</c:v>
                </c:pt>
                <c:pt idx="10">
                  <c:v>住まいの確保ができない</c:v>
                </c:pt>
                <c:pt idx="11">
                  <c:v>生活費の確保ができない</c:v>
                </c:pt>
                <c:pt idx="12">
                  <c:v>日常生活を支える制度がない</c:v>
                </c:pt>
                <c:pt idx="13">
                  <c:v>救急診療体制がない</c:v>
                </c:pt>
                <c:pt idx="14">
                  <c:v>退院に向けてサポートする人的資源が乏しい</c:v>
                </c:pt>
                <c:pt idx="15">
                  <c:v>退院後サポート・マネジメントする人的資源が乏しい</c:v>
                </c:pt>
                <c:pt idx="16">
                  <c:v>住所地と入院先の距離があり支援体制がとりにくい</c:v>
                </c:pt>
                <c:pt idx="17">
                  <c:v>身体的機能や状態を原因としたADLの低下がある</c:v>
                </c:pt>
                <c:pt idx="18">
                  <c:v>身体合併症の程度が重いなど身体面のフォローが必要であり、地域での生活が困難</c:v>
                </c:pt>
                <c:pt idx="19">
                  <c:v>その他の退院阻害要因がある</c:v>
                </c:pt>
              </c:strCache>
            </c:strRef>
          </c:cat>
          <c:val>
            <c:numRef>
              <c:f>'グラフ(退院阻害要因＿２）'!$L$48:$L$67</c:f>
              <c:numCache>
                <c:formatCode>0.0%</c:formatCode>
                <c:ptCount val="20"/>
                <c:pt idx="0">
                  <c:v>0.31660899653979241</c:v>
                </c:pt>
                <c:pt idx="1">
                  <c:v>0.22664359861591696</c:v>
                </c:pt>
                <c:pt idx="2">
                  <c:v>4.6712802768166091E-2</c:v>
                </c:pt>
                <c:pt idx="3">
                  <c:v>0.19204152249134948</c:v>
                </c:pt>
                <c:pt idx="4">
                  <c:v>0.33564013840830448</c:v>
                </c:pt>
                <c:pt idx="5">
                  <c:v>0.24394463667820068</c:v>
                </c:pt>
                <c:pt idx="6">
                  <c:v>8.8235294117647065E-2</c:v>
                </c:pt>
                <c:pt idx="7">
                  <c:v>0.30622837370242212</c:v>
                </c:pt>
                <c:pt idx="8">
                  <c:v>0.1245674740484429</c:v>
                </c:pt>
                <c:pt idx="9">
                  <c:v>0.12283737024221453</c:v>
                </c:pt>
                <c:pt idx="10">
                  <c:v>0.4290657439446367</c:v>
                </c:pt>
                <c:pt idx="11">
                  <c:v>8.4775086505190306E-2</c:v>
                </c:pt>
                <c:pt idx="12">
                  <c:v>6.7474048442906581E-2</c:v>
                </c:pt>
                <c:pt idx="13">
                  <c:v>2.4221453287197232E-2</c:v>
                </c:pt>
                <c:pt idx="14">
                  <c:v>8.1314878892733561E-2</c:v>
                </c:pt>
                <c:pt idx="15">
                  <c:v>9.3425605536332182E-2</c:v>
                </c:pt>
                <c:pt idx="16">
                  <c:v>1.2110726643598616E-2</c:v>
                </c:pt>
                <c:pt idx="17">
                  <c:v>0.20934256055363321</c:v>
                </c:pt>
                <c:pt idx="18">
                  <c:v>9.8615916955017299E-2</c:v>
                </c:pt>
                <c:pt idx="19">
                  <c:v>3.9792387543252594E-2</c:v>
                </c:pt>
              </c:numCache>
            </c:numRef>
          </c:val>
          <c:extLst>
            <c:ext xmlns:c16="http://schemas.microsoft.com/office/drawing/2014/chart" uri="{C3380CC4-5D6E-409C-BE32-E72D297353CC}">
              <c16:uniqueId val="{00000000-0152-42E9-876D-48168C644E88}"/>
            </c:ext>
          </c:extLst>
        </c:ser>
        <c:ser>
          <c:idx val="1"/>
          <c:order val="1"/>
          <c:tx>
            <c:strRef>
              <c:f>'グラフ(退院阻害要因＿２）'!$M$47</c:f>
              <c:strCache>
                <c:ptCount val="1"/>
                <c:pt idx="0">
                  <c:v>1年以上5年未満</c:v>
                </c:pt>
              </c:strCache>
            </c:strRef>
          </c:tx>
          <c:spPr>
            <a:solidFill>
              <a:schemeClr val="accent5">
                <a:tint val="86000"/>
              </a:schemeClr>
            </a:solidFill>
            <a:ln>
              <a:noFill/>
            </a:ln>
            <a:effectLst/>
          </c:spPr>
          <c:invertIfNegative val="0"/>
          <c:cat>
            <c:strRef>
              <c:f>'グラフ(退院阻害要因＿２）'!$K$48:$K$67</c:f>
              <c:strCache>
                <c:ptCount val="20"/>
                <c:pt idx="0">
                  <c:v>病状は落ち着いているが、ときどき不安定な病状が見られ、そのことが退院を阻害する要因になっている</c:v>
                </c:pt>
                <c:pt idx="1">
                  <c:v>病識がなく通院服薬の中断が予測される</c:v>
                </c:pt>
                <c:pt idx="2">
                  <c:v>反社会的行動が予測される</c:v>
                </c:pt>
                <c:pt idx="3">
                  <c:v>退院意欲が乏しい</c:v>
                </c:pt>
                <c:pt idx="4">
                  <c:v>現実認識が乏しい</c:v>
                </c:pt>
                <c:pt idx="5">
                  <c:v>退院による環境変化への不安が強い</c:v>
                </c:pt>
                <c:pt idx="6">
                  <c:v>援助者との対人関係がもてない</c:v>
                </c:pt>
                <c:pt idx="7">
                  <c:v>家事（食事・洗濯・金銭管理など）ができない</c:v>
                </c:pt>
                <c:pt idx="8">
                  <c:v>家族がいない・本人をサポートする機能が実質ない</c:v>
                </c:pt>
                <c:pt idx="9">
                  <c:v>家族が退院に反対している</c:v>
                </c:pt>
                <c:pt idx="10">
                  <c:v>住まいの確保ができない</c:v>
                </c:pt>
                <c:pt idx="11">
                  <c:v>生活費の確保ができない</c:v>
                </c:pt>
                <c:pt idx="12">
                  <c:v>日常生活を支える制度がない</c:v>
                </c:pt>
                <c:pt idx="13">
                  <c:v>救急診療体制がない</c:v>
                </c:pt>
                <c:pt idx="14">
                  <c:v>退院に向けてサポートする人的資源が乏しい</c:v>
                </c:pt>
                <c:pt idx="15">
                  <c:v>退院後サポート・マネジメントする人的資源が乏しい</c:v>
                </c:pt>
                <c:pt idx="16">
                  <c:v>住所地と入院先の距離があり支援体制がとりにくい</c:v>
                </c:pt>
                <c:pt idx="17">
                  <c:v>身体的機能や状態を原因としたADLの低下がある</c:v>
                </c:pt>
                <c:pt idx="18">
                  <c:v>身体合併症の程度が重いなど身体面のフォローが必要であり、地域での生活が困難</c:v>
                </c:pt>
                <c:pt idx="19">
                  <c:v>その他の退院阻害要因がある</c:v>
                </c:pt>
              </c:strCache>
            </c:strRef>
          </c:cat>
          <c:val>
            <c:numRef>
              <c:f>'グラフ(退院阻害要因＿２）'!$M$48:$M$67</c:f>
              <c:numCache>
                <c:formatCode>0.0%</c:formatCode>
                <c:ptCount val="20"/>
                <c:pt idx="0">
                  <c:v>0.35807050092764381</c:v>
                </c:pt>
                <c:pt idx="1">
                  <c:v>0.22077922077922077</c:v>
                </c:pt>
                <c:pt idx="2">
                  <c:v>4.4526901669758812E-2</c:v>
                </c:pt>
                <c:pt idx="3">
                  <c:v>0.42671614100185529</c:v>
                </c:pt>
                <c:pt idx="4">
                  <c:v>0.4137291280148423</c:v>
                </c:pt>
                <c:pt idx="5">
                  <c:v>0.30983302411873842</c:v>
                </c:pt>
                <c:pt idx="6">
                  <c:v>6.8645640074211506E-2</c:v>
                </c:pt>
                <c:pt idx="7">
                  <c:v>0.33024118738404451</c:v>
                </c:pt>
                <c:pt idx="8">
                  <c:v>0.20037105751391465</c:v>
                </c:pt>
                <c:pt idx="9">
                  <c:v>0.20222634508348794</c:v>
                </c:pt>
                <c:pt idx="10">
                  <c:v>0.33209647495361783</c:v>
                </c:pt>
                <c:pt idx="11">
                  <c:v>5.9369202226345084E-2</c:v>
                </c:pt>
                <c:pt idx="12">
                  <c:v>4.267161410018553E-2</c:v>
                </c:pt>
                <c:pt idx="13">
                  <c:v>5.5658627087198514E-3</c:v>
                </c:pt>
                <c:pt idx="14">
                  <c:v>9.0909090909090912E-2</c:v>
                </c:pt>
                <c:pt idx="15">
                  <c:v>5.5658627087198514E-2</c:v>
                </c:pt>
                <c:pt idx="16">
                  <c:v>1.6697588126159554E-2</c:v>
                </c:pt>
                <c:pt idx="17">
                  <c:v>0.22634508348794063</c:v>
                </c:pt>
                <c:pt idx="18">
                  <c:v>7.2356215213358069E-2</c:v>
                </c:pt>
                <c:pt idx="19">
                  <c:v>1.8552875695732839E-2</c:v>
                </c:pt>
              </c:numCache>
            </c:numRef>
          </c:val>
          <c:extLst>
            <c:ext xmlns:c16="http://schemas.microsoft.com/office/drawing/2014/chart" uri="{C3380CC4-5D6E-409C-BE32-E72D297353CC}">
              <c16:uniqueId val="{00000001-0152-42E9-876D-48168C644E88}"/>
            </c:ext>
          </c:extLst>
        </c:ser>
        <c:ser>
          <c:idx val="2"/>
          <c:order val="2"/>
          <c:tx>
            <c:strRef>
              <c:f>'グラフ(退院阻害要因＿２）'!$N$47</c:f>
              <c:strCache>
                <c:ptCount val="1"/>
                <c:pt idx="0">
                  <c:v>5年以上10年未満</c:v>
                </c:pt>
              </c:strCache>
            </c:strRef>
          </c:tx>
          <c:spPr>
            <a:solidFill>
              <a:schemeClr val="accent5">
                <a:shade val="86000"/>
              </a:schemeClr>
            </a:solidFill>
            <a:ln>
              <a:noFill/>
            </a:ln>
            <a:effectLst/>
          </c:spPr>
          <c:invertIfNegative val="0"/>
          <c:cat>
            <c:strRef>
              <c:f>'グラフ(退院阻害要因＿２）'!$K$48:$K$67</c:f>
              <c:strCache>
                <c:ptCount val="20"/>
                <c:pt idx="0">
                  <c:v>病状は落ち着いているが、ときどき不安定な病状が見られ、そのことが退院を阻害する要因になっている</c:v>
                </c:pt>
                <c:pt idx="1">
                  <c:v>病識がなく通院服薬の中断が予測される</c:v>
                </c:pt>
                <c:pt idx="2">
                  <c:v>反社会的行動が予測される</c:v>
                </c:pt>
                <c:pt idx="3">
                  <c:v>退院意欲が乏しい</c:v>
                </c:pt>
                <c:pt idx="4">
                  <c:v>現実認識が乏しい</c:v>
                </c:pt>
                <c:pt idx="5">
                  <c:v>退院による環境変化への不安が強い</c:v>
                </c:pt>
                <c:pt idx="6">
                  <c:v>援助者との対人関係がもてない</c:v>
                </c:pt>
                <c:pt idx="7">
                  <c:v>家事（食事・洗濯・金銭管理など）ができない</c:v>
                </c:pt>
                <c:pt idx="8">
                  <c:v>家族がいない・本人をサポートする機能が実質ない</c:v>
                </c:pt>
                <c:pt idx="9">
                  <c:v>家族が退院に反対している</c:v>
                </c:pt>
                <c:pt idx="10">
                  <c:v>住まいの確保ができない</c:v>
                </c:pt>
                <c:pt idx="11">
                  <c:v>生活費の確保ができない</c:v>
                </c:pt>
                <c:pt idx="12">
                  <c:v>日常生活を支える制度がない</c:v>
                </c:pt>
                <c:pt idx="13">
                  <c:v>救急診療体制がない</c:v>
                </c:pt>
                <c:pt idx="14">
                  <c:v>退院に向けてサポートする人的資源が乏しい</c:v>
                </c:pt>
                <c:pt idx="15">
                  <c:v>退院後サポート・マネジメントする人的資源が乏しい</c:v>
                </c:pt>
                <c:pt idx="16">
                  <c:v>住所地と入院先の距離があり支援体制がとりにくい</c:v>
                </c:pt>
                <c:pt idx="17">
                  <c:v>身体的機能や状態を原因としたADLの低下がある</c:v>
                </c:pt>
                <c:pt idx="18">
                  <c:v>身体合併症の程度が重いなど身体面のフォローが必要であり、地域での生活が困難</c:v>
                </c:pt>
                <c:pt idx="19">
                  <c:v>その他の退院阻害要因がある</c:v>
                </c:pt>
              </c:strCache>
            </c:strRef>
          </c:cat>
          <c:val>
            <c:numRef>
              <c:f>'グラフ(退院阻害要因＿２）'!$N$48:$N$67</c:f>
              <c:numCache>
                <c:formatCode>0.0%</c:formatCode>
                <c:ptCount val="20"/>
                <c:pt idx="0">
                  <c:v>0.3510204081632653</c:v>
                </c:pt>
                <c:pt idx="1">
                  <c:v>0.26530612244897961</c:v>
                </c:pt>
                <c:pt idx="2">
                  <c:v>3.2653061224489799E-2</c:v>
                </c:pt>
                <c:pt idx="3">
                  <c:v>0.53061224489795922</c:v>
                </c:pt>
                <c:pt idx="4">
                  <c:v>0.45306122448979591</c:v>
                </c:pt>
                <c:pt idx="5">
                  <c:v>0.32653061224489793</c:v>
                </c:pt>
                <c:pt idx="6">
                  <c:v>9.3877551020408165E-2</c:v>
                </c:pt>
                <c:pt idx="7">
                  <c:v>0.36326530612244901</c:v>
                </c:pt>
                <c:pt idx="8">
                  <c:v>0.18775510204081633</c:v>
                </c:pt>
                <c:pt idx="9">
                  <c:v>0.21632653061224491</c:v>
                </c:pt>
                <c:pt idx="10">
                  <c:v>0.24897959183673468</c:v>
                </c:pt>
                <c:pt idx="11">
                  <c:v>5.3061224489795916E-2</c:v>
                </c:pt>
                <c:pt idx="12">
                  <c:v>3.6734693877551024E-2</c:v>
                </c:pt>
                <c:pt idx="13">
                  <c:v>4.0816326530612249E-3</c:v>
                </c:pt>
                <c:pt idx="14">
                  <c:v>6.5306122448979598E-2</c:v>
                </c:pt>
                <c:pt idx="15">
                  <c:v>0.10204081632653061</c:v>
                </c:pt>
                <c:pt idx="16">
                  <c:v>1.2244897959183673E-2</c:v>
                </c:pt>
                <c:pt idx="17">
                  <c:v>0.16734693877551021</c:v>
                </c:pt>
                <c:pt idx="18">
                  <c:v>6.5306122448979598E-2</c:v>
                </c:pt>
                <c:pt idx="19">
                  <c:v>1.2244897959183673E-2</c:v>
                </c:pt>
              </c:numCache>
            </c:numRef>
          </c:val>
          <c:extLst>
            <c:ext xmlns:c16="http://schemas.microsoft.com/office/drawing/2014/chart" uri="{C3380CC4-5D6E-409C-BE32-E72D297353CC}">
              <c16:uniqueId val="{00000002-0152-42E9-876D-48168C644E88}"/>
            </c:ext>
          </c:extLst>
        </c:ser>
        <c:ser>
          <c:idx val="3"/>
          <c:order val="3"/>
          <c:tx>
            <c:strRef>
              <c:f>'グラフ(退院阻害要因＿２）'!$O$47</c:f>
              <c:strCache>
                <c:ptCount val="1"/>
                <c:pt idx="0">
                  <c:v>10年以上</c:v>
                </c:pt>
              </c:strCache>
            </c:strRef>
          </c:tx>
          <c:spPr>
            <a:solidFill>
              <a:schemeClr val="accent5">
                <a:shade val="58000"/>
              </a:schemeClr>
            </a:solidFill>
            <a:ln>
              <a:noFill/>
            </a:ln>
            <a:effectLst/>
          </c:spPr>
          <c:invertIfNegative val="0"/>
          <c:cat>
            <c:strRef>
              <c:f>'グラフ(退院阻害要因＿２）'!$K$48:$K$67</c:f>
              <c:strCache>
                <c:ptCount val="20"/>
                <c:pt idx="0">
                  <c:v>病状は落ち着いているが、ときどき不安定な病状が見られ、そのことが退院を阻害する要因になっている</c:v>
                </c:pt>
                <c:pt idx="1">
                  <c:v>病識がなく通院服薬の中断が予測される</c:v>
                </c:pt>
                <c:pt idx="2">
                  <c:v>反社会的行動が予測される</c:v>
                </c:pt>
                <c:pt idx="3">
                  <c:v>退院意欲が乏しい</c:v>
                </c:pt>
                <c:pt idx="4">
                  <c:v>現実認識が乏しい</c:v>
                </c:pt>
                <c:pt idx="5">
                  <c:v>退院による環境変化への不安が強い</c:v>
                </c:pt>
                <c:pt idx="6">
                  <c:v>援助者との対人関係がもてない</c:v>
                </c:pt>
                <c:pt idx="7">
                  <c:v>家事（食事・洗濯・金銭管理など）ができない</c:v>
                </c:pt>
                <c:pt idx="8">
                  <c:v>家族がいない・本人をサポートする機能が実質ない</c:v>
                </c:pt>
                <c:pt idx="9">
                  <c:v>家族が退院に反対している</c:v>
                </c:pt>
                <c:pt idx="10">
                  <c:v>住まいの確保ができない</c:v>
                </c:pt>
                <c:pt idx="11">
                  <c:v>生活費の確保ができない</c:v>
                </c:pt>
                <c:pt idx="12">
                  <c:v>日常生活を支える制度がない</c:v>
                </c:pt>
                <c:pt idx="13">
                  <c:v>救急診療体制がない</c:v>
                </c:pt>
                <c:pt idx="14">
                  <c:v>退院に向けてサポートする人的資源が乏しい</c:v>
                </c:pt>
                <c:pt idx="15">
                  <c:v>退院後サポート・マネジメントする人的資源が乏しい</c:v>
                </c:pt>
                <c:pt idx="16">
                  <c:v>住所地と入院先の距離があり支援体制がとりにくい</c:v>
                </c:pt>
                <c:pt idx="17">
                  <c:v>身体的機能や状態を原因としたADLの低下がある</c:v>
                </c:pt>
                <c:pt idx="18">
                  <c:v>身体合併症の程度が重いなど身体面のフォローが必要であり、地域での生活が困難</c:v>
                </c:pt>
                <c:pt idx="19">
                  <c:v>その他の退院阻害要因がある</c:v>
                </c:pt>
              </c:strCache>
            </c:strRef>
          </c:cat>
          <c:val>
            <c:numRef>
              <c:f>'グラフ(退院阻害要因＿２）'!$O$48:$O$67</c:f>
              <c:numCache>
                <c:formatCode>0.0%</c:formatCode>
                <c:ptCount val="20"/>
                <c:pt idx="0">
                  <c:v>0.36328125</c:v>
                </c:pt>
                <c:pt idx="1">
                  <c:v>0.29296875</c:v>
                </c:pt>
                <c:pt idx="2">
                  <c:v>2.734375E-2</c:v>
                </c:pt>
                <c:pt idx="3">
                  <c:v>0.62890625</c:v>
                </c:pt>
                <c:pt idx="4">
                  <c:v>0.50390625</c:v>
                </c:pt>
                <c:pt idx="5">
                  <c:v>0.390625</c:v>
                </c:pt>
                <c:pt idx="6">
                  <c:v>9.765625E-2</c:v>
                </c:pt>
                <c:pt idx="7">
                  <c:v>0.3359375</c:v>
                </c:pt>
                <c:pt idx="8">
                  <c:v>0.2421875</c:v>
                </c:pt>
                <c:pt idx="9">
                  <c:v>0.13671875</c:v>
                </c:pt>
                <c:pt idx="10">
                  <c:v>0.234375</c:v>
                </c:pt>
                <c:pt idx="11">
                  <c:v>5.078125E-2</c:v>
                </c:pt>
                <c:pt idx="12">
                  <c:v>3.515625E-2</c:v>
                </c:pt>
                <c:pt idx="13">
                  <c:v>0</c:v>
                </c:pt>
                <c:pt idx="14">
                  <c:v>0.12109375</c:v>
                </c:pt>
                <c:pt idx="15">
                  <c:v>0.11328125</c:v>
                </c:pt>
                <c:pt idx="16">
                  <c:v>3.90625E-3</c:v>
                </c:pt>
                <c:pt idx="17">
                  <c:v>0.10546875</c:v>
                </c:pt>
                <c:pt idx="18">
                  <c:v>4.296875E-2</c:v>
                </c:pt>
                <c:pt idx="19">
                  <c:v>1.171875E-2</c:v>
                </c:pt>
              </c:numCache>
            </c:numRef>
          </c:val>
          <c:extLst>
            <c:ext xmlns:c16="http://schemas.microsoft.com/office/drawing/2014/chart" uri="{C3380CC4-5D6E-409C-BE32-E72D297353CC}">
              <c16:uniqueId val="{00000003-0152-42E9-876D-48168C644E88}"/>
            </c:ext>
          </c:extLst>
        </c:ser>
        <c:dLbls>
          <c:showLegendKey val="0"/>
          <c:showVal val="0"/>
          <c:showCatName val="0"/>
          <c:showSerName val="0"/>
          <c:showPercent val="0"/>
          <c:showBubbleSize val="0"/>
        </c:dLbls>
        <c:gapWidth val="182"/>
        <c:axId val="1977369407"/>
        <c:axId val="1977377727"/>
      </c:barChart>
      <c:catAx>
        <c:axId val="197736940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1977377727"/>
        <c:crosses val="autoZero"/>
        <c:auto val="1"/>
        <c:lblAlgn val="ctr"/>
        <c:lblOffset val="100"/>
        <c:noMultiLvlLbl val="0"/>
      </c:catAx>
      <c:valAx>
        <c:axId val="1977377727"/>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773694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r>
              <a:rPr lang="ja-JP" sz="1200">
                <a:latin typeface="メイリオ" panose="020B0604030504040204" pitchFamily="50" charset="-128"/>
                <a:ea typeface="メイリオ" panose="020B0604030504040204" pitchFamily="50" charset="-128"/>
              </a:rPr>
              <a:t>退院阻害要因</a:t>
            </a:r>
            <a:r>
              <a:rPr lang="en-US" altLang="ja-JP" sz="1200">
                <a:latin typeface="メイリオ" panose="020B0604030504040204" pitchFamily="50" charset="-128"/>
                <a:ea typeface="メイリオ" panose="020B0604030504040204" pitchFamily="50" charset="-128"/>
              </a:rPr>
              <a:t>_</a:t>
            </a:r>
            <a:r>
              <a:rPr lang="ja-JP" altLang="en-US" sz="1200">
                <a:latin typeface="メイリオ" panose="020B0604030504040204" pitchFamily="50" charset="-128"/>
                <a:ea typeface="メイリオ" panose="020B0604030504040204" pitchFamily="50" charset="-128"/>
              </a:rPr>
              <a:t>寛解・院内寛解</a:t>
            </a:r>
            <a:r>
              <a:rPr lang="ja-JP" sz="1200">
                <a:latin typeface="メイリオ" panose="020B0604030504040204" pitchFamily="50" charset="-128"/>
                <a:ea typeface="メイリオ" panose="020B0604030504040204" pitchFamily="50" charset="-128"/>
              </a:rPr>
              <a:t>（複数回答）</a:t>
            </a:r>
          </a:p>
        </c:rich>
      </c:tx>
      <c:layout>
        <c:manualLayout>
          <c:xMode val="edge"/>
          <c:yMode val="edge"/>
          <c:x val="0.25397944100006864"/>
          <c:y val="4.7142134634455676E-3"/>
        </c:manualLayout>
      </c:layout>
      <c:overlay val="0"/>
      <c:spPr>
        <a:noFill/>
        <a:ln>
          <a:noFill/>
        </a:ln>
        <a:effectLst/>
      </c:spPr>
      <c:txPr>
        <a:bodyPr rot="0" spcFirstLastPara="1" vertOverflow="ellipsis" vert="horz" wrap="square" anchor="ctr" anchorCtr="1"/>
        <a:lstStyle/>
        <a:p>
          <a:pPr>
            <a:defRPr sz="1200" b="0"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endParaRPr lang="ja-JP"/>
        </a:p>
      </c:txPr>
    </c:title>
    <c:autoTitleDeleted val="0"/>
    <c:plotArea>
      <c:layout>
        <c:manualLayout>
          <c:layoutTarget val="inner"/>
          <c:xMode val="edge"/>
          <c:yMode val="edge"/>
          <c:x val="0.5006108611423572"/>
          <c:y val="8.7115148450480392E-2"/>
          <c:w val="0.45619237924329531"/>
          <c:h val="0.85802993089166602"/>
        </c:manualLayout>
      </c:layout>
      <c:barChart>
        <c:barDir val="bar"/>
        <c:grouping val="clustered"/>
        <c:varyColors val="0"/>
        <c:ser>
          <c:idx val="0"/>
          <c:order val="0"/>
          <c:tx>
            <c:strRef>
              <c:f>'グラフ(退院阻害要因＿２(寛解・院内寛解)'!$L$3</c:f>
              <c:strCache>
                <c:ptCount val="1"/>
                <c:pt idx="0">
                  <c:v>65歳未満</c:v>
                </c:pt>
              </c:strCache>
            </c:strRef>
          </c:tx>
          <c:spPr>
            <a:solidFill>
              <a:schemeClr val="accent5"/>
            </a:solidFill>
            <a:ln w="9525" cap="flat" cmpd="sng" algn="ctr">
              <a:solidFill>
                <a:srgbClr val="4D99BB"/>
              </a:solidFill>
              <a:round/>
            </a:ln>
            <a:effectLst>
              <a:outerShdw blurRad="40000" dist="20000" dir="5400000" rotWithShape="0">
                <a:srgbClr val="000000">
                  <a:alpha val="38000"/>
                </a:srgbClr>
              </a:outerShdw>
            </a:effectLst>
            <a:scene3d>
              <a:camera prst="orthographicFront"/>
              <a:lightRig rig="threePt" dir="t"/>
            </a:scene3d>
            <a:sp3d>
              <a:bevelT w="63500" h="25400"/>
            </a:sp3d>
          </c:spPr>
          <c:invertIfNegative val="0"/>
          <c:cat>
            <c:strRef>
              <c:f>'グラフ(退院阻害要因＿２(寛解・院内寛解)'!$K$4:$K$23</c:f>
              <c:strCache>
                <c:ptCount val="20"/>
                <c:pt idx="0">
                  <c:v>病状は落ち着いているが、ときどき不安定な病状が見られ、そのことが退院を阻害する要因になっている</c:v>
                </c:pt>
                <c:pt idx="1">
                  <c:v>病識がなく通院服薬の中断が予測される</c:v>
                </c:pt>
                <c:pt idx="2">
                  <c:v>反社会的行動が予測される</c:v>
                </c:pt>
                <c:pt idx="3">
                  <c:v>退院意欲が乏しい</c:v>
                </c:pt>
                <c:pt idx="4">
                  <c:v>現実認識が乏しい</c:v>
                </c:pt>
                <c:pt idx="5">
                  <c:v>退院による環境変化への不安が強い</c:v>
                </c:pt>
                <c:pt idx="6">
                  <c:v>援助者との対人関係がもてない</c:v>
                </c:pt>
                <c:pt idx="7">
                  <c:v>家事（食事・洗濯・金銭管理など）ができない</c:v>
                </c:pt>
                <c:pt idx="8">
                  <c:v>家族がいない・本人をサポートする機能が実質ない</c:v>
                </c:pt>
                <c:pt idx="9">
                  <c:v>家族が退院に反対している</c:v>
                </c:pt>
                <c:pt idx="10">
                  <c:v>住まいの確保ができない</c:v>
                </c:pt>
                <c:pt idx="11">
                  <c:v>生活費の確保ができない</c:v>
                </c:pt>
                <c:pt idx="12">
                  <c:v>日常生活を支える制度がない</c:v>
                </c:pt>
                <c:pt idx="13">
                  <c:v>救急診療体制がない</c:v>
                </c:pt>
                <c:pt idx="14">
                  <c:v>退院に向けてサポートする人的資源が乏しい</c:v>
                </c:pt>
                <c:pt idx="15">
                  <c:v>退院後サポート・マネジメントする人的資源が乏しい</c:v>
                </c:pt>
                <c:pt idx="16">
                  <c:v>住所地と入院先の距離があり支援体制がとりにくい</c:v>
                </c:pt>
                <c:pt idx="17">
                  <c:v>身体的機能や状態を原因としたADLの低下がある</c:v>
                </c:pt>
                <c:pt idx="18">
                  <c:v>身体合併症の程度が重いなど身体面のフォローが必要であり、地域での生活が困難</c:v>
                </c:pt>
                <c:pt idx="19">
                  <c:v>その他の退院阻害要因がある</c:v>
                </c:pt>
              </c:strCache>
            </c:strRef>
          </c:cat>
          <c:val>
            <c:numRef>
              <c:f>'グラフ(退院阻害要因＿２(寛解・院内寛解)'!$L$4:$L$23</c:f>
              <c:numCache>
                <c:formatCode>0.0%</c:formatCode>
                <c:ptCount val="20"/>
                <c:pt idx="0">
                  <c:v>0.24867724867724866</c:v>
                </c:pt>
                <c:pt idx="1">
                  <c:v>0.19047619047619047</c:v>
                </c:pt>
                <c:pt idx="2">
                  <c:v>5.2910052910052907E-2</c:v>
                </c:pt>
                <c:pt idx="3">
                  <c:v>0.30158730158730157</c:v>
                </c:pt>
                <c:pt idx="4">
                  <c:v>0.27513227513227512</c:v>
                </c:pt>
                <c:pt idx="5">
                  <c:v>0.29629629629629628</c:v>
                </c:pt>
                <c:pt idx="6">
                  <c:v>5.8201058201058198E-2</c:v>
                </c:pt>
                <c:pt idx="7">
                  <c:v>0.23809523809523808</c:v>
                </c:pt>
                <c:pt idx="8">
                  <c:v>0.13756613756613756</c:v>
                </c:pt>
                <c:pt idx="9">
                  <c:v>0.1693121693121693</c:v>
                </c:pt>
                <c:pt idx="10">
                  <c:v>0.38095238095238093</c:v>
                </c:pt>
                <c:pt idx="11">
                  <c:v>6.3492063492063489E-2</c:v>
                </c:pt>
                <c:pt idx="12">
                  <c:v>2.1164021164021163E-2</c:v>
                </c:pt>
                <c:pt idx="13">
                  <c:v>0</c:v>
                </c:pt>
                <c:pt idx="14">
                  <c:v>6.3492063492063489E-2</c:v>
                </c:pt>
                <c:pt idx="15">
                  <c:v>7.407407407407407E-2</c:v>
                </c:pt>
                <c:pt idx="16">
                  <c:v>2.1164021164021163E-2</c:v>
                </c:pt>
                <c:pt idx="17">
                  <c:v>5.8201058201058198E-2</c:v>
                </c:pt>
                <c:pt idx="18">
                  <c:v>3.1746031746031744E-2</c:v>
                </c:pt>
                <c:pt idx="19">
                  <c:v>5.8201058201058198E-2</c:v>
                </c:pt>
              </c:numCache>
            </c:numRef>
          </c:val>
          <c:extLst>
            <c:ext xmlns:c16="http://schemas.microsoft.com/office/drawing/2014/chart" uri="{C3380CC4-5D6E-409C-BE32-E72D297353CC}">
              <c16:uniqueId val="{00000000-91A3-4E72-B886-296587B68515}"/>
            </c:ext>
          </c:extLst>
        </c:ser>
        <c:ser>
          <c:idx val="1"/>
          <c:order val="1"/>
          <c:tx>
            <c:strRef>
              <c:f>'グラフ(退院阻害要因＿２(寛解・院内寛解)'!$M$3</c:f>
              <c:strCache>
                <c:ptCount val="1"/>
                <c:pt idx="0">
                  <c:v>65歳以上</c:v>
                </c:pt>
              </c:strCache>
            </c:strRef>
          </c:tx>
          <c:spPr>
            <a:solidFill>
              <a:schemeClr val="accent5">
                <a:lumMod val="20000"/>
                <a:lumOff val="80000"/>
              </a:schemeClr>
            </a:solidFill>
            <a:ln w="9525" cap="flat" cmpd="sng" algn="ctr">
              <a:solidFill>
                <a:schemeClr val="accent5">
                  <a:lumMod val="20000"/>
                  <a:lumOff val="80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invertIfNegative val="0"/>
          <c:cat>
            <c:strRef>
              <c:f>'グラフ(退院阻害要因＿２(寛解・院内寛解)'!$K$4:$K$23</c:f>
              <c:strCache>
                <c:ptCount val="20"/>
                <c:pt idx="0">
                  <c:v>病状は落ち着いているが、ときどき不安定な病状が見られ、そのことが退院を阻害する要因になっている</c:v>
                </c:pt>
                <c:pt idx="1">
                  <c:v>病識がなく通院服薬の中断が予測される</c:v>
                </c:pt>
                <c:pt idx="2">
                  <c:v>反社会的行動が予測される</c:v>
                </c:pt>
                <c:pt idx="3">
                  <c:v>退院意欲が乏しい</c:v>
                </c:pt>
                <c:pt idx="4">
                  <c:v>現実認識が乏しい</c:v>
                </c:pt>
                <c:pt idx="5">
                  <c:v>退院による環境変化への不安が強い</c:v>
                </c:pt>
                <c:pt idx="6">
                  <c:v>援助者との対人関係がもてない</c:v>
                </c:pt>
                <c:pt idx="7">
                  <c:v>家事（食事・洗濯・金銭管理など）ができない</c:v>
                </c:pt>
                <c:pt idx="8">
                  <c:v>家族がいない・本人をサポートする機能が実質ない</c:v>
                </c:pt>
                <c:pt idx="9">
                  <c:v>家族が退院に反対している</c:v>
                </c:pt>
                <c:pt idx="10">
                  <c:v>住まいの確保ができない</c:v>
                </c:pt>
                <c:pt idx="11">
                  <c:v>生活費の確保ができない</c:v>
                </c:pt>
                <c:pt idx="12">
                  <c:v>日常生活を支える制度がない</c:v>
                </c:pt>
                <c:pt idx="13">
                  <c:v>救急診療体制がない</c:v>
                </c:pt>
                <c:pt idx="14">
                  <c:v>退院に向けてサポートする人的資源が乏しい</c:v>
                </c:pt>
                <c:pt idx="15">
                  <c:v>退院後サポート・マネジメントする人的資源が乏しい</c:v>
                </c:pt>
                <c:pt idx="16">
                  <c:v>住所地と入院先の距離があり支援体制がとりにくい</c:v>
                </c:pt>
                <c:pt idx="17">
                  <c:v>身体的機能や状態を原因としたADLの低下がある</c:v>
                </c:pt>
                <c:pt idx="18">
                  <c:v>身体合併症の程度が重いなど身体面のフォローが必要であり、地域での生活が困難</c:v>
                </c:pt>
                <c:pt idx="19">
                  <c:v>その他の退院阻害要因がある</c:v>
                </c:pt>
              </c:strCache>
            </c:strRef>
          </c:cat>
          <c:val>
            <c:numRef>
              <c:f>'グラフ(退院阻害要因＿２(寛解・院内寛解)'!$M$4:$M$23</c:f>
              <c:numCache>
                <c:formatCode>0.0%</c:formatCode>
                <c:ptCount val="20"/>
                <c:pt idx="0">
                  <c:v>0.27702702702702703</c:v>
                </c:pt>
                <c:pt idx="1">
                  <c:v>0.15878378378378377</c:v>
                </c:pt>
                <c:pt idx="2">
                  <c:v>6.7567567567567571E-3</c:v>
                </c:pt>
                <c:pt idx="3">
                  <c:v>0.41216216216216217</c:v>
                </c:pt>
                <c:pt idx="4">
                  <c:v>0.27364864864864863</c:v>
                </c:pt>
                <c:pt idx="5">
                  <c:v>0.26351351351351349</c:v>
                </c:pt>
                <c:pt idx="6">
                  <c:v>3.7162162162162164E-2</c:v>
                </c:pt>
                <c:pt idx="7">
                  <c:v>0.28716216216216217</c:v>
                </c:pt>
                <c:pt idx="8">
                  <c:v>0.14527027027027026</c:v>
                </c:pt>
                <c:pt idx="9">
                  <c:v>0.14527027027027026</c:v>
                </c:pt>
                <c:pt idx="10">
                  <c:v>0.32432432432432434</c:v>
                </c:pt>
                <c:pt idx="11">
                  <c:v>5.0675675675675678E-2</c:v>
                </c:pt>
                <c:pt idx="12">
                  <c:v>3.3783783783783786E-2</c:v>
                </c:pt>
                <c:pt idx="13">
                  <c:v>3.3783783783783786E-3</c:v>
                </c:pt>
                <c:pt idx="14">
                  <c:v>0.11486486486486487</c:v>
                </c:pt>
                <c:pt idx="15">
                  <c:v>8.1081081081081086E-2</c:v>
                </c:pt>
                <c:pt idx="16">
                  <c:v>2.7027027027027029E-2</c:v>
                </c:pt>
                <c:pt idx="17">
                  <c:v>0.26013513513513514</c:v>
                </c:pt>
                <c:pt idx="18">
                  <c:v>0.14527027027027026</c:v>
                </c:pt>
                <c:pt idx="19">
                  <c:v>4.3918918918918921E-2</c:v>
                </c:pt>
              </c:numCache>
            </c:numRef>
          </c:val>
          <c:extLst>
            <c:ext xmlns:c16="http://schemas.microsoft.com/office/drawing/2014/chart" uri="{C3380CC4-5D6E-409C-BE32-E72D297353CC}">
              <c16:uniqueId val="{00000001-91A3-4E72-B886-296587B68515}"/>
            </c:ext>
          </c:extLst>
        </c:ser>
        <c:dLbls>
          <c:showLegendKey val="0"/>
          <c:showVal val="0"/>
          <c:showCatName val="0"/>
          <c:showSerName val="0"/>
          <c:showPercent val="0"/>
          <c:showBubbleSize val="0"/>
        </c:dLbls>
        <c:gapWidth val="100"/>
        <c:axId val="1896483359"/>
        <c:axId val="1896485023"/>
      </c:barChart>
      <c:catAx>
        <c:axId val="1896483359"/>
        <c:scaling>
          <c:orientation val="maxMin"/>
        </c:scaling>
        <c:delete val="0"/>
        <c:axPos val="l"/>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endParaRPr lang="ja-JP"/>
          </a:p>
        </c:txPr>
        <c:crossAx val="1896485023"/>
        <c:crosses val="autoZero"/>
        <c:auto val="1"/>
        <c:lblAlgn val="ctr"/>
        <c:lblOffset val="100"/>
        <c:tickMarkSkip val="1"/>
        <c:noMultiLvlLbl val="0"/>
      </c:catAx>
      <c:valAx>
        <c:axId val="1896485023"/>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18964833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r>
              <a:rPr lang="ja-JP" sz="1200">
                <a:latin typeface="メイリオ" panose="020B0604030504040204" pitchFamily="50" charset="-128"/>
                <a:ea typeface="メイリオ" panose="020B0604030504040204" pitchFamily="50" charset="-128"/>
              </a:rPr>
              <a:t>退院阻害要因</a:t>
            </a:r>
            <a:r>
              <a:rPr lang="en-US" altLang="ja-JP" sz="1200">
                <a:latin typeface="メイリオ" panose="020B0604030504040204" pitchFamily="50" charset="-128"/>
                <a:ea typeface="メイリオ" panose="020B0604030504040204" pitchFamily="50" charset="-128"/>
              </a:rPr>
              <a:t>_</a:t>
            </a:r>
            <a:r>
              <a:rPr lang="ja-JP" altLang="en-US" sz="1200">
                <a:latin typeface="メイリオ" panose="020B0604030504040204" pitchFamily="50" charset="-128"/>
                <a:ea typeface="メイリオ" panose="020B0604030504040204" pitchFamily="50" charset="-128"/>
              </a:rPr>
              <a:t>寛解・院内寛解</a:t>
            </a:r>
            <a:r>
              <a:rPr lang="ja-JP" sz="1200">
                <a:latin typeface="メイリオ" panose="020B0604030504040204" pitchFamily="50" charset="-128"/>
                <a:ea typeface="メイリオ" panose="020B0604030504040204" pitchFamily="50" charset="-128"/>
              </a:rPr>
              <a:t>（複数回答）</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title>
    <c:autoTitleDeleted val="0"/>
    <c:plotArea>
      <c:layout/>
      <c:barChart>
        <c:barDir val="bar"/>
        <c:grouping val="clustered"/>
        <c:varyColors val="0"/>
        <c:ser>
          <c:idx val="0"/>
          <c:order val="0"/>
          <c:tx>
            <c:strRef>
              <c:f>'グラフ(退院阻害要因＿２(寛解・院内寛解)'!$L$47</c:f>
              <c:strCache>
                <c:ptCount val="1"/>
                <c:pt idx="0">
                  <c:v>1年未満</c:v>
                </c:pt>
              </c:strCache>
            </c:strRef>
          </c:tx>
          <c:spPr>
            <a:solidFill>
              <a:schemeClr val="accent4">
                <a:tint val="58000"/>
              </a:schemeClr>
            </a:solidFill>
            <a:ln>
              <a:noFill/>
            </a:ln>
            <a:effectLst/>
          </c:spPr>
          <c:invertIfNegative val="0"/>
          <c:cat>
            <c:strRef>
              <c:f>'グラフ(退院阻害要因＿２(寛解・院内寛解)'!$K$48:$K$67</c:f>
              <c:strCache>
                <c:ptCount val="20"/>
                <c:pt idx="0">
                  <c:v>病状は落ち着いているが、ときどき不安定な病状が見られ、そのことが退院を阻害する要因になっている</c:v>
                </c:pt>
                <c:pt idx="1">
                  <c:v>病識がなく通院服薬の中断が予測される</c:v>
                </c:pt>
                <c:pt idx="2">
                  <c:v>反社会的行動が予測される</c:v>
                </c:pt>
                <c:pt idx="3">
                  <c:v>退院意欲が乏しい</c:v>
                </c:pt>
                <c:pt idx="4">
                  <c:v>現実認識が乏しい</c:v>
                </c:pt>
                <c:pt idx="5">
                  <c:v>退院による環境変化への不安が強い</c:v>
                </c:pt>
                <c:pt idx="6">
                  <c:v>援助者との対人関係がもてない</c:v>
                </c:pt>
                <c:pt idx="7">
                  <c:v>家事（食事・洗濯・金銭管理など）ができない</c:v>
                </c:pt>
                <c:pt idx="8">
                  <c:v>家族がいない・本人をサポートする機能が実質ない</c:v>
                </c:pt>
                <c:pt idx="9">
                  <c:v>家族が退院に反対している</c:v>
                </c:pt>
                <c:pt idx="10">
                  <c:v>住まいの確保ができない</c:v>
                </c:pt>
                <c:pt idx="11">
                  <c:v>生活費の確保ができない</c:v>
                </c:pt>
                <c:pt idx="12">
                  <c:v>日常生活を支える制度がない</c:v>
                </c:pt>
                <c:pt idx="13">
                  <c:v>救急診療体制がない</c:v>
                </c:pt>
                <c:pt idx="14">
                  <c:v>退院に向けてサポートする人的資源が乏しい</c:v>
                </c:pt>
                <c:pt idx="15">
                  <c:v>退院後サポート・マネジメントする人的資源が乏しい</c:v>
                </c:pt>
                <c:pt idx="16">
                  <c:v>住所地と入院先の距離があり支援体制がとりにくい</c:v>
                </c:pt>
                <c:pt idx="17">
                  <c:v>身体的機能や状態を原因としたADLの低下がある</c:v>
                </c:pt>
                <c:pt idx="18">
                  <c:v>身体合併症の程度が重いなど身体面のフォローが必要であり、地域での生活が困難</c:v>
                </c:pt>
                <c:pt idx="19">
                  <c:v>その他の退院阻害要因がある</c:v>
                </c:pt>
              </c:strCache>
            </c:strRef>
          </c:cat>
          <c:val>
            <c:numRef>
              <c:f>'グラフ(退院阻害要因＿２(寛解・院内寛解)'!$L$48:$L$67</c:f>
              <c:numCache>
                <c:formatCode>0.0%</c:formatCode>
                <c:ptCount val="20"/>
                <c:pt idx="0">
                  <c:v>0.25388601036269431</c:v>
                </c:pt>
                <c:pt idx="1">
                  <c:v>0.17616580310880828</c:v>
                </c:pt>
                <c:pt idx="2">
                  <c:v>4.145077720207254E-2</c:v>
                </c:pt>
                <c:pt idx="3">
                  <c:v>0.15544041450777202</c:v>
                </c:pt>
                <c:pt idx="4">
                  <c:v>0.19170984455958548</c:v>
                </c:pt>
                <c:pt idx="5">
                  <c:v>0.18134715025906736</c:v>
                </c:pt>
                <c:pt idx="6">
                  <c:v>5.6994818652849742E-2</c:v>
                </c:pt>
                <c:pt idx="7">
                  <c:v>0.23834196891191708</c:v>
                </c:pt>
                <c:pt idx="8">
                  <c:v>0.12953367875647667</c:v>
                </c:pt>
                <c:pt idx="9">
                  <c:v>9.3264248704663211E-2</c:v>
                </c:pt>
                <c:pt idx="10">
                  <c:v>0.44559585492227977</c:v>
                </c:pt>
                <c:pt idx="11">
                  <c:v>5.181347150259067E-2</c:v>
                </c:pt>
                <c:pt idx="12">
                  <c:v>3.6269430051813469E-2</c:v>
                </c:pt>
                <c:pt idx="13">
                  <c:v>0</c:v>
                </c:pt>
                <c:pt idx="14">
                  <c:v>7.2538860103626937E-2</c:v>
                </c:pt>
                <c:pt idx="15">
                  <c:v>8.2901554404145081E-2</c:v>
                </c:pt>
                <c:pt idx="16">
                  <c:v>2.072538860103627E-2</c:v>
                </c:pt>
                <c:pt idx="17">
                  <c:v>0.19170984455958548</c:v>
                </c:pt>
                <c:pt idx="18">
                  <c:v>0.11917098445595854</c:v>
                </c:pt>
                <c:pt idx="19">
                  <c:v>7.2538860103626937E-2</c:v>
                </c:pt>
              </c:numCache>
            </c:numRef>
          </c:val>
          <c:extLst>
            <c:ext xmlns:c16="http://schemas.microsoft.com/office/drawing/2014/chart" uri="{C3380CC4-5D6E-409C-BE32-E72D297353CC}">
              <c16:uniqueId val="{00000000-DDE7-4C0B-8A11-2A397413132B}"/>
            </c:ext>
          </c:extLst>
        </c:ser>
        <c:ser>
          <c:idx val="1"/>
          <c:order val="1"/>
          <c:tx>
            <c:strRef>
              <c:f>'グラフ(退院阻害要因＿２(寛解・院内寛解)'!$M$47</c:f>
              <c:strCache>
                <c:ptCount val="1"/>
                <c:pt idx="0">
                  <c:v>1年以上5年未満</c:v>
                </c:pt>
              </c:strCache>
            </c:strRef>
          </c:tx>
          <c:spPr>
            <a:solidFill>
              <a:schemeClr val="accent4">
                <a:tint val="86000"/>
              </a:schemeClr>
            </a:solidFill>
            <a:ln>
              <a:noFill/>
            </a:ln>
            <a:effectLst/>
          </c:spPr>
          <c:invertIfNegative val="0"/>
          <c:cat>
            <c:strRef>
              <c:f>'グラフ(退院阻害要因＿２(寛解・院内寛解)'!$K$48:$K$67</c:f>
              <c:strCache>
                <c:ptCount val="20"/>
                <c:pt idx="0">
                  <c:v>病状は落ち着いているが、ときどき不安定な病状が見られ、そのことが退院を阻害する要因になっている</c:v>
                </c:pt>
                <c:pt idx="1">
                  <c:v>病識がなく通院服薬の中断が予測される</c:v>
                </c:pt>
                <c:pt idx="2">
                  <c:v>反社会的行動が予測される</c:v>
                </c:pt>
                <c:pt idx="3">
                  <c:v>退院意欲が乏しい</c:v>
                </c:pt>
                <c:pt idx="4">
                  <c:v>現実認識が乏しい</c:v>
                </c:pt>
                <c:pt idx="5">
                  <c:v>退院による環境変化への不安が強い</c:v>
                </c:pt>
                <c:pt idx="6">
                  <c:v>援助者との対人関係がもてない</c:v>
                </c:pt>
                <c:pt idx="7">
                  <c:v>家事（食事・洗濯・金銭管理など）ができない</c:v>
                </c:pt>
                <c:pt idx="8">
                  <c:v>家族がいない・本人をサポートする機能が実質ない</c:v>
                </c:pt>
                <c:pt idx="9">
                  <c:v>家族が退院に反対している</c:v>
                </c:pt>
                <c:pt idx="10">
                  <c:v>住まいの確保ができない</c:v>
                </c:pt>
                <c:pt idx="11">
                  <c:v>生活費の確保ができない</c:v>
                </c:pt>
                <c:pt idx="12">
                  <c:v>日常生活を支える制度がない</c:v>
                </c:pt>
                <c:pt idx="13">
                  <c:v>救急診療体制がない</c:v>
                </c:pt>
                <c:pt idx="14">
                  <c:v>退院に向けてサポートする人的資源が乏しい</c:v>
                </c:pt>
                <c:pt idx="15">
                  <c:v>退院後サポート・マネジメントする人的資源が乏しい</c:v>
                </c:pt>
                <c:pt idx="16">
                  <c:v>住所地と入院先の距離があり支援体制がとりにくい</c:v>
                </c:pt>
                <c:pt idx="17">
                  <c:v>身体的機能や状態を原因としたADLの低下がある</c:v>
                </c:pt>
                <c:pt idx="18">
                  <c:v>身体合併症の程度が重いなど身体面のフォローが必要であり、地域での生活が困難</c:v>
                </c:pt>
                <c:pt idx="19">
                  <c:v>その他の退院阻害要因がある</c:v>
                </c:pt>
              </c:strCache>
            </c:strRef>
          </c:cat>
          <c:val>
            <c:numRef>
              <c:f>'グラフ(退院阻害要因＿２(寛解・院内寛解)'!$M$48:$M$67</c:f>
              <c:numCache>
                <c:formatCode>0.0%</c:formatCode>
                <c:ptCount val="20"/>
                <c:pt idx="0">
                  <c:v>0.26751592356687898</c:v>
                </c:pt>
                <c:pt idx="1">
                  <c:v>0.15923566878980891</c:v>
                </c:pt>
                <c:pt idx="2">
                  <c:v>1.9108280254777069E-2</c:v>
                </c:pt>
                <c:pt idx="3">
                  <c:v>0.42675159235668791</c:v>
                </c:pt>
                <c:pt idx="4">
                  <c:v>0.27388535031847133</c:v>
                </c:pt>
                <c:pt idx="5">
                  <c:v>0.31847133757961782</c:v>
                </c:pt>
                <c:pt idx="6">
                  <c:v>3.1847133757961783E-2</c:v>
                </c:pt>
                <c:pt idx="7">
                  <c:v>0.26751592356687898</c:v>
                </c:pt>
                <c:pt idx="8">
                  <c:v>0.16560509554140126</c:v>
                </c:pt>
                <c:pt idx="9">
                  <c:v>0.18471337579617833</c:v>
                </c:pt>
                <c:pt idx="10">
                  <c:v>0.33757961783439489</c:v>
                </c:pt>
                <c:pt idx="11">
                  <c:v>7.0063694267515922E-2</c:v>
                </c:pt>
                <c:pt idx="12">
                  <c:v>3.1847133757961783E-2</c:v>
                </c:pt>
                <c:pt idx="13">
                  <c:v>6.369426751592357E-3</c:v>
                </c:pt>
                <c:pt idx="14">
                  <c:v>9.5541401273885357E-2</c:v>
                </c:pt>
                <c:pt idx="15">
                  <c:v>4.4585987261146494E-2</c:v>
                </c:pt>
                <c:pt idx="16">
                  <c:v>3.8216560509554139E-2</c:v>
                </c:pt>
                <c:pt idx="17">
                  <c:v>0.16560509554140126</c:v>
                </c:pt>
                <c:pt idx="18">
                  <c:v>7.0063694267515922E-2</c:v>
                </c:pt>
                <c:pt idx="19">
                  <c:v>3.8216560509554139E-2</c:v>
                </c:pt>
              </c:numCache>
            </c:numRef>
          </c:val>
          <c:extLst>
            <c:ext xmlns:c16="http://schemas.microsoft.com/office/drawing/2014/chart" uri="{C3380CC4-5D6E-409C-BE32-E72D297353CC}">
              <c16:uniqueId val="{00000001-DDE7-4C0B-8A11-2A397413132B}"/>
            </c:ext>
          </c:extLst>
        </c:ser>
        <c:ser>
          <c:idx val="2"/>
          <c:order val="2"/>
          <c:tx>
            <c:strRef>
              <c:f>'グラフ(退院阻害要因＿２(寛解・院内寛解)'!$N$47</c:f>
              <c:strCache>
                <c:ptCount val="1"/>
                <c:pt idx="0">
                  <c:v>5年以上10年未満</c:v>
                </c:pt>
              </c:strCache>
            </c:strRef>
          </c:tx>
          <c:spPr>
            <a:solidFill>
              <a:schemeClr val="accent4">
                <a:shade val="86000"/>
              </a:schemeClr>
            </a:solidFill>
            <a:ln>
              <a:noFill/>
            </a:ln>
            <a:effectLst/>
          </c:spPr>
          <c:invertIfNegative val="0"/>
          <c:cat>
            <c:strRef>
              <c:f>'グラフ(退院阻害要因＿２(寛解・院内寛解)'!$K$48:$K$67</c:f>
              <c:strCache>
                <c:ptCount val="20"/>
                <c:pt idx="0">
                  <c:v>病状は落ち着いているが、ときどき不安定な病状が見られ、そのことが退院を阻害する要因になっている</c:v>
                </c:pt>
                <c:pt idx="1">
                  <c:v>病識がなく通院服薬の中断が予測される</c:v>
                </c:pt>
                <c:pt idx="2">
                  <c:v>反社会的行動が予測される</c:v>
                </c:pt>
                <c:pt idx="3">
                  <c:v>退院意欲が乏しい</c:v>
                </c:pt>
                <c:pt idx="4">
                  <c:v>現実認識が乏しい</c:v>
                </c:pt>
                <c:pt idx="5">
                  <c:v>退院による環境変化への不安が強い</c:v>
                </c:pt>
                <c:pt idx="6">
                  <c:v>援助者との対人関係がもてない</c:v>
                </c:pt>
                <c:pt idx="7">
                  <c:v>家事（食事・洗濯・金銭管理など）ができない</c:v>
                </c:pt>
                <c:pt idx="8">
                  <c:v>家族がいない・本人をサポートする機能が実質ない</c:v>
                </c:pt>
                <c:pt idx="9">
                  <c:v>家族が退院に反対している</c:v>
                </c:pt>
                <c:pt idx="10">
                  <c:v>住まいの確保ができない</c:v>
                </c:pt>
                <c:pt idx="11">
                  <c:v>生活費の確保ができない</c:v>
                </c:pt>
                <c:pt idx="12">
                  <c:v>日常生活を支える制度がない</c:v>
                </c:pt>
                <c:pt idx="13">
                  <c:v>救急診療体制がない</c:v>
                </c:pt>
                <c:pt idx="14">
                  <c:v>退院に向けてサポートする人的資源が乏しい</c:v>
                </c:pt>
                <c:pt idx="15">
                  <c:v>退院後サポート・マネジメントする人的資源が乏しい</c:v>
                </c:pt>
                <c:pt idx="16">
                  <c:v>住所地と入院先の距離があり支援体制がとりにくい</c:v>
                </c:pt>
                <c:pt idx="17">
                  <c:v>身体的機能や状態を原因としたADLの低下がある</c:v>
                </c:pt>
                <c:pt idx="18">
                  <c:v>身体合併症の程度が重いなど身体面のフォローが必要であり、地域での生活が困難</c:v>
                </c:pt>
                <c:pt idx="19">
                  <c:v>その他の退院阻害要因がある</c:v>
                </c:pt>
              </c:strCache>
            </c:strRef>
          </c:cat>
          <c:val>
            <c:numRef>
              <c:f>'グラフ(退院阻害要因＿２(寛解・院内寛解)'!$N$48:$N$67</c:f>
              <c:numCache>
                <c:formatCode>0.0%</c:formatCode>
                <c:ptCount val="20"/>
                <c:pt idx="0">
                  <c:v>0.296875</c:v>
                </c:pt>
                <c:pt idx="1">
                  <c:v>0.1875</c:v>
                </c:pt>
                <c:pt idx="2">
                  <c:v>0</c:v>
                </c:pt>
                <c:pt idx="3">
                  <c:v>0.625</c:v>
                </c:pt>
                <c:pt idx="4">
                  <c:v>0.390625</c:v>
                </c:pt>
                <c:pt idx="5">
                  <c:v>0.328125</c:v>
                </c:pt>
                <c:pt idx="6">
                  <c:v>6.25E-2</c:v>
                </c:pt>
                <c:pt idx="7">
                  <c:v>0.359375</c:v>
                </c:pt>
                <c:pt idx="8">
                  <c:v>0.109375</c:v>
                </c:pt>
                <c:pt idx="9">
                  <c:v>0.25</c:v>
                </c:pt>
                <c:pt idx="10">
                  <c:v>0.21875</c:v>
                </c:pt>
                <c:pt idx="11">
                  <c:v>4.6875E-2</c:v>
                </c:pt>
                <c:pt idx="12">
                  <c:v>1.5625E-2</c:v>
                </c:pt>
                <c:pt idx="13">
                  <c:v>0</c:v>
                </c:pt>
                <c:pt idx="14">
                  <c:v>0.109375</c:v>
                </c:pt>
                <c:pt idx="15">
                  <c:v>0.109375</c:v>
                </c:pt>
                <c:pt idx="16">
                  <c:v>3.125E-2</c:v>
                </c:pt>
                <c:pt idx="17">
                  <c:v>0.28125</c:v>
                </c:pt>
                <c:pt idx="18">
                  <c:v>0.140625</c:v>
                </c:pt>
                <c:pt idx="19">
                  <c:v>1.5625E-2</c:v>
                </c:pt>
              </c:numCache>
            </c:numRef>
          </c:val>
          <c:extLst>
            <c:ext xmlns:c16="http://schemas.microsoft.com/office/drawing/2014/chart" uri="{C3380CC4-5D6E-409C-BE32-E72D297353CC}">
              <c16:uniqueId val="{00000002-DDE7-4C0B-8A11-2A397413132B}"/>
            </c:ext>
          </c:extLst>
        </c:ser>
        <c:ser>
          <c:idx val="3"/>
          <c:order val="3"/>
          <c:tx>
            <c:strRef>
              <c:f>'グラフ(退院阻害要因＿２(寛解・院内寛解)'!$O$47</c:f>
              <c:strCache>
                <c:ptCount val="1"/>
                <c:pt idx="0">
                  <c:v>10年以上</c:v>
                </c:pt>
              </c:strCache>
            </c:strRef>
          </c:tx>
          <c:spPr>
            <a:solidFill>
              <a:schemeClr val="accent4">
                <a:shade val="58000"/>
              </a:schemeClr>
            </a:solidFill>
            <a:ln>
              <a:noFill/>
            </a:ln>
            <a:effectLst/>
          </c:spPr>
          <c:invertIfNegative val="0"/>
          <c:cat>
            <c:strRef>
              <c:f>'グラフ(退院阻害要因＿２(寛解・院内寛解)'!$K$48:$K$67</c:f>
              <c:strCache>
                <c:ptCount val="20"/>
                <c:pt idx="0">
                  <c:v>病状は落ち着いているが、ときどき不安定な病状が見られ、そのことが退院を阻害する要因になっている</c:v>
                </c:pt>
                <c:pt idx="1">
                  <c:v>病識がなく通院服薬の中断が予測される</c:v>
                </c:pt>
                <c:pt idx="2">
                  <c:v>反社会的行動が予測される</c:v>
                </c:pt>
                <c:pt idx="3">
                  <c:v>退院意欲が乏しい</c:v>
                </c:pt>
                <c:pt idx="4">
                  <c:v>現実認識が乏しい</c:v>
                </c:pt>
                <c:pt idx="5">
                  <c:v>退院による環境変化への不安が強い</c:v>
                </c:pt>
                <c:pt idx="6">
                  <c:v>援助者との対人関係がもてない</c:v>
                </c:pt>
                <c:pt idx="7">
                  <c:v>家事（食事・洗濯・金銭管理など）ができない</c:v>
                </c:pt>
                <c:pt idx="8">
                  <c:v>家族がいない・本人をサポートする機能が実質ない</c:v>
                </c:pt>
                <c:pt idx="9">
                  <c:v>家族が退院に反対している</c:v>
                </c:pt>
                <c:pt idx="10">
                  <c:v>住まいの確保ができない</c:v>
                </c:pt>
                <c:pt idx="11">
                  <c:v>生活費の確保ができない</c:v>
                </c:pt>
                <c:pt idx="12">
                  <c:v>日常生活を支える制度がない</c:v>
                </c:pt>
                <c:pt idx="13">
                  <c:v>救急診療体制がない</c:v>
                </c:pt>
                <c:pt idx="14">
                  <c:v>退院に向けてサポートする人的資源が乏しい</c:v>
                </c:pt>
                <c:pt idx="15">
                  <c:v>退院後サポート・マネジメントする人的資源が乏しい</c:v>
                </c:pt>
                <c:pt idx="16">
                  <c:v>住所地と入院先の距離があり支援体制がとりにくい</c:v>
                </c:pt>
                <c:pt idx="17">
                  <c:v>身体的機能や状態を原因としたADLの低下がある</c:v>
                </c:pt>
                <c:pt idx="18">
                  <c:v>身体合併症の程度が重いなど身体面のフォローが必要であり、地域での生活が困難</c:v>
                </c:pt>
                <c:pt idx="19">
                  <c:v>その他の退院阻害要因がある</c:v>
                </c:pt>
              </c:strCache>
            </c:strRef>
          </c:cat>
          <c:val>
            <c:numRef>
              <c:f>'グラフ(退院阻害要因＿２(寛解・院内寛解)'!$O$48:$O$67</c:f>
              <c:numCache>
                <c:formatCode>0.0%</c:formatCode>
                <c:ptCount val="20"/>
                <c:pt idx="0">
                  <c:v>0.26760563380281688</c:v>
                </c:pt>
                <c:pt idx="1">
                  <c:v>0.16901408450704225</c:v>
                </c:pt>
                <c:pt idx="2">
                  <c:v>1.4084507042253521E-2</c:v>
                </c:pt>
                <c:pt idx="3">
                  <c:v>0.59154929577464788</c:v>
                </c:pt>
                <c:pt idx="4">
                  <c:v>0.39436619718309857</c:v>
                </c:pt>
                <c:pt idx="5">
                  <c:v>0.39436619718309857</c:v>
                </c:pt>
                <c:pt idx="6">
                  <c:v>2.8169014084507043E-2</c:v>
                </c:pt>
                <c:pt idx="7">
                  <c:v>0.26760563380281688</c:v>
                </c:pt>
                <c:pt idx="8">
                  <c:v>0.15492957746478872</c:v>
                </c:pt>
                <c:pt idx="9">
                  <c:v>0.16901408450704225</c:v>
                </c:pt>
                <c:pt idx="10">
                  <c:v>0.21126760563380281</c:v>
                </c:pt>
                <c:pt idx="11">
                  <c:v>4.2253521126760563E-2</c:v>
                </c:pt>
                <c:pt idx="12">
                  <c:v>1.4084507042253521E-2</c:v>
                </c:pt>
                <c:pt idx="13">
                  <c:v>0</c:v>
                </c:pt>
                <c:pt idx="14">
                  <c:v>0.14084507042253522</c:v>
                </c:pt>
                <c:pt idx="15">
                  <c:v>0.11267605633802817</c:v>
                </c:pt>
                <c:pt idx="16">
                  <c:v>0</c:v>
                </c:pt>
                <c:pt idx="17">
                  <c:v>9.8591549295774641E-2</c:v>
                </c:pt>
                <c:pt idx="18">
                  <c:v>8.4507042253521125E-2</c:v>
                </c:pt>
                <c:pt idx="19">
                  <c:v>4.2253521126760563E-2</c:v>
                </c:pt>
              </c:numCache>
            </c:numRef>
          </c:val>
          <c:extLst>
            <c:ext xmlns:c16="http://schemas.microsoft.com/office/drawing/2014/chart" uri="{C3380CC4-5D6E-409C-BE32-E72D297353CC}">
              <c16:uniqueId val="{00000003-DDE7-4C0B-8A11-2A397413132B}"/>
            </c:ext>
          </c:extLst>
        </c:ser>
        <c:dLbls>
          <c:showLegendKey val="0"/>
          <c:showVal val="0"/>
          <c:showCatName val="0"/>
          <c:showSerName val="0"/>
          <c:showPercent val="0"/>
          <c:showBubbleSize val="0"/>
        </c:dLbls>
        <c:gapWidth val="182"/>
        <c:axId val="1977369407"/>
        <c:axId val="1977377727"/>
      </c:barChart>
      <c:catAx>
        <c:axId val="197736940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1977377727"/>
        <c:crosses val="autoZero"/>
        <c:auto val="1"/>
        <c:lblAlgn val="ctr"/>
        <c:lblOffset val="100"/>
        <c:noMultiLvlLbl val="0"/>
      </c:catAx>
      <c:valAx>
        <c:axId val="1977377727"/>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773694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r>
              <a:rPr lang="en-US" sz="1200" b="1"/>
              <a:t>1</a:t>
            </a:r>
            <a:r>
              <a:rPr lang="ja-JP" sz="1200" b="1"/>
              <a:t>年以上</a:t>
            </a:r>
          </a:p>
        </c:rich>
      </c:tx>
      <c:layout>
        <c:manualLayout>
          <c:xMode val="edge"/>
          <c:yMode val="edge"/>
          <c:x val="0.38648181712605029"/>
          <c:y val="4.2469178077610917E-3"/>
        </c:manualLayout>
      </c:layout>
      <c:overlay val="0"/>
      <c:spPr>
        <a:noFill/>
        <a:ln>
          <a:noFill/>
        </a:ln>
        <a:effectLst/>
      </c:spPr>
      <c:txPr>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endParaRPr lang="ja-JP"/>
        </a:p>
      </c:txPr>
    </c:title>
    <c:autoTitleDeleted val="0"/>
    <c:plotArea>
      <c:layout/>
      <c:pieChart>
        <c:varyColors val="1"/>
        <c:ser>
          <c:idx val="0"/>
          <c:order val="0"/>
          <c:tx>
            <c:strRef>
              <c:f>'グラフ(年齢区分）'!$N$24</c:f>
              <c:strCache>
                <c:ptCount val="1"/>
                <c:pt idx="0">
                  <c:v>全体</c:v>
                </c:pt>
              </c:strCache>
            </c:strRef>
          </c:tx>
          <c:spPr>
            <a:scene3d>
              <a:camera prst="orthographicFront"/>
              <a:lightRig rig="threePt" dir="t"/>
            </a:scene3d>
            <a:sp3d>
              <a:bevelT w="63500" h="25400"/>
            </a:sp3d>
          </c:spPr>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1-87C4-4E19-A588-C1D6E6E8F937}"/>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3-87C4-4E19-A588-C1D6E6E8F937}"/>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5-87C4-4E19-A588-C1D6E6E8F937}"/>
              </c:ext>
            </c:extLst>
          </c:dPt>
          <c:dPt>
            <c:idx val="3"/>
            <c:bubble3D val="0"/>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7-87C4-4E19-A588-C1D6E6E8F937}"/>
              </c:ext>
            </c:extLst>
          </c:dPt>
          <c:dPt>
            <c:idx val="4"/>
            <c:bubble3D val="0"/>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9-87C4-4E19-A588-C1D6E6E8F937}"/>
              </c:ext>
            </c:extLst>
          </c:dPt>
          <c:dPt>
            <c:idx val="5"/>
            <c:bubble3D val="0"/>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B-87C4-4E19-A588-C1D6E6E8F937}"/>
              </c:ext>
            </c:extLst>
          </c:dPt>
          <c:dPt>
            <c:idx val="6"/>
            <c:bubble3D val="0"/>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D-87C4-4E19-A588-C1D6E6E8F937}"/>
              </c:ext>
            </c:extLst>
          </c:dPt>
          <c:dPt>
            <c:idx val="7"/>
            <c:bubble3D val="0"/>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F-87C4-4E19-A588-C1D6E6E8F937}"/>
              </c:ext>
            </c:extLst>
          </c:dPt>
          <c:dPt>
            <c:idx val="8"/>
            <c:bubble3D val="0"/>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11-87C4-4E19-A588-C1D6E6E8F937}"/>
              </c:ext>
            </c:extLst>
          </c:dPt>
          <c:dLbls>
            <c:numFmt formatCode="0.0%" sourceLinked="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dLblPos val="bestFit"/>
            <c:showLegendKey val="0"/>
            <c:showVal val="1"/>
            <c:showCatName val="1"/>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'グラフ(年齢区分）'!$M$25:$M$33</c:f>
              <c:strCache>
                <c:ptCount val="9"/>
                <c:pt idx="0">
                  <c:v>19歳以下</c:v>
                </c:pt>
                <c:pt idx="1">
                  <c:v>20歳代</c:v>
                </c:pt>
                <c:pt idx="2">
                  <c:v>30歳代</c:v>
                </c:pt>
                <c:pt idx="3">
                  <c:v>40歳代</c:v>
                </c:pt>
                <c:pt idx="4">
                  <c:v>50歳代</c:v>
                </c:pt>
                <c:pt idx="5">
                  <c:v>60歳代</c:v>
                </c:pt>
                <c:pt idx="6">
                  <c:v>70歳代</c:v>
                </c:pt>
                <c:pt idx="7">
                  <c:v>80歳代</c:v>
                </c:pt>
                <c:pt idx="8">
                  <c:v>90歳以上</c:v>
                </c:pt>
              </c:strCache>
            </c:strRef>
          </c:cat>
          <c:val>
            <c:numRef>
              <c:f>'グラフ(年齢区分）'!$N$25:$N$33</c:f>
              <c:numCache>
                <c:formatCode>#,##0"人"</c:formatCode>
                <c:ptCount val="9"/>
                <c:pt idx="0">
                  <c:v>3</c:v>
                </c:pt>
                <c:pt idx="1">
                  <c:v>49</c:v>
                </c:pt>
                <c:pt idx="2">
                  <c:v>133</c:v>
                </c:pt>
                <c:pt idx="3">
                  <c:v>465</c:v>
                </c:pt>
                <c:pt idx="4">
                  <c:v>1269</c:v>
                </c:pt>
                <c:pt idx="5">
                  <c:v>1439</c:v>
                </c:pt>
                <c:pt idx="6">
                  <c:v>1927</c:v>
                </c:pt>
                <c:pt idx="7">
                  <c:v>1692</c:v>
                </c:pt>
                <c:pt idx="8">
                  <c:v>456</c:v>
                </c:pt>
              </c:numCache>
            </c:numRef>
          </c:val>
          <c:extLst>
            <c:ext xmlns:c16="http://schemas.microsoft.com/office/drawing/2014/chart" uri="{C3380CC4-5D6E-409C-BE32-E72D297353CC}">
              <c16:uniqueId val="{00000012-87C4-4E19-A588-C1D6E6E8F937}"/>
            </c:ext>
          </c:extLst>
        </c:ser>
        <c:dLbls>
          <c:showLegendKey val="0"/>
          <c:showVal val="1"/>
          <c:showCatName val="0"/>
          <c:showSerName val="0"/>
          <c:showPercent val="0"/>
          <c:showBubbleSize val="0"/>
          <c:showLeaderLines val="1"/>
        </c:dLbls>
        <c:firstSliceAng val="0"/>
      </c:pie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メイリオ" panose="020B0604030504040204" pitchFamily="50" charset="-128"/>
          <a:ea typeface="メイリオ" panose="020B0604030504040204" pitchFamily="50"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r>
              <a:rPr lang="en-US" altLang="ja-JP" sz="1200" b="1">
                <a:latin typeface="メイリオ" panose="020B0604030504040204" pitchFamily="50" charset="-128"/>
                <a:ea typeface="メイリオ" panose="020B0604030504040204" pitchFamily="50" charset="-128"/>
              </a:rPr>
              <a:t>1</a:t>
            </a:r>
            <a:r>
              <a:rPr lang="ja-JP" altLang="en-US" sz="1200" b="1">
                <a:latin typeface="メイリオ" panose="020B0604030504040204" pitchFamily="50" charset="-128"/>
                <a:ea typeface="メイリオ" panose="020B0604030504040204" pitchFamily="50" charset="-128"/>
              </a:rPr>
              <a:t>年以上＿寛解・院内寛解群</a:t>
            </a:r>
            <a:endParaRPr lang="ja-JP" sz="1200" b="1">
              <a:latin typeface="メイリオ" panose="020B0604030504040204" pitchFamily="50" charset="-128"/>
              <a:ea typeface="メイリオ" panose="020B0604030504040204" pitchFamily="50" charset="-128"/>
            </a:endParaRPr>
          </a:p>
        </c:rich>
      </c:tx>
      <c:layout>
        <c:manualLayout>
          <c:xMode val="edge"/>
          <c:yMode val="edge"/>
          <c:x val="0.14308928157393586"/>
          <c:y val="4.2469178077610917E-3"/>
        </c:manualLayout>
      </c:layout>
      <c:overlay val="0"/>
      <c:spPr>
        <a:noFill/>
        <a:ln>
          <a:noFill/>
        </a:ln>
        <a:effectLst/>
      </c:spPr>
      <c:txPr>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endParaRPr lang="ja-JP"/>
        </a:p>
      </c:txPr>
    </c:title>
    <c:autoTitleDeleted val="0"/>
    <c:plotArea>
      <c:layout/>
      <c:pieChart>
        <c:varyColors val="1"/>
        <c:ser>
          <c:idx val="2"/>
          <c:order val="0"/>
          <c:tx>
            <c:strRef>
              <c:f>'グラフ(年齢区分）'!$Q$24</c:f>
              <c:strCache>
                <c:ptCount val="1"/>
                <c:pt idx="0">
                  <c:v>寛解院内寛解合計</c:v>
                </c:pt>
              </c:strCache>
            </c:strRef>
          </c:tx>
          <c:spPr>
            <a:scene3d>
              <a:camera prst="orthographicFront"/>
              <a:lightRig rig="threePt" dir="t"/>
            </a:scene3d>
            <a:sp3d>
              <a:bevelT w="63500" h="25400"/>
            </a:sp3d>
          </c:spPr>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1-87D7-4ED7-B8D5-2FA851AD94E9}"/>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17-251C-4F2A-979C-971E5018C526}"/>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16-251C-4F2A-979C-971E5018C526}"/>
              </c:ext>
            </c:extLst>
          </c:dPt>
          <c:dPt>
            <c:idx val="3"/>
            <c:bubble3D val="0"/>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7-87D7-4ED7-B8D5-2FA851AD94E9}"/>
              </c:ext>
            </c:extLst>
          </c:dPt>
          <c:dPt>
            <c:idx val="4"/>
            <c:bubble3D val="0"/>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9-87D7-4ED7-B8D5-2FA851AD94E9}"/>
              </c:ext>
            </c:extLst>
          </c:dPt>
          <c:dPt>
            <c:idx val="5"/>
            <c:bubble3D val="0"/>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B-87D7-4ED7-B8D5-2FA851AD94E9}"/>
              </c:ext>
            </c:extLst>
          </c:dPt>
          <c:dPt>
            <c:idx val="6"/>
            <c:bubble3D val="0"/>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D-87D7-4ED7-B8D5-2FA851AD94E9}"/>
              </c:ext>
            </c:extLst>
          </c:dPt>
          <c:dPt>
            <c:idx val="7"/>
            <c:bubble3D val="0"/>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F-87D7-4ED7-B8D5-2FA851AD94E9}"/>
              </c:ext>
            </c:extLst>
          </c:dPt>
          <c:dPt>
            <c:idx val="8"/>
            <c:bubble3D val="0"/>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15-251C-4F2A-979C-971E5018C526}"/>
              </c:ext>
            </c:extLst>
          </c:dPt>
          <c:dLbls>
            <c:dLbl>
              <c:idx val="0"/>
              <c:layout>
                <c:manualLayout>
                  <c:x val="-0.12904223752321856"/>
                  <c:y val="2.522468536023895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1"/>
              <c:showSerName val="0"/>
              <c:showPercent val="1"/>
              <c:showBubbleSize val="0"/>
              <c:separator>
</c:separator>
              <c:extLst>
                <c:ext xmlns:c15="http://schemas.microsoft.com/office/drawing/2012/chart" uri="{CE6537A1-D6FC-4f65-9D91-7224C49458BB}">
                  <c15:layout>
                    <c:manualLayout>
                      <c:w val="0.24359259925023383"/>
                      <c:h val="0.19608019518432962"/>
                    </c:manualLayout>
                  </c15:layout>
                </c:ext>
                <c:ext xmlns:c16="http://schemas.microsoft.com/office/drawing/2014/chart" uri="{C3380CC4-5D6E-409C-BE32-E72D297353CC}">
                  <c16:uniqueId val="{00000001-87D7-4ED7-B8D5-2FA851AD94E9}"/>
                </c:ext>
              </c:extLst>
            </c:dLbl>
            <c:dLbl>
              <c:idx val="1"/>
              <c:layout>
                <c:manualLayout>
                  <c:x val="0.10630973966596588"/>
                  <c:y val="2.190807663446143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7-251C-4F2A-979C-971E5018C526}"/>
                </c:ext>
              </c:extLst>
            </c:dLbl>
            <c:dLbl>
              <c:idx val="2"/>
              <c:layout>
                <c:manualLayout>
                  <c:x val="0.26816059793723102"/>
                  <c:y val="2.1994352602524608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6-251C-4F2A-979C-971E5018C526}"/>
                </c:ext>
              </c:extLst>
            </c:dLbl>
            <c:dLbl>
              <c:idx val="8"/>
              <c:layout>
                <c:manualLayout>
                  <c:x val="-0.29975928285046621"/>
                  <c:y val="0.21685163610000521"/>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251C-4F2A-979C-971E5018C526}"/>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1"/>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'グラフ(年齢区分）'!$M$25:$M$33</c:f>
              <c:strCache>
                <c:ptCount val="9"/>
                <c:pt idx="0">
                  <c:v>19歳以下</c:v>
                </c:pt>
                <c:pt idx="1">
                  <c:v>20歳代</c:v>
                </c:pt>
                <c:pt idx="2">
                  <c:v>30歳代</c:v>
                </c:pt>
                <c:pt idx="3">
                  <c:v>40歳代</c:v>
                </c:pt>
                <c:pt idx="4">
                  <c:v>50歳代</c:v>
                </c:pt>
                <c:pt idx="5">
                  <c:v>60歳代</c:v>
                </c:pt>
                <c:pt idx="6">
                  <c:v>70歳代</c:v>
                </c:pt>
                <c:pt idx="7">
                  <c:v>80歳代</c:v>
                </c:pt>
                <c:pt idx="8">
                  <c:v>90歳以上</c:v>
                </c:pt>
              </c:strCache>
            </c:strRef>
          </c:cat>
          <c:val>
            <c:numRef>
              <c:f>'グラフ(年齢区分）'!$Q$25:$Q$33</c:f>
              <c:numCache>
                <c:formatCode>#,##0"人"</c:formatCode>
                <c:ptCount val="9"/>
                <c:pt idx="0">
                  <c:v>0</c:v>
                </c:pt>
                <c:pt idx="1">
                  <c:v>5</c:v>
                </c:pt>
                <c:pt idx="2">
                  <c:v>15</c:v>
                </c:pt>
                <c:pt idx="3">
                  <c:v>34</c:v>
                </c:pt>
                <c:pt idx="4">
                  <c:v>101</c:v>
                </c:pt>
                <c:pt idx="5">
                  <c:v>105</c:v>
                </c:pt>
                <c:pt idx="6">
                  <c:v>151</c:v>
                </c:pt>
                <c:pt idx="7">
                  <c:v>94</c:v>
                </c:pt>
                <c:pt idx="8">
                  <c:v>20</c:v>
                </c:pt>
              </c:numCache>
            </c:numRef>
          </c:val>
          <c:extLst>
            <c:ext xmlns:c16="http://schemas.microsoft.com/office/drawing/2014/chart" uri="{C3380CC4-5D6E-409C-BE32-E72D297353CC}">
              <c16:uniqueId val="{00000014-251C-4F2A-979C-971E5018C526}"/>
            </c:ext>
          </c:extLst>
        </c:ser>
        <c:dLbls>
          <c:showLegendKey val="0"/>
          <c:showVal val="1"/>
          <c:showCatName val="0"/>
          <c:showSerName val="0"/>
          <c:showPercent val="0"/>
          <c:showBubbleSize val="0"/>
          <c:showLeaderLines val="1"/>
        </c:dLbls>
        <c:firstSliceAng val="0"/>
      </c:pie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r>
              <a:rPr lang="en-US" altLang="ja-JP" sz="1200" b="1">
                <a:latin typeface="メイリオ" panose="020B0604030504040204" pitchFamily="50" charset="-128"/>
                <a:ea typeface="メイリオ" panose="020B0604030504040204" pitchFamily="50" charset="-128"/>
              </a:rPr>
              <a:t>65</a:t>
            </a:r>
            <a:r>
              <a:rPr lang="ja-JP" altLang="en-US" sz="1200" b="1">
                <a:latin typeface="メイリオ" panose="020B0604030504040204" pitchFamily="50" charset="-128"/>
                <a:ea typeface="メイリオ" panose="020B0604030504040204" pitchFamily="50" charset="-128"/>
              </a:rPr>
              <a:t>歳以上</a:t>
            </a:r>
            <a:endParaRPr lang="ja-JP" sz="1200" b="1">
              <a:latin typeface="メイリオ" panose="020B0604030504040204" pitchFamily="50" charset="-128"/>
              <a:ea typeface="メイリオ" panose="020B0604030504040204" pitchFamily="50" charset="-128"/>
            </a:endParaRPr>
          </a:p>
        </c:rich>
      </c:tx>
      <c:layout>
        <c:manualLayout>
          <c:xMode val="edge"/>
          <c:yMode val="edge"/>
          <c:x val="0.36990981962620362"/>
          <c:y val="8.4938356155221835E-3"/>
        </c:manualLayout>
      </c:layout>
      <c:overlay val="0"/>
      <c:spPr>
        <a:noFill/>
        <a:ln>
          <a:noFill/>
        </a:ln>
        <a:effectLst/>
      </c:spPr>
      <c:txPr>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endParaRPr lang="ja-JP"/>
        </a:p>
      </c:txPr>
    </c:title>
    <c:autoTitleDeleted val="0"/>
    <c:plotArea>
      <c:layout/>
      <c:pieChart>
        <c:varyColors val="1"/>
        <c:ser>
          <c:idx val="0"/>
          <c:order val="0"/>
          <c:tx>
            <c:strRef>
              <c:f>'グラフ(年齢区分）'!$N$45</c:f>
              <c:strCache>
                <c:ptCount val="1"/>
                <c:pt idx="0">
                  <c:v>全体</c:v>
                </c:pt>
              </c:strCache>
            </c:strRef>
          </c:tx>
          <c:spPr>
            <a:scene3d>
              <a:camera prst="orthographicFront"/>
              <a:lightRig rig="threePt" dir="t"/>
            </a:scene3d>
            <a:sp3d>
              <a:bevelT w="63500" h="25400"/>
            </a:sp3d>
          </c:spPr>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1-0ED0-4E11-9694-FEF92E0CA9E5}"/>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3-0ED0-4E11-9694-FEF92E0CA9E5}"/>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5-0ED0-4E11-9694-FEF92E0CA9E5}"/>
              </c:ext>
            </c:extLst>
          </c:dPt>
          <c:dPt>
            <c:idx val="3"/>
            <c:bubble3D val="0"/>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7-0ED0-4E11-9694-FEF92E0CA9E5}"/>
              </c:ext>
            </c:extLst>
          </c:dPt>
          <c:dPt>
            <c:idx val="4"/>
            <c:bubble3D val="0"/>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9-0ED0-4E11-9694-FEF92E0CA9E5}"/>
              </c:ext>
            </c:extLst>
          </c:dPt>
          <c:dPt>
            <c:idx val="5"/>
            <c:bubble3D val="0"/>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B-0ED0-4E11-9694-FEF92E0CA9E5}"/>
              </c:ext>
            </c:extLst>
          </c:dPt>
          <c:dPt>
            <c:idx val="6"/>
            <c:bubble3D val="0"/>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D-0ED0-4E11-9694-FEF92E0CA9E5}"/>
              </c:ext>
            </c:extLst>
          </c:dPt>
          <c:dPt>
            <c:idx val="7"/>
            <c:bubble3D val="0"/>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F-0ED0-4E11-9694-FEF92E0CA9E5}"/>
              </c:ext>
            </c:extLst>
          </c:dPt>
          <c:dPt>
            <c:idx val="8"/>
            <c:bubble3D val="0"/>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11-0ED0-4E11-9694-FEF92E0CA9E5}"/>
              </c:ext>
            </c:extLst>
          </c:dPt>
          <c:dLbls>
            <c:dLbl>
              <c:idx val="0"/>
              <c:layout>
                <c:manualLayout>
                  <c:x val="-0.15157701476995589"/>
                  <c:y val="0.1705374925929740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0ED0-4E11-9694-FEF92E0CA9E5}"/>
                </c:ext>
              </c:extLst>
            </c:dLbl>
            <c:dLbl>
              <c:idx val="1"/>
              <c:layout>
                <c:manualLayout>
                  <c:x val="-0.20300696937312193"/>
                  <c:y val="-4.8592430989257716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ED0-4E11-9694-FEF92E0CA9E5}"/>
                </c:ext>
              </c:extLst>
            </c:dLbl>
            <c:dLbl>
              <c:idx val="2"/>
              <c:layout>
                <c:manualLayout>
                  <c:x val="-8.9459752881504997E-2"/>
                  <c:y val="-0.1359013698483550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0ED0-4E11-9694-FEF92E0CA9E5}"/>
                </c:ext>
              </c:extLst>
            </c:dLbl>
            <c:dLbl>
              <c:idx val="3"/>
              <c:layout>
                <c:manualLayout>
                  <c:x val="0.17852445283048413"/>
                  <c:y val="-6.311956511561656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0ED0-4E11-9694-FEF92E0CA9E5}"/>
                </c:ext>
              </c:extLst>
            </c:dLbl>
            <c:dLbl>
              <c:idx val="4"/>
              <c:layout>
                <c:manualLayout>
                  <c:x val="0.11267816528414451"/>
                  <c:y val="9.3554917663299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0ED0-4E11-9694-FEF92E0CA9E5}"/>
                </c:ext>
              </c:extLst>
            </c:dLbl>
            <c:dLbl>
              <c:idx val="8"/>
              <c:layout>
                <c:manualLayout>
                  <c:x val="-0.25055522875816993"/>
                  <c:y val="3.3293402777777779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0ED0-4E11-9694-FEF92E0CA9E5}"/>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1"/>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'グラフ(年齢区分）'!$M$46:$M$51</c:f>
              <c:strCache>
                <c:ptCount val="6"/>
                <c:pt idx="0">
                  <c:v>65-69歳</c:v>
                </c:pt>
                <c:pt idx="1">
                  <c:v>70-74歳</c:v>
                </c:pt>
                <c:pt idx="2">
                  <c:v>75-79歳</c:v>
                </c:pt>
                <c:pt idx="3">
                  <c:v>80-84歳</c:v>
                </c:pt>
                <c:pt idx="4">
                  <c:v>85-89歳</c:v>
                </c:pt>
                <c:pt idx="5">
                  <c:v>90歳以上</c:v>
                </c:pt>
              </c:strCache>
            </c:strRef>
          </c:cat>
          <c:val>
            <c:numRef>
              <c:f>'グラフ(年齢区分）'!$N$46:$N$51</c:f>
              <c:numCache>
                <c:formatCode>#,###"人"</c:formatCode>
                <c:ptCount val="6"/>
                <c:pt idx="0">
                  <c:v>1121</c:v>
                </c:pt>
                <c:pt idx="1">
                  <c:v>1398</c:v>
                </c:pt>
                <c:pt idx="2">
                  <c:v>1934</c:v>
                </c:pt>
                <c:pt idx="3">
                  <c:v>1868</c:v>
                </c:pt>
                <c:pt idx="4">
                  <c:v>1382</c:v>
                </c:pt>
                <c:pt idx="5">
                  <c:v>813</c:v>
                </c:pt>
              </c:numCache>
            </c:numRef>
          </c:val>
          <c:extLst>
            <c:ext xmlns:c16="http://schemas.microsoft.com/office/drawing/2014/chart" uri="{C3380CC4-5D6E-409C-BE32-E72D297353CC}">
              <c16:uniqueId val="{00000012-0ED0-4E11-9694-FEF92E0CA9E5}"/>
            </c:ext>
          </c:extLst>
        </c:ser>
        <c:dLbls>
          <c:showLegendKey val="0"/>
          <c:showVal val="1"/>
          <c:showCatName val="0"/>
          <c:showSerName val="0"/>
          <c:showPercent val="0"/>
          <c:showBubbleSize val="0"/>
          <c:showLeaderLines val="1"/>
        </c:dLbls>
        <c:firstSliceAng val="0"/>
      </c:pie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r>
              <a:rPr lang="en-US" altLang="ja-JP" sz="1200" b="1">
                <a:latin typeface="メイリオ" panose="020B0604030504040204" pitchFamily="50" charset="-128"/>
                <a:ea typeface="メイリオ" panose="020B0604030504040204" pitchFamily="50" charset="-128"/>
              </a:rPr>
              <a:t>65</a:t>
            </a:r>
            <a:r>
              <a:rPr lang="ja-JP" altLang="en-US" sz="1200" b="1">
                <a:latin typeface="メイリオ" panose="020B0604030504040204" pitchFamily="50" charset="-128"/>
                <a:ea typeface="メイリオ" panose="020B0604030504040204" pitchFamily="50" charset="-128"/>
              </a:rPr>
              <a:t>歳以上＿寛解・院内寛解群</a:t>
            </a:r>
            <a:endParaRPr lang="ja-JP" sz="1200" b="1">
              <a:latin typeface="メイリオ" panose="020B0604030504040204" pitchFamily="50" charset="-128"/>
              <a:ea typeface="メイリオ" panose="020B0604030504040204" pitchFamily="50" charset="-128"/>
            </a:endParaRPr>
          </a:p>
        </c:rich>
      </c:tx>
      <c:layout>
        <c:manualLayout>
          <c:xMode val="edge"/>
          <c:yMode val="edge"/>
          <c:x val="0.159632072694495"/>
          <c:y val="8.4938356155221835E-3"/>
        </c:manualLayout>
      </c:layout>
      <c:overlay val="0"/>
      <c:spPr>
        <a:noFill/>
        <a:ln>
          <a:noFill/>
        </a:ln>
        <a:effectLst/>
      </c:spPr>
      <c:txPr>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endParaRPr lang="ja-JP"/>
        </a:p>
      </c:txPr>
    </c:title>
    <c:autoTitleDeleted val="0"/>
    <c:plotArea>
      <c:layout/>
      <c:pieChart>
        <c:varyColors val="1"/>
        <c:ser>
          <c:idx val="2"/>
          <c:order val="0"/>
          <c:tx>
            <c:strRef>
              <c:f>'グラフ(年齢区分）'!$O$45</c:f>
              <c:strCache>
                <c:ptCount val="1"/>
                <c:pt idx="0">
                  <c:v>寛解院内寛解</c:v>
                </c:pt>
              </c:strCache>
            </c:strRef>
          </c:tx>
          <c:spPr>
            <a:scene3d>
              <a:camera prst="orthographicFront"/>
              <a:lightRig rig="threePt" dir="t"/>
            </a:scene3d>
            <a:sp3d>
              <a:bevelT w="63500" h="25400"/>
            </a:sp3d>
          </c:spPr>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1-E2E7-4C5C-AE28-FFF4F4AECDC1}"/>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3-E2E7-4C5C-AE28-FFF4F4AECDC1}"/>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5-E2E7-4C5C-AE28-FFF4F4AECDC1}"/>
              </c:ext>
            </c:extLst>
          </c:dPt>
          <c:dPt>
            <c:idx val="3"/>
            <c:bubble3D val="0"/>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7-E2E7-4C5C-AE28-FFF4F4AECDC1}"/>
              </c:ext>
            </c:extLst>
          </c:dPt>
          <c:dPt>
            <c:idx val="4"/>
            <c:bubble3D val="0"/>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9-E2E7-4C5C-AE28-FFF4F4AECDC1}"/>
              </c:ext>
            </c:extLst>
          </c:dPt>
          <c:dPt>
            <c:idx val="5"/>
            <c:bubble3D val="0"/>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B-E2E7-4C5C-AE28-FFF4F4AECDC1}"/>
              </c:ext>
            </c:extLst>
          </c:dPt>
          <c:dPt>
            <c:idx val="6"/>
            <c:bubble3D val="0"/>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D-E2E7-4C5C-AE28-FFF4F4AECDC1}"/>
              </c:ext>
            </c:extLst>
          </c:dPt>
          <c:dPt>
            <c:idx val="7"/>
            <c:bubble3D val="0"/>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F-E2E7-4C5C-AE28-FFF4F4AECDC1}"/>
              </c:ext>
            </c:extLst>
          </c:dPt>
          <c:dPt>
            <c:idx val="8"/>
            <c:bubble3D val="0"/>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11-E2E7-4C5C-AE28-FFF4F4AECDC1}"/>
              </c:ext>
            </c:extLst>
          </c:dPt>
          <c:dLbls>
            <c:dLbl>
              <c:idx val="1"/>
              <c:layout>
                <c:manualLayout>
                  <c:x val="-0.21919198234740911"/>
                  <c:y val="-8.4264868559565859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E2E7-4C5C-AE28-FFF4F4AECDC1}"/>
                </c:ext>
              </c:extLst>
            </c:dLbl>
            <c:dLbl>
              <c:idx val="2"/>
              <c:layout>
                <c:manualLayout>
                  <c:x val="-2.5473944452694131E-2"/>
                  <c:y val="-0.1528890410793993"/>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2E7-4C5C-AE28-FFF4F4AECDC1}"/>
                </c:ext>
              </c:extLst>
            </c:dLbl>
            <c:dLbl>
              <c:idx val="8"/>
              <c:layout>
                <c:manualLayout>
                  <c:x val="-0.22945242058808976"/>
                  <c:y val="3.8481088174039363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E2E7-4C5C-AE28-FFF4F4AECDC1}"/>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showLegendKey val="0"/>
            <c:showVal val="1"/>
            <c:showCatName val="1"/>
            <c:showSerName val="0"/>
            <c:showPercent val="1"/>
            <c:showBubbleSize val="0"/>
            <c:separator>
</c:separator>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'グラフ(年齢区分）'!$M$46:$M$51</c:f>
              <c:strCache>
                <c:ptCount val="6"/>
                <c:pt idx="0">
                  <c:v>65-69歳</c:v>
                </c:pt>
                <c:pt idx="1">
                  <c:v>70-74歳</c:v>
                </c:pt>
                <c:pt idx="2">
                  <c:v>75-79歳</c:v>
                </c:pt>
                <c:pt idx="3">
                  <c:v>80-84歳</c:v>
                </c:pt>
                <c:pt idx="4">
                  <c:v>85-89歳</c:v>
                </c:pt>
                <c:pt idx="5">
                  <c:v>90歳以上</c:v>
                </c:pt>
              </c:strCache>
            </c:strRef>
          </c:cat>
          <c:val>
            <c:numRef>
              <c:f>'グラフ(年齢区分）'!$O$46:$O$51</c:f>
              <c:numCache>
                <c:formatCode>#,###"人"</c:formatCode>
                <c:ptCount val="6"/>
                <c:pt idx="0">
                  <c:v>139</c:v>
                </c:pt>
                <c:pt idx="1">
                  <c:v>161</c:v>
                </c:pt>
                <c:pt idx="2">
                  <c:v>204</c:v>
                </c:pt>
                <c:pt idx="3">
                  <c:v>150</c:v>
                </c:pt>
                <c:pt idx="4">
                  <c:v>89</c:v>
                </c:pt>
                <c:pt idx="5">
                  <c:v>61</c:v>
                </c:pt>
              </c:numCache>
            </c:numRef>
          </c:val>
          <c:extLst>
            <c:ext xmlns:c16="http://schemas.microsoft.com/office/drawing/2014/chart" uri="{C3380CC4-5D6E-409C-BE32-E72D297353CC}">
              <c16:uniqueId val="{00000012-E2E7-4C5C-AE28-FFF4F4AECDC1}"/>
            </c:ext>
          </c:extLst>
        </c:ser>
        <c:dLbls>
          <c:showLegendKey val="0"/>
          <c:showVal val="1"/>
          <c:showCatName val="0"/>
          <c:showSerName val="0"/>
          <c:showPercent val="0"/>
          <c:showBubbleSize val="0"/>
          <c:showLeaderLines val="1"/>
        </c:dLbls>
        <c:firstSliceAng val="0"/>
      </c:pieChart>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r>
              <a:rPr lang="ja-JP" altLang="en-US" sz="1200" b="1">
                <a:latin typeface="メイリオ" panose="020B0604030504040204" pitchFamily="50" charset="-128"/>
                <a:ea typeface="メイリオ" panose="020B0604030504040204" pitchFamily="50" charset="-128"/>
              </a:rPr>
              <a:t>疾患別</a:t>
            </a:r>
            <a:endParaRPr lang="ja-JP" sz="1200" b="1">
              <a:latin typeface="メイリオ" panose="020B0604030504040204" pitchFamily="50" charset="-128"/>
              <a:ea typeface="メイリオ" panose="020B0604030504040204" pitchFamily="50" charset="-128"/>
            </a:endParaRPr>
          </a:p>
        </c:rich>
      </c:tx>
      <c:overlay val="0"/>
      <c:spPr>
        <a:noFill/>
        <a:ln>
          <a:noFill/>
        </a:ln>
        <a:effectLst/>
      </c:spPr>
      <c:txPr>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endParaRPr lang="ja-JP"/>
        </a:p>
      </c:txPr>
    </c:title>
    <c:autoTitleDeleted val="0"/>
    <c:plotArea>
      <c:layout/>
      <c:barChart>
        <c:barDir val="bar"/>
        <c:grouping val="clustered"/>
        <c:varyColors val="0"/>
        <c:ser>
          <c:idx val="1"/>
          <c:order val="0"/>
          <c:tx>
            <c:strRef>
              <c:f>'グラフ(疾患名)'!$O$4</c:f>
              <c:strCache>
                <c:ptCount val="1"/>
                <c:pt idx="0">
                  <c:v>人数</c:v>
                </c:pt>
              </c:strCache>
            </c:strRef>
          </c:tx>
          <c:spPr>
            <a:solidFill>
              <a:schemeClr val="accent3">
                <a:lumMod val="40000"/>
                <a:lumOff val="60000"/>
              </a:schemeClr>
            </a:solidFill>
            <a:ln w="9525" cap="flat" cmpd="sng" algn="ctr">
              <a:solidFill>
                <a:schemeClr val="accent3">
                  <a:lumMod val="7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'グラフ(疾患名)'!$T$5:$T$16</c:f>
              <c:strCache>
                <c:ptCount val="12"/>
                <c:pt idx="0">
                  <c:v>F0</c:v>
                </c:pt>
                <c:pt idx="1">
                  <c:v>F1</c:v>
                </c:pt>
                <c:pt idx="2">
                  <c:v>F2</c:v>
                </c:pt>
                <c:pt idx="3">
                  <c:v>F3</c:v>
                </c:pt>
                <c:pt idx="4">
                  <c:v>F4</c:v>
                </c:pt>
                <c:pt idx="5">
                  <c:v>F5</c:v>
                </c:pt>
                <c:pt idx="6">
                  <c:v>F6</c:v>
                </c:pt>
                <c:pt idx="7">
                  <c:v>F7</c:v>
                </c:pt>
                <c:pt idx="8">
                  <c:v>F8</c:v>
                </c:pt>
                <c:pt idx="9">
                  <c:v>F9</c:v>
                </c:pt>
                <c:pt idx="10">
                  <c:v>てんかん</c:v>
                </c:pt>
                <c:pt idx="11">
                  <c:v>その他</c:v>
                </c:pt>
              </c:strCache>
            </c:strRef>
          </c:cat>
          <c:val>
            <c:numRef>
              <c:f>'グラフ(疾患名)'!$O$5:$O$16</c:f>
              <c:numCache>
                <c:formatCode>#,##0"人"</c:formatCode>
                <c:ptCount val="12"/>
                <c:pt idx="0">
                  <c:v>4186</c:v>
                </c:pt>
                <c:pt idx="1">
                  <c:v>746</c:v>
                </c:pt>
                <c:pt idx="2">
                  <c:v>6451</c:v>
                </c:pt>
                <c:pt idx="3">
                  <c:v>1663</c:v>
                </c:pt>
                <c:pt idx="4">
                  <c:v>247</c:v>
                </c:pt>
                <c:pt idx="5">
                  <c:v>49</c:v>
                </c:pt>
                <c:pt idx="6">
                  <c:v>41</c:v>
                </c:pt>
                <c:pt idx="7">
                  <c:v>280</c:v>
                </c:pt>
                <c:pt idx="8">
                  <c:v>188</c:v>
                </c:pt>
                <c:pt idx="9">
                  <c:v>49</c:v>
                </c:pt>
                <c:pt idx="10">
                  <c:v>24</c:v>
                </c:pt>
                <c:pt idx="11">
                  <c:v>82</c:v>
                </c:pt>
              </c:numCache>
            </c:numRef>
          </c:val>
          <c:extLst>
            <c:ext xmlns:c16="http://schemas.microsoft.com/office/drawing/2014/chart" uri="{C3380CC4-5D6E-409C-BE32-E72D297353CC}">
              <c16:uniqueId val="{00000014-4158-41FF-AD15-82CE2CDF7B43}"/>
            </c:ext>
          </c:extLst>
        </c:ser>
        <c:dLbls>
          <c:showLegendKey val="0"/>
          <c:showVal val="0"/>
          <c:showCatName val="0"/>
          <c:showSerName val="0"/>
          <c:showPercent val="0"/>
          <c:showBubbleSize val="0"/>
        </c:dLbls>
        <c:gapWidth val="100"/>
        <c:axId val="699428592"/>
        <c:axId val="699420688"/>
      </c:barChart>
      <c:valAx>
        <c:axId val="699420688"/>
        <c:scaling>
          <c:orientation val="minMax"/>
        </c:scaling>
        <c:delete val="0"/>
        <c:axPos val="t"/>
        <c:majorGridlines>
          <c:spPr>
            <a:ln w="9525" cap="flat" cmpd="sng" algn="ctr">
              <a:solidFill>
                <a:schemeClr val="tx1">
                  <a:lumMod val="15000"/>
                  <a:lumOff val="85000"/>
                </a:schemeClr>
              </a:solidFill>
              <a:round/>
            </a:ln>
            <a:effectLst/>
          </c:spPr>
        </c:majorGridlines>
        <c:numFmt formatCode="#,##0&quot;人&quot;"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699428592"/>
        <c:crosses val="autoZero"/>
        <c:crossBetween val="between"/>
      </c:valAx>
      <c:catAx>
        <c:axId val="699428592"/>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699420688"/>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r>
              <a:rPr lang="ja-JP" altLang="en-US" sz="1200" b="1">
                <a:latin typeface="メイリオ" panose="020B0604030504040204" pitchFamily="50" charset="-128"/>
                <a:ea typeface="メイリオ" panose="020B0604030504040204" pitchFamily="50" charset="-128"/>
              </a:rPr>
              <a:t>疾患別＿寛解・院内寛解群</a:t>
            </a:r>
            <a:endParaRPr lang="ja-JP" sz="1200" b="1">
              <a:latin typeface="メイリオ" panose="020B0604030504040204" pitchFamily="50" charset="-128"/>
              <a:ea typeface="メイリオ" panose="020B0604030504040204" pitchFamily="50" charset="-128"/>
            </a:endParaRPr>
          </a:p>
        </c:rich>
      </c:tx>
      <c:layout>
        <c:manualLayout>
          <c:xMode val="edge"/>
          <c:yMode val="edge"/>
          <c:x val="0.1641813402526488"/>
          <c:y val="1.2740753423283275E-2"/>
        </c:manualLayout>
      </c:layout>
      <c:overlay val="0"/>
      <c:spPr>
        <a:noFill/>
        <a:ln>
          <a:noFill/>
        </a:ln>
        <a:effectLst/>
      </c:spPr>
      <c:txPr>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endParaRPr lang="ja-JP"/>
        </a:p>
      </c:txPr>
    </c:title>
    <c:autoTitleDeleted val="0"/>
    <c:plotArea>
      <c:layout/>
      <c:barChart>
        <c:barDir val="bar"/>
        <c:grouping val="clustered"/>
        <c:varyColors val="0"/>
        <c:ser>
          <c:idx val="1"/>
          <c:order val="0"/>
          <c:tx>
            <c:strRef>
              <c:f>'グラフ(疾患名)'!$R$4</c:f>
              <c:strCache>
                <c:ptCount val="1"/>
                <c:pt idx="0">
                  <c:v>計</c:v>
                </c:pt>
              </c:strCache>
            </c:strRef>
          </c:tx>
          <c:spPr>
            <a:solidFill>
              <a:schemeClr val="accent3">
                <a:lumMod val="40000"/>
                <a:lumOff val="60000"/>
              </a:schemeClr>
            </a:solidFill>
            <a:ln w="9525" cap="flat" cmpd="sng" algn="ctr">
              <a:solidFill>
                <a:schemeClr val="accent3">
                  <a:lumMod val="7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'グラフ(疾患名)'!$T$5:$T$16</c:f>
              <c:strCache>
                <c:ptCount val="12"/>
                <c:pt idx="0">
                  <c:v>F0</c:v>
                </c:pt>
                <c:pt idx="1">
                  <c:v>F1</c:v>
                </c:pt>
                <c:pt idx="2">
                  <c:v>F2</c:v>
                </c:pt>
                <c:pt idx="3">
                  <c:v>F3</c:v>
                </c:pt>
                <c:pt idx="4">
                  <c:v>F4</c:v>
                </c:pt>
                <c:pt idx="5">
                  <c:v>F5</c:v>
                </c:pt>
                <c:pt idx="6">
                  <c:v>F6</c:v>
                </c:pt>
                <c:pt idx="7">
                  <c:v>F7</c:v>
                </c:pt>
                <c:pt idx="8">
                  <c:v>F8</c:v>
                </c:pt>
                <c:pt idx="9">
                  <c:v>F9</c:v>
                </c:pt>
                <c:pt idx="10">
                  <c:v>てんかん</c:v>
                </c:pt>
                <c:pt idx="11">
                  <c:v>その他</c:v>
                </c:pt>
              </c:strCache>
            </c:strRef>
          </c:cat>
          <c:val>
            <c:numRef>
              <c:f>'グラフ(疾患名)'!$R$5:$R$16</c:f>
              <c:numCache>
                <c:formatCode>#,##0"人"</c:formatCode>
                <c:ptCount val="12"/>
                <c:pt idx="0">
                  <c:v>282</c:v>
                </c:pt>
                <c:pt idx="1">
                  <c:v>226</c:v>
                </c:pt>
                <c:pt idx="2">
                  <c:v>706</c:v>
                </c:pt>
                <c:pt idx="3">
                  <c:v>302</c:v>
                </c:pt>
                <c:pt idx="4">
                  <c:v>50</c:v>
                </c:pt>
                <c:pt idx="5">
                  <c:v>6</c:v>
                </c:pt>
                <c:pt idx="6">
                  <c:v>14</c:v>
                </c:pt>
                <c:pt idx="7">
                  <c:v>27</c:v>
                </c:pt>
                <c:pt idx="8">
                  <c:v>26</c:v>
                </c:pt>
                <c:pt idx="9">
                  <c:v>7</c:v>
                </c:pt>
                <c:pt idx="10">
                  <c:v>1</c:v>
                </c:pt>
                <c:pt idx="11">
                  <c:v>14</c:v>
                </c:pt>
              </c:numCache>
            </c:numRef>
          </c:val>
          <c:extLst>
            <c:ext xmlns:c16="http://schemas.microsoft.com/office/drawing/2014/chart" uri="{C3380CC4-5D6E-409C-BE32-E72D297353CC}">
              <c16:uniqueId val="{00000014-0450-4C83-A419-A907C4B564A4}"/>
            </c:ext>
          </c:extLst>
        </c:ser>
        <c:dLbls>
          <c:showLegendKey val="0"/>
          <c:showVal val="0"/>
          <c:showCatName val="0"/>
          <c:showSerName val="0"/>
          <c:showPercent val="0"/>
          <c:showBubbleSize val="0"/>
        </c:dLbls>
        <c:gapWidth val="100"/>
        <c:axId val="630609584"/>
        <c:axId val="630607088"/>
      </c:barChart>
      <c:valAx>
        <c:axId val="630607088"/>
        <c:scaling>
          <c:orientation val="minMax"/>
        </c:scaling>
        <c:delete val="0"/>
        <c:axPos val="t"/>
        <c:majorGridlines>
          <c:spPr>
            <a:ln w="9525" cap="flat" cmpd="sng" algn="ctr">
              <a:solidFill>
                <a:schemeClr val="tx1">
                  <a:lumMod val="15000"/>
                  <a:lumOff val="85000"/>
                </a:schemeClr>
              </a:solidFill>
              <a:round/>
            </a:ln>
            <a:effectLst/>
          </c:spPr>
        </c:majorGridlines>
        <c:numFmt formatCode="#,##0&quot;人&quot;"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630609584"/>
        <c:crosses val="autoZero"/>
        <c:crossBetween val="between"/>
      </c:valAx>
      <c:catAx>
        <c:axId val="63060958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630607088"/>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r>
              <a:rPr lang="en-US" altLang="ja-JP" sz="1200" b="1">
                <a:latin typeface="メイリオ" panose="020B0604030504040204" pitchFamily="50" charset="-128"/>
                <a:ea typeface="メイリオ" panose="020B0604030504040204" pitchFamily="50" charset="-128"/>
              </a:rPr>
              <a:t>1</a:t>
            </a:r>
            <a:r>
              <a:rPr lang="ja-JP" altLang="en-US" sz="1200" b="1">
                <a:latin typeface="メイリオ" panose="020B0604030504040204" pitchFamily="50" charset="-128"/>
                <a:ea typeface="メイリオ" panose="020B0604030504040204" pitchFamily="50" charset="-128"/>
              </a:rPr>
              <a:t>年以上</a:t>
            </a:r>
            <a:endParaRPr lang="ja-JP" sz="1200" b="1">
              <a:latin typeface="メイリオ" panose="020B0604030504040204" pitchFamily="50" charset="-128"/>
              <a:ea typeface="メイリオ" panose="020B0604030504040204" pitchFamily="50" charset="-128"/>
            </a:endParaRPr>
          </a:p>
        </c:rich>
      </c:tx>
      <c:layout>
        <c:manualLayout>
          <c:xMode val="edge"/>
          <c:yMode val="edge"/>
          <c:x val="0.38648181712605029"/>
          <c:y val="4.2469178077610917E-3"/>
        </c:manualLayout>
      </c:layout>
      <c:overlay val="0"/>
      <c:spPr>
        <a:noFill/>
        <a:ln>
          <a:noFill/>
        </a:ln>
        <a:effectLst/>
      </c:spPr>
      <c:txPr>
        <a:bodyPr rot="0" spcFirstLastPara="1" vertOverflow="ellipsis" vert="horz" wrap="square" anchor="ctr" anchorCtr="1"/>
        <a:lstStyle/>
        <a:p>
          <a:pPr>
            <a:defRPr sz="1200" b="1" i="0" u="none" strike="noStrike" kern="1200" cap="none" spc="20" baseline="0">
              <a:solidFill>
                <a:schemeClr val="tx1">
                  <a:lumMod val="50000"/>
                  <a:lumOff val="50000"/>
                </a:schemeClr>
              </a:solidFill>
              <a:latin typeface="メイリオ" panose="020B0604030504040204" pitchFamily="50" charset="-128"/>
              <a:ea typeface="メイリオ" panose="020B0604030504040204" pitchFamily="50" charset="-128"/>
              <a:cs typeface="+mn-cs"/>
            </a:defRPr>
          </a:pPr>
          <a:endParaRPr lang="ja-JP"/>
        </a:p>
      </c:txPr>
    </c:title>
    <c:autoTitleDeleted val="0"/>
    <c:plotArea>
      <c:layout/>
      <c:barChart>
        <c:barDir val="bar"/>
        <c:grouping val="clustered"/>
        <c:varyColors val="0"/>
        <c:ser>
          <c:idx val="0"/>
          <c:order val="0"/>
          <c:tx>
            <c:strRef>
              <c:f>'グラフ(疾患名)'!$O$23</c:f>
              <c:strCache>
                <c:ptCount val="1"/>
                <c:pt idx="0">
                  <c:v>人数</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invertIfNegative val="0"/>
          <c:dPt>
            <c:idx val="0"/>
            <c:invertIfNegative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1-4173-4866-8F21-C79DD1F99DAE}"/>
              </c:ext>
            </c:extLst>
          </c:dPt>
          <c:dPt>
            <c:idx val="1"/>
            <c:invertIfNegative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3-4173-4866-8F21-C79DD1F99DAE}"/>
              </c:ext>
            </c:extLst>
          </c:dPt>
          <c:dPt>
            <c:idx val="2"/>
            <c:invertIfNegative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5-4173-4866-8F21-C79DD1F99DAE}"/>
              </c:ext>
            </c:extLst>
          </c:dPt>
          <c:dPt>
            <c:idx val="3"/>
            <c:invertIfNegative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7-4173-4866-8F21-C79DD1F99DAE}"/>
              </c:ext>
            </c:extLst>
          </c:dPt>
          <c:dPt>
            <c:idx val="4"/>
            <c:invertIfNegative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9-4173-4866-8F21-C79DD1F99DAE}"/>
              </c:ext>
            </c:extLst>
          </c:dPt>
          <c:dPt>
            <c:idx val="5"/>
            <c:invertIfNegative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B-4173-4866-8F21-C79DD1F99DAE}"/>
              </c:ext>
            </c:extLst>
          </c:dPt>
          <c:dPt>
            <c:idx val="6"/>
            <c:invertIfNegative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D-4173-4866-8F21-C79DD1F99DAE}"/>
              </c:ext>
            </c:extLst>
          </c:dPt>
          <c:dPt>
            <c:idx val="7"/>
            <c:invertIfNegative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0F-4173-4866-8F21-C79DD1F99DAE}"/>
              </c:ext>
            </c:extLst>
          </c:dPt>
          <c:dPt>
            <c:idx val="8"/>
            <c:invertIfNegative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a:scene3d>
                <a:camera prst="orthographicFront"/>
                <a:lightRig rig="threePt" dir="t"/>
              </a:scene3d>
              <a:sp3d>
                <a:bevelT w="63500" h="25400"/>
              </a:sp3d>
            </c:spPr>
            <c:extLst>
              <c:ext xmlns:c16="http://schemas.microsoft.com/office/drawing/2014/chart" uri="{C3380CC4-5D6E-409C-BE32-E72D297353CC}">
                <c16:uniqueId val="{00000011-4173-4866-8F21-C79DD1F99DAE}"/>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65000"/>
                        <a:lumOff val="35000"/>
                      </a:schemeClr>
                    </a:solidFill>
                    <a:latin typeface="游ゴシック" panose="020B0400000000000000" pitchFamily="50" charset="-128"/>
                    <a:ea typeface="游ゴシック" panose="020B0400000000000000"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'グラフ(疾患名)'!$T$5:$T$16</c:f>
              <c:strCache>
                <c:ptCount val="12"/>
                <c:pt idx="0">
                  <c:v>F0</c:v>
                </c:pt>
                <c:pt idx="1">
                  <c:v>F1</c:v>
                </c:pt>
                <c:pt idx="2">
                  <c:v>F2</c:v>
                </c:pt>
                <c:pt idx="3">
                  <c:v>F3</c:v>
                </c:pt>
                <c:pt idx="4">
                  <c:v>F4</c:v>
                </c:pt>
                <c:pt idx="5">
                  <c:v>F5</c:v>
                </c:pt>
                <c:pt idx="6">
                  <c:v>F6</c:v>
                </c:pt>
                <c:pt idx="7">
                  <c:v>F7</c:v>
                </c:pt>
                <c:pt idx="8">
                  <c:v>F8</c:v>
                </c:pt>
                <c:pt idx="9">
                  <c:v>F9</c:v>
                </c:pt>
                <c:pt idx="10">
                  <c:v>てんかん</c:v>
                </c:pt>
                <c:pt idx="11">
                  <c:v>その他</c:v>
                </c:pt>
              </c:strCache>
            </c:strRef>
          </c:cat>
          <c:val>
            <c:numRef>
              <c:f>'グラフ(疾患名)'!$O$24:$O$35</c:f>
              <c:numCache>
                <c:formatCode>#,##0"人"</c:formatCode>
                <c:ptCount val="12"/>
                <c:pt idx="0">
                  <c:v>1889</c:v>
                </c:pt>
                <c:pt idx="1">
                  <c:v>277</c:v>
                </c:pt>
                <c:pt idx="2">
                  <c:v>4321</c:v>
                </c:pt>
                <c:pt idx="3">
                  <c:v>596</c:v>
                </c:pt>
                <c:pt idx="4">
                  <c:v>81</c:v>
                </c:pt>
                <c:pt idx="5">
                  <c:v>6</c:v>
                </c:pt>
                <c:pt idx="6">
                  <c:v>11</c:v>
                </c:pt>
                <c:pt idx="7">
                  <c:v>134</c:v>
                </c:pt>
                <c:pt idx="8">
                  <c:v>49</c:v>
                </c:pt>
                <c:pt idx="9">
                  <c:v>13</c:v>
                </c:pt>
                <c:pt idx="10">
                  <c:v>20</c:v>
                </c:pt>
                <c:pt idx="11">
                  <c:v>36</c:v>
                </c:pt>
              </c:numCache>
            </c:numRef>
          </c:val>
          <c:extLst>
            <c:ext xmlns:c16="http://schemas.microsoft.com/office/drawing/2014/chart" uri="{C3380CC4-5D6E-409C-BE32-E72D297353CC}">
              <c16:uniqueId val="{00000012-4173-4866-8F21-C79DD1F99DAE}"/>
            </c:ext>
          </c:extLst>
        </c:ser>
        <c:dLbls>
          <c:showLegendKey val="0"/>
          <c:showVal val="0"/>
          <c:showCatName val="0"/>
          <c:showSerName val="0"/>
          <c:showPercent val="0"/>
          <c:showBubbleSize val="0"/>
        </c:dLbls>
        <c:gapWidth val="100"/>
        <c:axId val="630611664"/>
        <c:axId val="630606256"/>
      </c:barChart>
      <c:valAx>
        <c:axId val="630606256"/>
        <c:scaling>
          <c:orientation val="minMax"/>
        </c:scaling>
        <c:delete val="0"/>
        <c:axPos val="t"/>
        <c:majorGridlines>
          <c:spPr>
            <a:ln w="9525" cap="flat" cmpd="sng" algn="ctr">
              <a:solidFill>
                <a:schemeClr val="tx1">
                  <a:lumMod val="15000"/>
                  <a:lumOff val="85000"/>
                </a:schemeClr>
              </a:solidFill>
              <a:round/>
            </a:ln>
            <a:effectLst/>
          </c:spPr>
        </c:majorGridlines>
        <c:numFmt formatCode="#,##0&quot;人&quot;"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630611664"/>
        <c:crosses val="autoZero"/>
        <c:crossBetween val="between"/>
      </c:valAx>
      <c:catAx>
        <c:axId val="63061166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ja-JP"/>
          </a:p>
        </c:txPr>
        <c:crossAx val="630606256"/>
        <c:crosses val="autoZero"/>
        <c:auto val="1"/>
        <c:lblAlgn val="ctr"/>
        <c:lblOffset val="100"/>
        <c:noMultiLvlLbl val="0"/>
      </c:catAx>
      <c:spPr>
        <a:noFill/>
        <a:ln>
          <a:no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withinLinearReversed" id="25">
  <a:schemeClr val="accent5"/>
</cs:colorStyle>
</file>

<file path=xl/charts/colors2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withinLinearReversed" id="24">
  <a:schemeClr val="accent4"/>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33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33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39.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601980</xdr:colOff>
          <xdr:row>2</xdr:row>
          <xdr:rowOff>7620</xdr:rowOff>
        </xdr:from>
        <xdr:to>
          <xdr:col>18</xdr:col>
          <xdr:colOff>822960</xdr:colOff>
          <xdr:row>3</xdr:row>
          <xdr:rowOff>167640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373380</xdr:colOff>
          <xdr:row>1</xdr:row>
          <xdr:rowOff>114300</xdr:rowOff>
        </xdr:from>
        <xdr:to>
          <xdr:col>5</xdr:col>
          <xdr:colOff>60960</xdr:colOff>
          <xdr:row>3</xdr:row>
          <xdr:rowOff>22860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A00-0000013C00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0</xdr:colOff>
          <xdr:row>3</xdr:row>
          <xdr:rowOff>190500</xdr:rowOff>
        </xdr:from>
        <xdr:to>
          <xdr:col>11</xdr:col>
          <xdr:colOff>2103120</xdr:colOff>
          <xdr:row>5</xdr:row>
          <xdr:rowOff>198120</xdr:rowOff>
        </xdr:to>
        <xdr:sp macro="" textlink="">
          <xdr:nvSpPr>
            <xdr:cNvPr id="16385" name="Button 1" hidden="1">
              <a:extLst>
                <a:ext uri="{63B3BB69-23CF-44E3-9099-C40C66FF867C}">
                  <a14:compatExt spid="_x0000_s16385"/>
                </a:ext>
                <a:ext uri="{FF2B5EF4-FFF2-40B4-BE49-F238E27FC236}">
                  <a16:creationId xmlns:a16="http://schemas.microsoft.com/office/drawing/2014/main" id="{00000000-0008-0000-0B00-000001400000}"/>
                </a:ext>
              </a:extLst>
            </xdr:cNvPr>
            <xdr:cNvSpPr/>
          </xdr:nvSpPr>
          <xdr:spPr bwMode="auto">
            <a:xfrm>
              <a:off x="0" y="0"/>
              <a:ext cx="0" cy="0"/>
            </a:xfrm>
            <a:prstGeom prst="rect">
              <a:avLst/>
            </a:prstGeom>
            <a:noFill/>
            <a:ln w="9525">
              <a:miter lim="800000"/>
              <a:headEnd/>
              <a:tailEnd/>
            </a:ln>
          </xdr:spPr>
          <xdr:txBody>
            <a:bodyPr vertOverflow="clip" wrap="square" lIns="36576" tIns="54864" rIns="36576" bIns="54864" anchor="ctr" upright="1"/>
            <a:lstStyle/>
            <a:p>
              <a:pPr algn="ctr" rtl="0">
                <a:defRPr sz="1000"/>
              </a:pPr>
              <a:r>
                <a:rPr lang="ja-JP" altLang="en-US" sz="12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601980</xdr:colOff>
          <xdr:row>14</xdr:row>
          <xdr:rowOff>76200</xdr:rowOff>
        </xdr:from>
        <xdr:to>
          <xdr:col>9</xdr:col>
          <xdr:colOff>1043940</xdr:colOff>
          <xdr:row>16</xdr:row>
          <xdr:rowOff>68580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C00-000001440000}"/>
                </a:ext>
              </a:extLst>
            </xdr:cNvPr>
            <xdr:cNvSpPr/>
          </xdr:nvSpPr>
          <xdr:spPr bwMode="auto">
            <a:xfrm>
              <a:off x="0" y="0"/>
              <a:ext cx="0" cy="0"/>
            </a:xfrm>
            <a:prstGeom prst="rect">
              <a:avLst/>
            </a:prstGeom>
            <a:noFill/>
            <a:ln w="9525">
              <a:miter lim="800000"/>
              <a:headEnd/>
              <a:tailEnd/>
            </a:ln>
          </xdr:spPr>
          <xdr:txBody>
            <a:bodyPr vertOverflow="clip" wrap="square" lIns="36576" tIns="54864" rIns="36576" bIns="54864" anchor="ctr" upright="1"/>
            <a:lstStyle/>
            <a:p>
              <a:pPr algn="ctr" rtl="0">
                <a:defRPr sz="1000"/>
              </a:pPr>
              <a:r>
                <a:rPr lang="ja-JP" altLang="en-US" sz="12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632460</xdr:colOff>
          <xdr:row>3</xdr:row>
          <xdr:rowOff>45720</xdr:rowOff>
        </xdr:from>
        <xdr:to>
          <xdr:col>9</xdr:col>
          <xdr:colOff>411480</xdr:colOff>
          <xdr:row>5</xdr:row>
          <xdr:rowOff>45720</xdr:rowOff>
        </xdr:to>
        <xdr:sp macro="" textlink="">
          <xdr:nvSpPr>
            <xdr:cNvPr id="18433" name="Button 1" hidden="1">
              <a:extLst>
                <a:ext uri="{63B3BB69-23CF-44E3-9099-C40C66FF867C}">
                  <a14:compatExt spid="_x0000_s18433"/>
                </a:ext>
                <a:ext uri="{FF2B5EF4-FFF2-40B4-BE49-F238E27FC236}">
                  <a16:creationId xmlns:a16="http://schemas.microsoft.com/office/drawing/2014/main" id="{00000000-0008-0000-0D00-0000014800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175260</xdr:colOff>
          <xdr:row>0</xdr:row>
          <xdr:rowOff>213360</xdr:rowOff>
        </xdr:from>
        <xdr:to>
          <xdr:col>9</xdr:col>
          <xdr:colOff>655320</xdr:colOff>
          <xdr:row>2</xdr:row>
          <xdr:rowOff>190500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E00-0000014C00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266700</xdr:colOff>
          <xdr:row>1</xdr:row>
          <xdr:rowOff>129540</xdr:rowOff>
        </xdr:from>
        <xdr:to>
          <xdr:col>9</xdr:col>
          <xdr:colOff>617220</xdr:colOff>
          <xdr:row>4</xdr:row>
          <xdr:rowOff>0</xdr:rowOff>
        </xdr:to>
        <xdr:sp macro="" textlink="">
          <xdr:nvSpPr>
            <xdr:cNvPr id="20481" name="Button 1" hidden="1">
              <a:extLst>
                <a:ext uri="{63B3BB69-23CF-44E3-9099-C40C66FF867C}">
                  <a14:compatExt spid="_x0000_s20481"/>
                </a:ext>
                <a:ext uri="{FF2B5EF4-FFF2-40B4-BE49-F238E27FC236}">
                  <a16:creationId xmlns:a16="http://schemas.microsoft.com/office/drawing/2014/main" id="{00000000-0008-0000-0F00-0000015000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373380</xdr:colOff>
          <xdr:row>2</xdr:row>
          <xdr:rowOff>228600</xdr:rowOff>
        </xdr:from>
        <xdr:to>
          <xdr:col>8</xdr:col>
          <xdr:colOff>45720</xdr:colOff>
          <xdr:row>5</xdr:row>
          <xdr:rowOff>0</xdr:rowOff>
        </xdr:to>
        <xdr:sp macro="" textlink="">
          <xdr:nvSpPr>
            <xdr:cNvPr id="21505" name="Button 1" hidden="1">
              <a:extLst>
                <a:ext uri="{63B3BB69-23CF-44E3-9099-C40C66FF867C}">
                  <a14:compatExt spid="_x0000_s21505"/>
                </a:ext>
                <a:ext uri="{FF2B5EF4-FFF2-40B4-BE49-F238E27FC236}">
                  <a16:creationId xmlns:a16="http://schemas.microsoft.com/office/drawing/2014/main" id="{00000000-0008-0000-1000-0000015400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365760</xdr:colOff>
          <xdr:row>3</xdr:row>
          <xdr:rowOff>7620</xdr:rowOff>
        </xdr:from>
        <xdr:to>
          <xdr:col>13</xdr:col>
          <xdr:colOff>304800</xdr:colOff>
          <xdr:row>4</xdr:row>
          <xdr:rowOff>274320</xdr:rowOff>
        </xdr:to>
        <xdr:sp macro="" textlink="">
          <xdr:nvSpPr>
            <xdr:cNvPr id="22529" name="Button 1" hidden="1">
              <a:extLst>
                <a:ext uri="{63B3BB69-23CF-44E3-9099-C40C66FF867C}">
                  <a14:compatExt spid="_x0000_s22529"/>
                </a:ext>
                <a:ext uri="{FF2B5EF4-FFF2-40B4-BE49-F238E27FC236}">
                  <a16:creationId xmlns:a16="http://schemas.microsoft.com/office/drawing/2014/main" id="{00000000-0008-0000-1100-0000015800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137160</xdr:colOff>
          <xdr:row>2</xdr:row>
          <xdr:rowOff>7620</xdr:rowOff>
        </xdr:from>
        <xdr:to>
          <xdr:col>12</xdr:col>
          <xdr:colOff>7620</xdr:colOff>
          <xdr:row>3</xdr:row>
          <xdr:rowOff>289560</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200-0000025C00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281940</xdr:colOff>
          <xdr:row>1</xdr:row>
          <xdr:rowOff>205740</xdr:rowOff>
        </xdr:from>
        <xdr:to>
          <xdr:col>12</xdr:col>
          <xdr:colOff>426720</xdr:colOff>
          <xdr:row>3</xdr:row>
          <xdr:rowOff>205740</xdr:rowOff>
        </xdr:to>
        <xdr:sp macro="" textlink="">
          <xdr:nvSpPr>
            <xdr:cNvPr id="24579" name="Button 3" hidden="1">
              <a:extLst>
                <a:ext uri="{63B3BB69-23CF-44E3-9099-C40C66FF867C}">
                  <a14:compatExt spid="_x0000_s24579"/>
                </a:ext>
                <a:ext uri="{FF2B5EF4-FFF2-40B4-BE49-F238E27FC236}">
                  <a16:creationId xmlns:a16="http://schemas.microsoft.com/office/drawing/2014/main" id="{00000000-0008-0000-1300-0000036000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533400</xdr:colOff>
          <xdr:row>2</xdr:row>
          <xdr:rowOff>152400</xdr:rowOff>
        </xdr:from>
        <xdr:to>
          <xdr:col>13</xdr:col>
          <xdr:colOff>289560</xdr:colOff>
          <xdr:row>5</xdr:row>
          <xdr:rowOff>7620</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373380</xdr:colOff>
          <xdr:row>1</xdr:row>
          <xdr:rowOff>220980</xdr:rowOff>
        </xdr:from>
        <xdr:to>
          <xdr:col>12</xdr:col>
          <xdr:colOff>426720</xdr:colOff>
          <xdr:row>3</xdr:row>
          <xdr:rowOff>342900</xdr:rowOff>
        </xdr:to>
        <xdr:sp macro="" textlink="">
          <xdr:nvSpPr>
            <xdr:cNvPr id="25602" name="Button 2" hidden="1">
              <a:extLst>
                <a:ext uri="{63B3BB69-23CF-44E3-9099-C40C66FF867C}">
                  <a14:compatExt spid="_x0000_s25602"/>
                </a:ext>
                <a:ext uri="{FF2B5EF4-FFF2-40B4-BE49-F238E27FC236}">
                  <a16:creationId xmlns:a16="http://schemas.microsoft.com/office/drawing/2014/main" id="{00000000-0008-0000-1400-0000026400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213360</xdr:colOff>
          <xdr:row>0</xdr:row>
          <xdr:rowOff>205740</xdr:rowOff>
        </xdr:from>
        <xdr:to>
          <xdr:col>16</xdr:col>
          <xdr:colOff>160020</xdr:colOff>
          <xdr:row>2</xdr:row>
          <xdr:rowOff>236220</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500-0000026800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502920</xdr:colOff>
          <xdr:row>1</xdr:row>
          <xdr:rowOff>137160</xdr:rowOff>
        </xdr:from>
        <xdr:to>
          <xdr:col>15</xdr:col>
          <xdr:colOff>563880</xdr:colOff>
          <xdr:row>3</xdr:row>
          <xdr:rowOff>198120</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600-0000026C00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701040</xdr:colOff>
          <xdr:row>2</xdr:row>
          <xdr:rowOff>60960</xdr:rowOff>
        </xdr:from>
        <xdr:to>
          <xdr:col>15</xdr:col>
          <xdr:colOff>266700</xdr:colOff>
          <xdr:row>4</xdr:row>
          <xdr:rowOff>114300</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700-0000027000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617220</xdr:colOff>
          <xdr:row>2</xdr:row>
          <xdr:rowOff>0</xdr:rowOff>
        </xdr:from>
        <xdr:to>
          <xdr:col>15</xdr:col>
          <xdr:colOff>640080</xdr:colOff>
          <xdr:row>4</xdr:row>
          <xdr:rowOff>91440</xdr:rowOff>
        </xdr:to>
        <xdr:sp macro="" textlink="">
          <xdr:nvSpPr>
            <xdr:cNvPr id="29698" name="Button 2" hidden="1">
              <a:extLst>
                <a:ext uri="{63B3BB69-23CF-44E3-9099-C40C66FF867C}">
                  <a14:compatExt spid="_x0000_s29698"/>
                </a:ext>
                <a:ext uri="{FF2B5EF4-FFF2-40B4-BE49-F238E27FC236}">
                  <a16:creationId xmlns:a16="http://schemas.microsoft.com/office/drawing/2014/main" id="{00000000-0008-0000-1800-0000027400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541020</xdr:colOff>
          <xdr:row>17</xdr:row>
          <xdr:rowOff>182880</xdr:rowOff>
        </xdr:from>
        <xdr:to>
          <xdr:col>13</xdr:col>
          <xdr:colOff>685800</xdr:colOff>
          <xdr:row>20</xdr:row>
          <xdr:rowOff>53340</xdr:rowOff>
        </xdr:to>
        <xdr:sp macro="" textlink="">
          <xdr:nvSpPr>
            <xdr:cNvPr id="94209" name="Button 1" hidden="1">
              <a:extLst>
                <a:ext uri="{63B3BB69-23CF-44E3-9099-C40C66FF867C}">
                  <a14:compatExt spid="_x0000_s94209"/>
                </a:ext>
                <a:ext uri="{FF2B5EF4-FFF2-40B4-BE49-F238E27FC236}">
                  <a16:creationId xmlns:a16="http://schemas.microsoft.com/office/drawing/2014/main" id="{00000000-0008-0000-1900-0000017001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0000"/>
                  </a:solidFill>
                  <a:latin typeface="メイリオ"/>
                  <a:ea typeface="メイリオ"/>
                </a:rPr>
                <a:t>データ削除</a:t>
              </a:r>
            </a:p>
          </xdr:txBody>
        </xdr:sp>
        <xdr:clientData fPrintsWithSheet="0"/>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22860</xdr:colOff>
          <xdr:row>16</xdr:row>
          <xdr:rowOff>144780</xdr:rowOff>
        </xdr:from>
        <xdr:to>
          <xdr:col>13</xdr:col>
          <xdr:colOff>518160</xdr:colOff>
          <xdr:row>17</xdr:row>
          <xdr:rowOff>213360</xdr:rowOff>
        </xdr:to>
        <xdr:sp macro="" textlink="">
          <xdr:nvSpPr>
            <xdr:cNvPr id="95233" name="Button 1" hidden="1">
              <a:extLst>
                <a:ext uri="{63B3BB69-23CF-44E3-9099-C40C66FF867C}">
                  <a14:compatExt spid="_x0000_s95233"/>
                </a:ext>
                <a:ext uri="{FF2B5EF4-FFF2-40B4-BE49-F238E27FC236}">
                  <a16:creationId xmlns:a16="http://schemas.microsoft.com/office/drawing/2014/main" id="{00000000-0008-0000-1A00-0000017401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0000"/>
                  </a:solidFill>
                  <a:latin typeface="メイリオ"/>
                  <a:ea typeface="メイリオ"/>
                </a:rPr>
                <a:t>データ削除</a:t>
              </a:r>
            </a:p>
          </xdr:txBody>
        </xdr:sp>
        <xdr:clientData fPrintsWithSheet="0"/>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731520</xdr:colOff>
          <xdr:row>23</xdr:row>
          <xdr:rowOff>205740</xdr:rowOff>
        </xdr:from>
        <xdr:to>
          <xdr:col>13</xdr:col>
          <xdr:colOff>655320</xdr:colOff>
          <xdr:row>26</xdr:row>
          <xdr:rowOff>76200</xdr:rowOff>
        </xdr:to>
        <xdr:sp macro="" textlink="">
          <xdr:nvSpPr>
            <xdr:cNvPr id="96257" name="Button 1" hidden="1">
              <a:extLst>
                <a:ext uri="{63B3BB69-23CF-44E3-9099-C40C66FF867C}">
                  <a14:compatExt spid="_x0000_s96257"/>
                </a:ext>
                <a:ext uri="{FF2B5EF4-FFF2-40B4-BE49-F238E27FC236}">
                  <a16:creationId xmlns:a16="http://schemas.microsoft.com/office/drawing/2014/main" id="{00000000-0008-0000-1B00-0000017801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0000"/>
                  </a:solidFill>
                  <a:latin typeface="メイリオ"/>
                  <a:ea typeface="メイリオ"/>
                </a:rPr>
                <a:t>データ削除</a:t>
              </a:r>
            </a:p>
          </xdr:txBody>
        </xdr:sp>
        <xdr:clientData fPrintsWithSheet="0"/>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304800</xdr:colOff>
          <xdr:row>21</xdr:row>
          <xdr:rowOff>60960</xdr:rowOff>
        </xdr:from>
        <xdr:to>
          <xdr:col>13</xdr:col>
          <xdr:colOff>655320</xdr:colOff>
          <xdr:row>23</xdr:row>
          <xdr:rowOff>160020</xdr:rowOff>
        </xdr:to>
        <xdr:sp macro="" textlink="">
          <xdr:nvSpPr>
            <xdr:cNvPr id="97281" name="Button 1" hidden="1">
              <a:extLst>
                <a:ext uri="{63B3BB69-23CF-44E3-9099-C40C66FF867C}">
                  <a14:compatExt spid="_x0000_s97281"/>
                </a:ext>
                <a:ext uri="{FF2B5EF4-FFF2-40B4-BE49-F238E27FC236}">
                  <a16:creationId xmlns:a16="http://schemas.microsoft.com/office/drawing/2014/main" id="{00000000-0008-0000-1C00-0000017C01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0000"/>
                  </a:solidFill>
                  <a:latin typeface="メイリオ"/>
                  <a:ea typeface="メイリオ"/>
                </a:rPr>
                <a:t>データ削除</a:t>
              </a:r>
            </a:p>
          </xdr:txBody>
        </xdr:sp>
        <xdr:clientData fPrintsWithSheet="0"/>
      </xdr:twoCellAnchor>
    </mc:Choice>
    <mc:Fallback/>
  </mc:AlternateContent>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502920</xdr:colOff>
          <xdr:row>15</xdr:row>
          <xdr:rowOff>106680</xdr:rowOff>
        </xdr:from>
        <xdr:to>
          <xdr:col>14</xdr:col>
          <xdr:colOff>297180</xdr:colOff>
          <xdr:row>17</xdr:row>
          <xdr:rowOff>167640</xdr:rowOff>
        </xdr:to>
        <xdr:sp macro="" textlink="">
          <xdr:nvSpPr>
            <xdr:cNvPr id="67585" name="Button 1" hidden="1">
              <a:extLst>
                <a:ext uri="{63B3BB69-23CF-44E3-9099-C40C66FF867C}">
                  <a14:compatExt spid="_x0000_s67585"/>
                </a:ext>
                <a:ext uri="{FF2B5EF4-FFF2-40B4-BE49-F238E27FC236}">
                  <a16:creationId xmlns:a16="http://schemas.microsoft.com/office/drawing/2014/main" id="{00000000-0008-0000-1D00-0000010801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0000"/>
                  </a:solidFill>
                  <a:latin typeface="メイリオ"/>
                  <a:ea typeface="メイリオ"/>
                </a:rPr>
                <a:t>データ削除</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21</xdr:col>
      <xdr:colOff>537210</xdr:colOff>
      <xdr:row>25</xdr:row>
      <xdr:rowOff>97155</xdr:rowOff>
    </xdr:from>
    <xdr:to>
      <xdr:col>26</xdr:col>
      <xdr:colOff>9525</xdr:colOff>
      <xdr:row>28</xdr:row>
      <xdr:rowOff>186579</xdr:rowOff>
    </xdr:to>
    <xdr:sp macro="[0]!集計用貼り付け_疾患名" textlink="">
      <xdr:nvSpPr>
        <xdr:cNvPr id="3" name="角丸四角形 12">
          <a:extLst>
            <a:ext uri="{FF2B5EF4-FFF2-40B4-BE49-F238E27FC236}">
              <a16:creationId xmlns:a16="http://schemas.microsoft.com/office/drawing/2014/main" id="{00000000-0008-0000-0300-000003000000}"/>
            </a:ext>
          </a:extLst>
        </xdr:cNvPr>
        <xdr:cNvSpPr/>
      </xdr:nvSpPr>
      <xdr:spPr>
        <a:xfrm>
          <a:off x="21777960" y="6517005"/>
          <a:ext cx="2567940" cy="803799"/>
        </a:xfrm>
        <a:prstGeom prst="roundRect">
          <a:avLst/>
        </a:prstGeom>
        <a:solidFill>
          <a:schemeClr val="accent3">
            <a:lumMod val="60000"/>
            <a:lumOff val="40000"/>
          </a:schemeClr>
        </a:solidFill>
        <a:ln w="12700" cap="flat" cmpd="sng" algn="ctr">
          <a:noFill/>
          <a:prstDash val="solid"/>
          <a:miter lim="800000"/>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chemeClr val="tx1"/>
              </a:solidFill>
              <a:effectLst/>
              <a:uLnTx/>
              <a:uFillTx/>
              <a:latin typeface="メイリオ" panose="020B0604030504040204" pitchFamily="50" charset="-128"/>
              <a:ea typeface="メイリオ" panose="020B0604030504040204" pitchFamily="50" charset="-128"/>
              <a:cs typeface="+mn-cs"/>
            </a:rPr>
            <a:t>貼り付け後</a:t>
          </a:r>
          <a:endParaRPr kumimoji="1" lang="en-US" altLang="ja-JP" sz="1200" b="1" i="0" u="none" strike="noStrike" kern="0" cap="none" spc="0" normalizeH="0" baseline="0" noProof="0">
            <a:ln>
              <a:noFill/>
            </a:ln>
            <a:solidFill>
              <a:schemeClr val="tx1"/>
            </a:solidFill>
            <a:effectLst/>
            <a:uLnTx/>
            <a:uFillTx/>
            <a:latin typeface="メイリオ" panose="020B0604030504040204" pitchFamily="50" charset="-128"/>
            <a:ea typeface="メイリオ" panose="020B060403050404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chemeClr val="tx1"/>
              </a:solidFill>
              <a:effectLst/>
              <a:uLnTx/>
              <a:uFillTx/>
              <a:latin typeface="メイリオ" panose="020B0604030504040204" pitchFamily="50" charset="-128"/>
              <a:ea typeface="メイリオ" panose="020B0604030504040204" pitchFamily="50" charset="-128"/>
              <a:cs typeface="+mn-cs"/>
            </a:rPr>
            <a:t>集計データ作成</a:t>
          </a:r>
          <a:endParaRPr kumimoji="1" lang="en-US" altLang="ja-JP" sz="1200" b="1" i="0" u="none" strike="noStrike" kern="0" cap="none" spc="0" normalizeH="0" baseline="0" noProof="0">
            <a:ln>
              <a:noFill/>
            </a:ln>
            <a:solidFill>
              <a:schemeClr val="tx1"/>
            </a:solidFill>
            <a:effectLst/>
            <a:uLnTx/>
            <a:uFillTx/>
            <a:latin typeface="メイリオ" panose="020B0604030504040204" pitchFamily="50" charset="-128"/>
            <a:ea typeface="メイリオ" panose="020B0604030504040204" pitchFamily="50" charset="-128"/>
            <a:cs typeface="+mn-cs"/>
          </a:endParaRPr>
        </a:p>
      </xdr:txBody>
    </xdr:sp>
    <xdr:clientData/>
  </xdr:twoCellAnchor>
  <mc:AlternateContent xmlns:mc="http://schemas.openxmlformats.org/markup-compatibility/2006">
    <mc:Choice xmlns:a14="http://schemas.microsoft.com/office/drawing/2010/main" Requires="a14">
      <xdr:twoCellAnchor>
        <xdr:from>
          <xdr:col>9</xdr:col>
          <xdr:colOff>0</xdr:colOff>
          <xdr:row>22</xdr:row>
          <xdr:rowOff>53340</xdr:rowOff>
        </xdr:from>
        <xdr:to>
          <xdr:col>10</xdr:col>
          <xdr:colOff>662940</xdr:colOff>
          <xdr:row>24</xdr:row>
          <xdr:rowOff>99060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419100</xdr:colOff>
          <xdr:row>47</xdr:row>
          <xdr:rowOff>68580</xdr:rowOff>
        </xdr:from>
        <xdr:to>
          <xdr:col>14</xdr:col>
          <xdr:colOff>182880</xdr:colOff>
          <xdr:row>49</xdr:row>
          <xdr:rowOff>121920</xdr:rowOff>
        </xdr:to>
        <xdr:sp macro="" textlink="">
          <xdr:nvSpPr>
            <xdr:cNvPr id="98305" name="Button 1" hidden="1">
              <a:extLst>
                <a:ext uri="{63B3BB69-23CF-44E3-9099-C40C66FF867C}">
                  <a14:compatExt spid="_x0000_s98305"/>
                </a:ext>
                <a:ext uri="{FF2B5EF4-FFF2-40B4-BE49-F238E27FC236}">
                  <a16:creationId xmlns:a16="http://schemas.microsoft.com/office/drawing/2014/main" id="{00000000-0008-0000-1E00-0000018001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0000"/>
                  </a:solidFill>
                  <a:latin typeface="メイリオ"/>
                  <a:ea typeface="メイリオ"/>
                </a:rPr>
                <a:t>データ削除</a:t>
              </a:r>
            </a:p>
          </xdr:txBody>
        </xdr:sp>
        <xdr:clientData fPrintsWithSheet="0"/>
      </xdr:twoCellAnchor>
    </mc:Choice>
    <mc:Fallback/>
  </mc:AlternateContent>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541020</xdr:colOff>
          <xdr:row>21</xdr:row>
          <xdr:rowOff>114300</xdr:rowOff>
        </xdr:from>
        <xdr:to>
          <xdr:col>14</xdr:col>
          <xdr:colOff>914400</xdr:colOff>
          <xdr:row>23</xdr:row>
          <xdr:rowOff>137160</xdr:rowOff>
        </xdr:to>
        <xdr:sp macro="" textlink="">
          <xdr:nvSpPr>
            <xdr:cNvPr id="99329" name="Button 1" hidden="1">
              <a:extLst>
                <a:ext uri="{63B3BB69-23CF-44E3-9099-C40C66FF867C}">
                  <a14:compatExt spid="_x0000_s99329"/>
                </a:ext>
                <a:ext uri="{FF2B5EF4-FFF2-40B4-BE49-F238E27FC236}">
                  <a16:creationId xmlns:a16="http://schemas.microsoft.com/office/drawing/2014/main" id="{00000000-0008-0000-1F00-000001840100}"/>
                </a:ext>
              </a:extLst>
            </xdr:cNvPr>
            <xdr:cNvSpPr/>
          </xdr:nvSpPr>
          <xdr:spPr bwMode="auto">
            <a:xfrm>
              <a:off x="0" y="0"/>
              <a:ext cx="0" cy="0"/>
            </a:xfrm>
            <a:prstGeom prst="rect">
              <a:avLst/>
            </a:prstGeom>
            <a:noFill/>
            <a:ln w="9525">
              <a:miter lim="800000"/>
              <a:headEnd/>
              <a:tailEnd/>
            </a:ln>
          </xdr:spPr>
          <xdr:txBody>
            <a:bodyPr vertOverflow="clip" wrap="square" lIns="45720" tIns="59436" rIns="45720" bIns="59436" anchor="ctr" upright="1"/>
            <a:lstStyle/>
            <a:p>
              <a:pPr algn="ctr" rtl="0">
                <a:defRPr sz="1000"/>
              </a:pPr>
              <a:r>
                <a:rPr lang="ja-JP" altLang="en-US" sz="1400" b="0" i="0" u="none" strike="noStrike" baseline="0">
                  <a:solidFill>
                    <a:srgbClr val="000000"/>
                  </a:solidFill>
                  <a:latin typeface="メイリオ"/>
                  <a:ea typeface="メイリオ"/>
                </a:rPr>
                <a:t>データ削除</a:t>
              </a:r>
            </a:p>
          </xdr:txBody>
        </xdr:sp>
        <xdr:clientData fPrintsWithSheet="0"/>
      </xdr:twoCellAnchor>
    </mc:Choice>
    <mc:Fallback/>
  </mc:AlternateContent>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182880</xdr:colOff>
          <xdr:row>13</xdr:row>
          <xdr:rowOff>114300</xdr:rowOff>
        </xdr:from>
        <xdr:to>
          <xdr:col>15</xdr:col>
          <xdr:colOff>449580</xdr:colOff>
          <xdr:row>16</xdr:row>
          <xdr:rowOff>0</xdr:rowOff>
        </xdr:to>
        <xdr:sp macro="" textlink="">
          <xdr:nvSpPr>
            <xdr:cNvPr id="100353" name="Button 1" hidden="1">
              <a:extLst>
                <a:ext uri="{63B3BB69-23CF-44E3-9099-C40C66FF867C}">
                  <a14:compatExt spid="_x0000_s100353"/>
                </a:ext>
                <a:ext uri="{FF2B5EF4-FFF2-40B4-BE49-F238E27FC236}">
                  <a16:creationId xmlns:a16="http://schemas.microsoft.com/office/drawing/2014/main" id="{00000000-0008-0000-2000-0000018801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0000"/>
                  </a:solidFill>
                  <a:latin typeface="メイリオ"/>
                  <a:ea typeface="メイリオ"/>
                </a:rPr>
                <a:t>データ削除</a:t>
              </a:r>
            </a:p>
          </xdr:txBody>
        </xdr:sp>
        <xdr:clientData fPrintsWithSheet="0"/>
      </xdr:twoCellAnchor>
    </mc:Choice>
    <mc:Fallback/>
  </mc:AlternateContent>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30480</xdr:colOff>
          <xdr:row>24</xdr:row>
          <xdr:rowOff>30480</xdr:rowOff>
        </xdr:from>
        <xdr:to>
          <xdr:col>15</xdr:col>
          <xdr:colOff>236220</xdr:colOff>
          <xdr:row>26</xdr:row>
          <xdr:rowOff>190500</xdr:rowOff>
        </xdr:to>
        <xdr:sp macro="" textlink="">
          <xdr:nvSpPr>
            <xdr:cNvPr id="101377" name="Button 1" hidden="1">
              <a:extLst>
                <a:ext uri="{63B3BB69-23CF-44E3-9099-C40C66FF867C}">
                  <a14:compatExt spid="_x0000_s101377"/>
                </a:ext>
                <a:ext uri="{FF2B5EF4-FFF2-40B4-BE49-F238E27FC236}">
                  <a16:creationId xmlns:a16="http://schemas.microsoft.com/office/drawing/2014/main" id="{00000000-0008-0000-2100-0000018C0100}"/>
                </a:ext>
              </a:extLst>
            </xdr:cNvPr>
            <xdr:cNvSpPr/>
          </xdr:nvSpPr>
          <xdr:spPr bwMode="auto">
            <a:xfrm>
              <a:off x="0" y="0"/>
              <a:ext cx="0" cy="0"/>
            </a:xfrm>
            <a:prstGeom prst="rect">
              <a:avLst/>
            </a:prstGeom>
            <a:noFill/>
            <a:ln w="9525">
              <a:miter lim="800000"/>
              <a:headEnd/>
              <a:tailEnd/>
            </a:ln>
          </xdr:spPr>
          <xdr:txBody>
            <a:bodyPr vertOverflow="clip" wrap="square" lIns="36576" tIns="54864" rIns="36576" bIns="54864" anchor="ctr" upright="1"/>
            <a:lstStyle/>
            <a:p>
              <a:pPr algn="ctr" rtl="0">
                <a:defRPr sz="1000"/>
              </a:pPr>
              <a:r>
                <a:rPr lang="ja-JP" altLang="en-US" sz="1200" b="0" i="0" u="none" strike="noStrike" baseline="0">
                  <a:solidFill>
                    <a:srgbClr val="000000"/>
                  </a:solidFill>
                  <a:latin typeface="メイリオ"/>
                  <a:ea typeface="メイリオ"/>
                </a:rPr>
                <a:t>データ削除</a:t>
              </a:r>
            </a:p>
          </xdr:txBody>
        </xdr:sp>
        <xdr:clientData fPrintsWithSheet="0"/>
      </xdr:twoCellAnchor>
    </mc:Choice>
    <mc:Fallback/>
  </mc:AlternateContent>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495300</xdr:colOff>
          <xdr:row>21</xdr:row>
          <xdr:rowOff>220980</xdr:rowOff>
        </xdr:from>
        <xdr:to>
          <xdr:col>15</xdr:col>
          <xdr:colOff>60960</xdr:colOff>
          <xdr:row>25</xdr:row>
          <xdr:rowOff>38100</xdr:rowOff>
        </xdr:to>
        <xdr:sp macro="" textlink="">
          <xdr:nvSpPr>
            <xdr:cNvPr id="102401" name="Button 1" hidden="1">
              <a:extLst>
                <a:ext uri="{63B3BB69-23CF-44E3-9099-C40C66FF867C}">
                  <a14:compatExt spid="_x0000_s102401"/>
                </a:ext>
                <a:ext uri="{FF2B5EF4-FFF2-40B4-BE49-F238E27FC236}">
                  <a16:creationId xmlns:a16="http://schemas.microsoft.com/office/drawing/2014/main" id="{00000000-0008-0000-2200-000001900100}"/>
                </a:ext>
              </a:extLst>
            </xdr:cNvPr>
            <xdr:cNvSpPr/>
          </xdr:nvSpPr>
          <xdr:spPr bwMode="auto">
            <a:xfrm>
              <a:off x="0" y="0"/>
              <a:ext cx="0" cy="0"/>
            </a:xfrm>
            <a:prstGeom prst="rect">
              <a:avLst/>
            </a:prstGeom>
            <a:noFill/>
            <a:ln w="9525">
              <a:miter lim="800000"/>
              <a:headEnd/>
              <a:tailEnd/>
            </a:ln>
          </xdr:spPr>
          <xdr:txBody>
            <a:bodyPr vertOverflow="clip" wrap="square" lIns="45720" tIns="59436" rIns="45720" bIns="59436" anchor="ctr" upright="1"/>
            <a:lstStyle/>
            <a:p>
              <a:pPr algn="ctr" rtl="0">
                <a:defRPr sz="1000"/>
              </a:pPr>
              <a:r>
                <a:rPr lang="ja-JP" altLang="en-US" sz="1400" b="0" i="0" u="none" strike="noStrike" baseline="0">
                  <a:solidFill>
                    <a:srgbClr val="000000"/>
                  </a:solidFill>
                  <a:latin typeface="メイリオ"/>
                  <a:ea typeface="メイリオ"/>
                </a:rPr>
                <a:t>データ削除</a:t>
              </a:r>
            </a:p>
          </xdr:txBody>
        </xdr:sp>
        <xdr:clientData fPrintsWithSheet="0"/>
      </xdr:twoCellAnchor>
    </mc:Choice>
    <mc:Fallback/>
  </mc:AlternateContent>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45720</xdr:colOff>
          <xdr:row>15</xdr:row>
          <xdr:rowOff>22860</xdr:rowOff>
        </xdr:from>
        <xdr:to>
          <xdr:col>15</xdr:col>
          <xdr:colOff>274320</xdr:colOff>
          <xdr:row>17</xdr:row>
          <xdr:rowOff>160020</xdr:rowOff>
        </xdr:to>
        <xdr:sp macro="" textlink="">
          <xdr:nvSpPr>
            <xdr:cNvPr id="84993" name="Button 1" hidden="1">
              <a:extLst>
                <a:ext uri="{63B3BB69-23CF-44E3-9099-C40C66FF867C}">
                  <a14:compatExt spid="_x0000_s84993"/>
                </a:ext>
                <a:ext uri="{FF2B5EF4-FFF2-40B4-BE49-F238E27FC236}">
                  <a16:creationId xmlns:a16="http://schemas.microsoft.com/office/drawing/2014/main" id="{00000000-0008-0000-2300-0000014C01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0000"/>
                  </a:solidFill>
                  <a:latin typeface="メイリオ"/>
                  <a:ea typeface="メイリオ"/>
                </a:rPr>
                <a:t>データ削除</a:t>
              </a:r>
            </a:p>
          </xdr:txBody>
        </xdr:sp>
        <xdr:clientData fPrintsWithSheet="0"/>
      </xdr:twoCellAnchor>
    </mc:Choice>
    <mc:Fallback/>
  </mc:AlternateContent>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121920</xdr:colOff>
          <xdr:row>45</xdr:row>
          <xdr:rowOff>213360</xdr:rowOff>
        </xdr:from>
        <xdr:to>
          <xdr:col>15</xdr:col>
          <xdr:colOff>335280</xdr:colOff>
          <xdr:row>48</xdr:row>
          <xdr:rowOff>106680</xdr:rowOff>
        </xdr:to>
        <xdr:sp macro="" textlink="">
          <xdr:nvSpPr>
            <xdr:cNvPr id="103425" name="Button 1" hidden="1">
              <a:extLst>
                <a:ext uri="{63B3BB69-23CF-44E3-9099-C40C66FF867C}">
                  <a14:compatExt spid="_x0000_s103425"/>
                </a:ext>
                <a:ext uri="{FF2B5EF4-FFF2-40B4-BE49-F238E27FC236}">
                  <a16:creationId xmlns:a16="http://schemas.microsoft.com/office/drawing/2014/main" id="{00000000-0008-0000-2400-0000019401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0000"/>
                  </a:solidFill>
                  <a:latin typeface="メイリオ"/>
                  <a:ea typeface="メイリオ"/>
                </a:rPr>
                <a:t>データ削除</a:t>
              </a:r>
            </a:p>
          </xdr:txBody>
        </xdr:sp>
        <xdr:clientData fPrintsWithSheet="0"/>
      </xdr:twoCellAnchor>
    </mc:Choice>
    <mc:Fallback/>
  </mc:AlternateContent>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274320</xdr:colOff>
          <xdr:row>0</xdr:row>
          <xdr:rowOff>106680</xdr:rowOff>
        </xdr:from>
        <xdr:to>
          <xdr:col>15</xdr:col>
          <xdr:colOff>464820</xdr:colOff>
          <xdr:row>2</xdr:row>
          <xdr:rowOff>99060</xdr:rowOff>
        </xdr:to>
        <xdr:sp macro="" textlink="">
          <xdr:nvSpPr>
            <xdr:cNvPr id="104449" name="Button 1" hidden="1">
              <a:extLst>
                <a:ext uri="{63B3BB69-23CF-44E3-9099-C40C66FF867C}">
                  <a14:compatExt spid="_x0000_s104449"/>
                </a:ext>
                <a:ext uri="{FF2B5EF4-FFF2-40B4-BE49-F238E27FC236}">
                  <a16:creationId xmlns:a16="http://schemas.microsoft.com/office/drawing/2014/main" id="{00000000-0008-0000-2500-000001980100}"/>
                </a:ext>
              </a:extLst>
            </xdr:cNvPr>
            <xdr:cNvSpPr/>
          </xdr:nvSpPr>
          <xdr:spPr bwMode="auto">
            <a:xfrm>
              <a:off x="0" y="0"/>
              <a:ext cx="0" cy="0"/>
            </a:xfrm>
            <a:prstGeom prst="rect">
              <a:avLst/>
            </a:prstGeom>
            <a:noFill/>
            <a:ln w="9525">
              <a:miter lim="800000"/>
              <a:headEnd/>
              <a:tailEnd/>
            </a:ln>
          </xdr:spPr>
          <xdr:txBody>
            <a:bodyPr vertOverflow="clip" wrap="square" lIns="36576" tIns="54864" rIns="36576" bIns="54864" anchor="ctr" upright="1"/>
            <a:lstStyle/>
            <a:p>
              <a:pPr algn="ctr" rtl="0">
                <a:defRPr sz="1000"/>
              </a:pPr>
              <a:r>
                <a:rPr lang="ja-JP" altLang="en-US" sz="1200" b="0" i="0" u="none" strike="noStrike" baseline="0">
                  <a:solidFill>
                    <a:srgbClr val="000000"/>
                  </a:solidFill>
                  <a:latin typeface="メイリオ"/>
                  <a:ea typeface="メイリオ"/>
                </a:rPr>
                <a:t>データ削除</a:t>
              </a:r>
            </a:p>
          </xdr:txBody>
        </xdr:sp>
        <xdr:clientData fPrintsWithSheet="0"/>
      </xdr:twoCellAnchor>
    </mc:Choice>
    <mc:Fallback/>
  </mc:AlternateContent>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18</xdr:col>
          <xdr:colOff>373380</xdr:colOff>
          <xdr:row>1</xdr:row>
          <xdr:rowOff>106680</xdr:rowOff>
        </xdr:from>
        <xdr:to>
          <xdr:col>22</xdr:col>
          <xdr:colOff>556260</xdr:colOff>
          <xdr:row>3</xdr:row>
          <xdr:rowOff>106680</xdr:rowOff>
        </xdr:to>
        <xdr:sp macro="" textlink="">
          <xdr:nvSpPr>
            <xdr:cNvPr id="105473" name="Button 1" hidden="1">
              <a:extLst>
                <a:ext uri="{63B3BB69-23CF-44E3-9099-C40C66FF867C}">
                  <a14:compatExt spid="_x0000_s105473"/>
                </a:ext>
                <a:ext uri="{FF2B5EF4-FFF2-40B4-BE49-F238E27FC236}">
                  <a16:creationId xmlns:a16="http://schemas.microsoft.com/office/drawing/2014/main" id="{00000000-0008-0000-2600-0000019C0100}"/>
                </a:ext>
              </a:extLst>
            </xdr:cNvPr>
            <xdr:cNvSpPr/>
          </xdr:nvSpPr>
          <xdr:spPr bwMode="auto">
            <a:xfrm>
              <a:off x="0" y="0"/>
              <a:ext cx="0" cy="0"/>
            </a:xfrm>
            <a:prstGeom prst="rect">
              <a:avLst/>
            </a:prstGeom>
            <a:noFill/>
            <a:ln w="9525">
              <a:miter lim="800000"/>
              <a:headEnd/>
              <a:tailEnd/>
            </a:ln>
          </xdr:spPr>
          <xdr:txBody>
            <a:bodyPr vertOverflow="clip" wrap="square" lIns="36576" tIns="54864" rIns="36576" bIns="54864" anchor="ctr" upright="1"/>
            <a:lstStyle/>
            <a:p>
              <a:pPr algn="ctr" rtl="0">
                <a:defRPr sz="1000"/>
              </a:pPr>
              <a:r>
                <a:rPr lang="ja-JP" altLang="en-US" sz="1200" b="0" i="0" u="none" strike="noStrike" baseline="0">
                  <a:solidFill>
                    <a:srgbClr val="000000"/>
                  </a:solidFill>
                  <a:latin typeface="メイリオ"/>
                  <a:ea typeface="メイリオ"/>
                </a:rPr>
                <a:t>データ削除</a:t>
              </a:r>
            </a:p>
          </xdr:txBody>
        </xdr:sp>
        <xdr:clientData fPrintsWithSheet="0"/>
      </xdr:twoCellAnchor>
    </mc:Choice>
    <mc:Fallback/>
  </mc:AlternateContent>
</xdr:wsDr>
</file>

<file path=xl/drawings/drawing39.xml><?xml version="1.0" encoding="utf-8"?>
<xdr:wsDr xmlns:xdr="http://schemas.openxmlformats.org/drawingml/2006/spreadsheetDrawing" xmlns:a="http://schemas.openxmlformats.org/drawingml/2006/main">
  <xdr:twoCellAnchor>
    <xdr:from>
      <xdr:col>0</xdr:col>
      <xdr:colOff>225137</xdr:colOff>
      <xdr:row>2</xdr:row>
      <xdr:rowOff>98496</xdr:rowOff>
    </xdr:from>
    <xdr:to>
      <xdr:col>5</xdr:col>
      <xdr:colOff>129981</xdr:colOff>
      <xdr:row>19</xdr:row>
      <xdr:rowOff>144809</xdr:rowOff>
    </xdr:to>
    <xdr:graphicFrame macro="">
      <xdr:nvGraphicFramePr>
        <xdr:cNvPr id="2" name="グラフ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353722</xdr:colOff>
      <xdr:row>2</xdr:row>
      <xdr:rowOff>115164</xdr:rowOff>
    </xdr:from>
    <xdr:to>
      <xdr:col>10</xdr:col>
      <xdr:colOff>437159</xdr:colOff>
      <xdr:row>19</xdr:row>
      <xdr:rowOff>161477</xdr:rowOff>
    </xdr:to>
    <xdr:graphicFrame macro="">
      <xdr:nvGraphicFramePr>
        <xdr:cNvPr id="3" name="グラフ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215395</xdr:colOff>
      <xdr:row>22</xdr:row>
      <xdr:rowOff>63860</xdr:rowOff>
    </xdr:from>
    <xdr:to>
      <xdr:col>5</xdr:col>
      <xdr:colOff>120239</xdr:colOff>
      <xdr:row>40</xdr:row>
      <xdr:rowOff>43295</xdr:rowOff>
    </xdr:to>
    <xdr:graphicFrame macro="">
      <xdr:nvGraphicFramePr>
        <xdr:cNvPr id="4" name="グラフ 3">
          <a:extLst>
            <a:ext uri="{FF2B5EF4-FFF2-40B4-BE49-F238E27FC236}">
              <a16:creationId xmlns:a16="http://schemas.microsoft.com/office/drawing/2014/main" id="{00000000-0008-0000-2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343980</xdr:colOff>
      <xdr:row>22</xdr:row>
      <xdr:rowOff>149800</xdr:rowOff>
    </xdr:from>
    <xdr:to>
      <xdr:col>10</xdr:col>
      <xdr:colOff>427417</xdr:colOff>
      <xdr:row>40</xdr:row>
      <xdr:rowOff>22931</xdr:rowOff>
    </xdr:to>
    <xdr:graphicFrame macro="">
      <xdr:nvGraphicFramePr>
        <xdr:cNvPr id="5" name="グラフ 4">
          <a:extLst>
            <a:ext uri="{FF2B5EF4-FFF2-40B4-BE49-F238E27FC236}">
              <a16:creationId xmlns:a16="http://schemas.microsoft.com/office/drawing/2014/main" id="{00000000-0008-0000-2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214315</xdr:colOff>
      <xdr:row>0</xdr:row>
      <xdr:rowOff>83342</xdr:rowOff>
    </xdr:from>
    <xdr:to>
      <xdr:col>3</xdr:col>
      <xdr:colOff>464343</xdr:colOff>
      <xdr:row>2</xdr:row>
      <xdr:rowOff>83342</xdr:rowOff>
    </xdr:to>
    <xdr:sp macro="" textlink="">
      <xdr:nvSpPr>
        <xdr:cNvPr id="6" name="テキスト ボックス 5">
          <a:extLst>
            <a:ext uri="{FF2B5EF4-FFF2-40B4-BE49-F238E27FC236}">
              <a16:creationId xmlns:a16="http://schemas.microsoft.com/office/drawing/2014/main" id="{00000000-0008-0000-2900-000006000000}"/>
            </a:ext>
          </a:extLst>
        </xdr:cNvPr>
        <xdr:cNvSpPr txBox="1"/>
      </xdr:nvSpPr>
      <xdr:spPr>
        <a:xfrm>
          <a:off x="214315" y="83342"/>
          <a:ext cx="2135978" cy="342900"/>
        </a:xfrm>
        <a:prstGeom prst="round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メイリオ" panose="020B0604030504040204" pitchFamily="50" charset="-128"/>
              <a:ea typeface="メイリオ" panose="020B0604030504040204" pitchFamily="50" charset="-128"/>
            </a:rPr>
            <a:t>年齢区分　患者全体</a:t>
          </a:r>
        </a:p>
      </xdr:txBody>
    </xdr:sp>
    <xdr:clientData/>
  </xdr:twoCellAnchor>
  <xdr:twoCellAnchor>
    <xdr:from>
      <xdr:col>0</xdr:col>
      <xdr:colOff>198076</xdr:colOff>
      <xdr:row>20</xdr:row>
      <xdr:rowOff>60614</xdr:rowOff>
    </xdr:from>
    <xdr:to>
      <xdr:col>3</xdr:col>
      <xdr:colOff>448104</xdr:colOff>
      <xdr:row>22</xdr:row>
      <xdr:rowOff>60613</xdr:rowOff>
    </xdr:to>
    <xdr:sp macro="" textlink="">
      <xdr:nvSpPr>
        <xdr:cNvPr id="7" name="テキスト ボックス 6">
          <a:extLst>
            <a:ext uri="{FF2B5EF4-FFF2-40B4-BE49-F238E27FC236}">
              <a16:creationId xmlns:a16="http://schemas.microsoft.com/office/drawing/2014/main" id="{00000000-0008-0000-2900-000007000000}"/>
            </a:ext>
          </a:extLst>
        </xdr:cNvPr>
        <xdr:cNvSpPr txBox="1"/>
      </xdr:nvSpPr>
      <xdr:spPr>
        <a:xfrm>
          <a:off x="198076" y="3524250"/>
          <a:ext cx="2146369" cy="346363"/>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メイリオ" panose="020B0604030504040204" pitchFamily="50" charset="-128"/>
              <a:ea typeface="メイリオ" panose="020B0604030504040204" pitchFamily="50" charset="-128"/>
            </a:rPr>
            <a:t>年齢区分　一年以上</a:t>
          </a:r>
        </a:p>
      </xdr:txBody>
    </xdr:sp>
    <xdr:clientData/>
  </xdr:twoCellAnchor>
  <xdr:twoCellAnchor>
    <xdr:from>
      <xdr:col>0</xdr:col>
      <xdr:colOff>199159</xdr:colOff>
      <xdr:row>43</xdr:row>
      <xdr:rowOff>46543</xdr:rowOff>
    </xdr:from>
    <xdr:to>
      <xdr:col>5</xdr:col>
      <xdr:colOff>104003</xdr:colOff>
      <xdr:row>60</xdr:row>
      <xdr:rowOff>92856</xdr:rowOff>
    </xdr:to>
    <xdr:graphicFrame macro="">
      <xdr:nvGraphicFramePr>
        <xdr:cNvPr id="8" name="グラフ 7">
          <a:extLst>
            <a:ext uri="{FF2B5EF4-FFF2-40B4-BE49-F238E27FC236}">
              <a16:creationId xmlns:a16="http://schemas.microsoft.com/office/drawing/2014/main" id="{00000000-0008-0000-2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327744</xdr:colOff>
      <xdr:row>43</xdr:row>
      <xdr:rowOff>63211</xdr:rowOff>
    </xdr:from>
    <xdr:to>
      <xdr:col>10</xdr:col>
      <xdr:colOff>411181</xdr:colOff>
      <xdr:row>60</xdr:row>
      <xdr:rowOff>109524</xdr:rowOff>
    </xdr:to>
    <xdr:graphicFrame macro="">
      <xdr:nvGraphicFramePr>
        <xdr:cNvPr id="9" name="グラフ 8">
          <a:extLst>
            <a:ext uri="{FF2B5EF4-FFF2-40B4-BE49-F238E27FC236}">
              <a16:creationId xmlns:a16="http://schemas.microsoft.com/office/drawing/2014/main" id="{00000000-0008-0000-2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190500</xdr:colOff>
      <xdr:row>41</xdr:row>
      <xdr:rowOff>51955</xdr:rowOff>
    </xdr:from>
    <xdr:to>
      <xdr:col>3</xdr:col>
      <xdr:colOff>440528</xdr:colOff>
      <xdr:row>43</xdr:row>
      <xdr:rowOff>51955</xdr:rowOff>
    </xdr:to>
    <xdr:sp macro="" textlink="">
      <xdr:nvSpPr>
        <xdr:cNvPr id="10" name="テキスト ボックス 9">
          <a:extLst>
            <a:ext uri="{FF2B5EF4-FFF2-40B4-BE49-F238E27FC236}">
              <a16:creationId xmlns:a16="http://schemas.microsoft.com/office/drawing/2014/main" id="{00000000-0008-0000-2900-00000A000000}"/>
            </a:ext>
          </a:extLst>
        </xdr:cNvPr>
        <xdr:cNvSpPr txBox="1"/>
      </xdr:nvSpPr>
      <xdr:spPr>
        <a:xfrm>
          <a:off x="190500" y="7152410"/>
          <a:ext cx="2146369" cy="346363"/>
        </a:xfrm>
        <a:prstGeom prst="roundRect">
          <a:avLst/>
        </a:prstGeom>
        <a:solidFill>
          <a:srgbClr val="FAFDD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メイリオ" panose="020B0604030504040204" pitchFamily="50" charset="-128"/>
              <a:ea typeface="メイリオ" panose="020B0604030504040204" pitchFamily="50" charset="-128"/>
            </a:rPr>
            <a:t>年齢区分　</a:t>
          </a:r>
          <a:r>
            <a:rPr kumimoji="1" lang="en-US" altLang="ja-JP" sz="1400" b="1">
              <a:latin typeface="メイリオ" panose="020B0604030504040204" pitchFamily="50" charset="-128"/>
              <a:ea typeface="メイリオ" panose="020B0604030504040204" pitchFamily="50" charset="-128"/>
            </a:rPr>
            <a:t>65</a:t>
          </a:r>
          <a:r>
            <a:rPr kumimoji="1" lang="ja-JP" altLang="en-US" sz="1400" b="1">
              <a:latin typeface="メイリオ" panose="020B0604030504040204" pitchFamily="50" charset="-128"/>
              <a:ea typeface="メイリオ" panose="020B0604030504040204" pitchFamily="50" charset="-128"/>
            </a:rPr>
            <a:t>歳以上</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243840</xdr:colOff>
          <xdr:row>22</xdr:row>
          <xdr:rowOff>60960</xdr:rowOff>
        </xdr:from>
        <xdr:to>
          <xdr:col>10</xdr:col>
          <xdr:colOff>632460</xdr:colOff>
          <xdr:row>24</xdr:row>
          <xdr:rowOff>68580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drawings/drawing40.xml><?xml version="1.0" encoding="utf-8"?>
<xdr:wsDr xmlns:xdr="http://schemas.openxmlformats.org/drawingml/2006/spreadsheetDrawing" xmlns:a="http://schemas.openxmlformats.org/drawingml/2006/main">
  <xdr:twoCellAnchor>
    <xdr:from>
      <xdr:col>0</xdr:col>
      <xdr:colOff>225137</xdr:colOff>
      <xdr:row>2</xdr:row>
      <xdr:rowOff>98496</xdr:rowOff>
    </xdr:from>
    <xdr:to>
      <xdr:col>5</xdr:col>
      <xdr:colOff>129981</xdr:colOff>
      <xdr:row>19</xdr:row>
      <xdr:rowOff>144809</xdr:rowOff>
    </xdr:to>
    <xdr:graphicFrame macro="">
      <xdr:nvGraphicFramePr>
        <xdr:cNvPr id="2" name="グラフ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353722</xdr:colOff>
      <xdr:row>2</xdr:row>
      <xdr:rowOff>115164</xdr:rowOff>
    </xdr:from>
    <xdr:to>
      <xdr:col>10</xdr:col>
      <xdr:colOff>437159</xdr:colOff>
      <xdr:row>19</xdr:row>
      <xdr:rowOff>161477</xdr:rowOff>
    </xdr:to>
    <xdr:graphicFrame macro="">
      <xdr:nvGraphicFramePr>
        <xdr:cNvPr id="3" name="グラフ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215395</xdr:colOff>
      <xdr:row>22</xdr:row>
      <xdr:rowOff>63860</xdr:rowOff>
    </xdr:from>
    <xdr:to>
      <xdr:col>5</xdr:col>
      <xdr:colOff>120239</xdr:colOff>
      <xdr:row>39</xdr:row>
      <xdr:rowOff>110173</xdr:rowOff>
    </xdr:to>
    <xdr:graphicFrame macro="">
      <xdr:nvGraphicFramePr>
        <xdr:cNvPr id="4" name="グラフ 3">
          <a:extLst>
            <a:ext uri="{FF2B5EF4-FFF2-40B4-BE49-F238E27FC236}">
              <a16:creationId xmlns:a16="http://schemas.microsoft.com/office/drawing/2014/main" id="{00000000-0008-0000-2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214315</xdr:colOff>
      <xdr:row>0</xdr:row>
      <xdr:rowOff>83342</xdr:rowOff>
    </xdr:from>
    <xdr:to>
      <xdr:col>3</xdr:col>
      <xdr:colOff>464343</xdr:colOff>
      <xdr:row>2</xdr:row>
      <xdr:rowOff>83342</xdr:rowOff>
    </xdr:to>
    <xdr:sp macro="" textlink="">
      <xdr:nvSpPr>
        <xdr:cNvPr id="6" name="テキスト ボックス 5">
          <a:extLst>
            <a:ext uri="{FF2B5EF4-FFF2-40B4-BE49-F238E27FC236}">
              <a16:creationId xmlns:a16="http://schemas.microsoft.com/office/drawing/2014/main" id="{00000000-0008-0000-2A00-000006000000}"/>
            </a:ext>
          </a:extLst>
        </xdr:cNvPr>
        <xdr:cNvSpPr txBox="1"/>
      </xdr:nvSpPr>
      <xdr:spPr>
        <a:xfrm>
          <a:off x="214315" y="83342"/>
          <a:ext cx="2135978" cy="342900"/>
        </a:xfrm>
        <a:prstGeom prst="round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メイリオ" panose="020B0604030504040204" pitchFamily="50" charset="-128"/>
              <a:ea typeface="メイリオ" panose="020B0604030504040204" pitchFamily="50" charset="-128"/>
            </a:rPr>
            <a:t>疾患別　患者全体</a:t>
          </a:r>
        </a:p>
      </xdr:txBody>
    </xdr:sp>
    <xdr:clientData/>
  </xdr:twoCellAnchor>
  <xdr:twoCellAnchor>
    <xdr:from>
      <xdr:col>0</xdr:col>
      <xdr:colOff>198076</xdr:colOff>
      <xdr:row>20</xdr:row>
      <xdr:rowOff>60614</xdr:rowOff>
    </xdr:from>
    <xdr:to>
      <xdr:col>3</xdr:col>
      <xdr:colOff>448104</xdr:colOff>
      <xdr:row>22</xdr:row>
      <xdr:rowOff>60613</xdr:rowOff>
    </xdr:to>
    <xdr:sp macro="" textlink="">
      <xdr:nvSpPr>
        <xdr:cNvPr id="7" name="テキスト ボックス 6">
          <a:extLst>
            <a:ext uri="{FF2B5EF4-FFF2-40B4-BE49-F238E27FC236}">
              <a16:creationId xmlns:a16="http://schemas.microsoft.com/office/drawing/2014/main" id="{00000000-0008-0000-2A00-000007000000}"/>
            </a:ext>
          </a:extLst>
        </xdr:cNvPr>
        <xdr:cNvSpPr txBox="1"/>
      </xdr:nvSpPr>
      <xdr:spPr>
        <a:xfrm>
          <a:off x="198076" y="3489614"/>
          <a:ext cx="2135978" cy="342899"/>
        </a:xfrm>
        <a:prstGeom prst="round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メイリオ" panose="020B0604030504040204" pitchFamily="50" charset="-128"/>
              <a:ea typeface="メイリオ" panose="020B0604030504040204" pitchFamily="50" charset="-128"/>
            </a:rPr>
            <a:t>疾患別　一年以上</a:t>
          </a:r>
        </a:p>
      </xdr:txBody>
    </xdr:sp>
    <xdr:clientData/>
  </xdr:twoCellAnchor>
  <xdr:twoCellAnchor>
    <xdr:from>
      <xdr:col>0</xdr:col>
      <xdr:colOff>199159</xdr:colOff>
      <xdr:row>43</xdr:row>
      <xdr:rowOff>46543</xdr:rowOff>
    </xdr:from>
    <xdr:to>
      <xdr:col>5</xdr:col>
      <xdr:colOff>104003</xdr:colOff>
      <xdr:row>60</xdr:row>
      <xdr:rowOff>92856</xdr:rowOff>
    </xdr:to>
    <xdr:graphicFrame macro="">
      <xdr:nvGraphicFramePr>
        <xdr:cNvPr id="8" name="グラフ 7">
          <a:extLst>
            <a:ext uri="{FF2B5EF4-FFF2-40B4-BE49-F238E27FC236}">
              <a16:creationId xmlns:a16="http://schemas.microsoft.com/office/drawing/2014/main" id="{00000000-0008-0000-2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327744</xdr:colOff>
      <xdr:row>43</xdr:row>
      <xdr:rowOff>63211</xdr:rowOff>
    </xdr:from>
    <xdr:to>
      <xdr:col>10</xdr:col>
      <xdr:colOff>411181</xdr:colOff>
      <xdr:row>60</xdr:row>
      <xdr:rowOff>109524</xdr:rowOff>
    </xdr:to>
    <xdr:graphicFrame macro="">
      <xdr:nvGraphicFramePr>
        <xdr:cNvPr id="9" name="グラフ 8">
          <a:extLst>
            <a:ext uri="{FF2B5EF4-FFF2-40B4-BE49-F238E27FC236}">
              <a16:creationId xmlns:a16="http://schemas.microsoft.com/office/drawing/2014/main" id="{00000000-0008-0000-2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190500</xdr:colOff>
      <xdr:row>41</xdr:row>
      <xdr:rowOff>51955</xdr:rowOff>
    </xdr:from>
    <xdr:to>
      <xdr:col>3</xdr:col>
      <xdr:colOff>440528</xdr:colOff>
      <xdr:row>43</xdr:row>
      <xdr:rowOff>51955</xdr:rowOff>
    </xdr:to>
    <xdr:sp macro="" textlink="">
      <xdr:nvSpPr>
        <xdr:cNvPr id="10" name="テキスト ボックス 9">
          <a:extLst>
            <a:ext uri="{FF2B5EF4-FFF2-40B4-BE49-F238E27FC236}">
              <a16:creationId xmlns:a16="http://schemas.microsoft.com/office/drawing/2014/main" id="{00000000-0008-0000-2A00-00000A000000}"/>
            </a:ext>
          </a:extLst>
        </xdr:cNvPr>
        <xdr:cNvSpPr txBox="1"/>
      </xdr:nvSpPr>
      <xdr:spPr>
        <a:xfrm>
          <a:off x="190500" y="7081405"/>
          <a:ext cx="2135978" cy="342900"/>
        </a:xfrm>
        <a:prstGeom prst="roundRect">
          <a:avLst/>
        </a:prstGeom>
        <a:solidFill>
          <a:srgbClr val="FAFDD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メイリオ" panose="020B0604030504040204" pitchFamily="50" charset="-128"/>
              <a:ea typeface="メイリオ" panose="020B0604030504040204" pitchFamily="50" charset="-128"/>
            </a:rPr>
            <a:t>疾患別　</a:t>
          </a:r>
          <a:r>
            <a:rPr kumimoji="1" lang="en-US" altLang="ja-JP" sz="1400" b="1">
              <a:latin typeface="メイリオ" panose="020B0604030504040204" pitchFamily="50" charset="-128"/>
              <a:ea typeface="メイリオ" panose="020B0604030504040204" pitchFamily="50" charset="-128"/>
            </a:rPr>
            <a:t>65</a:t>
          </a:r>
          <a:r>
            <a:rPr kumimoji="1" lang="ja-JP" altLang="en-US" sz="1400" b="1">
              <a:latin typeface="メイリオ" panose="020B0604030504040204" pitchFamily="50" charset="-128"/>
              <a:ea typeface="メイリオ" panose="020B0604030504040204" pitchFamily="50" charset="-128"/>
            </a:rPr>
            <a:t>歳以上</a:t>
          </a:r>
        </a:p>
      </xdr:txBody>
    </xdr:sp>
    <xdr:clientData/>
  </xdr:twoCellAnchor>
  <xdr:twoCellAnchor>
    <xdr:from>
      <xdr:col>5</xdr:col>
      <xdr:colOff>337705</xdr:colOff>
      <xdr:row>22</xdr:row>
      <xdr:rowOff>69273</xdr:rowOff>
    </xdr:from>
    <xdr:to>
      <xdr:col>10</xdr:col>
      <xdr:colOff>415730</xdr:colOff>
      <xdr:row>39</xdr:row>
      <xdr:rowOff>115586</xdr:rowOff>
    </xdr:to>
    <xdr:graphicFrame macro="">
      <xdr:nvGraphicFramePr>
        <xdr:cNvPr id="11" name="グラフ 10">
          <a:extLst>
            <a:ext uri="{FF2B5EF4-FFF2-40B4-BE49-F238E27FC236}">
              <a16:creationId xmlns:a16="http://schemas.microsoft.com/office/drawing/2014/main" id="{00000000-0008-0000-2A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284786</xdr:colOff>
      <xdr:row>2</xdr:row>
      <xdr:rowOff>167790</xdr:rowOff>
    </xdr:from>
    <xdr:to>
      <xdr:col>9</xdr:col>
      <xdr:colOff>287786</xdr:colOff>
      <xdr:row>20</xdr:row>
      <xdr:rowOff>106290</xdr:rowOff>
    </xdr:to>
    <xdr:graphicFrame macro="">
      <xdr:nvGraphicFramePr>
        <xdr:cNvPr id="11" name="グラフ 10">
          <a:extLst>
            <a:ext uri="{FF2B5EF4-FFF2-40B4-BE49-F238E27FC236}">
              <a16:creationId xmlns:a16="http://schemas.microsoft.com/office/drawing/2014/main" id="{00000000-0008-0000-2B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259288</xdr:colOff>
      <xdr:row>21</xdr:row>
      <xdr:rowOff>209259</xdr:rowOff>
    </xdr:from>
    <xdr:to>
      <xdr:col>9</xdr:col>
      <xdr:colOff>262288</xdr:colOff>
      <xdr:row>39</xdr:row>
      <xdr:rowOff>147759</xdr:rowOff>
    </xdr:to>
    <xdr:graphicFrame macro="">
      <xdr:nvGraphicFramePr>
        <xdr:cNvPr id="12" name="グラフ 11">
          <a:extLst>
            <a:ext uri="{FF2B5EF4-FFF2-40B4-BE49-F238E27FC236}">
              <a16:creationId xmlns:a16="http://schemas.microsoft.com/office/drawing/2014/main" id="{00000000-0008-0000-2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103909</xdr:colOff>
      <xdr:row>0</xdr:row>
      <xdr:rowOff>138545</xdr:rowOff>
    </xdr:from>
    <xdr:to>
      <xdr:col>3</xdr:col>
      <xdr:colOff>250028</xdr:colOff>
      <xdr:row>1</xdr:row>
      <xdr:rowOff>242454</xdr:rowOff>
    </xdr:to>
    <xdr:sp macro="" textlink="">
      <xdr:nvSpPr>
        <xdr:cNvPr id="13" name="テキスト ボックス 12">
          <a:extLst>
            <a:ext uri="{FF2B5EF4-FFF2-40B4-BE49-F238E27FC236}">
              <a16:creationId xmlns:a16="http://schemas.microsoft.com/office/drawing/2014/main" id="{00000000-0008-0000-2B00-00000D000000}"/>
            </a:ext>
          </a:extLst>
        </xdr:cNvPr>
        <xdr:cNvSpPr txBox="1"/>
      </xdr:nvSpPr>
      <xdr:spPr>
        <a:xfrm>
          <a:off x="103909" y="138545"/>
          <a:ext cx="2146369" cy="346364"/>
        </a:xfrm>
        <a:prstGeom prst="round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メイリオ" panose="020B0604030504040204" pitchFamily="50" charset="-128"/>
              <a:ea typeface="メイリオ" panose="020B0604030504040204" pitchFamily="50" charset="-128"/>
            </a:rPr>
            <a:t>在院期間</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312303</xdr:colOff>
      <xdr:row>3</xdr:row>
      <xdr:rowOff>6922</xdr:rowOff>
    </xdr:from>
    <xdr:to>
      <xdr:col>9</xdr:col>
      <xdr:colOff>277203</xdr:colOff>
      <xdr:row>21</xdr:row>
      <xdr:rowOff>40672</xdr:rowOff>
    </xdr:to>
    <xdr:graphicFrame macro="">
      <xdr:nvGraphicFramePr>
        <xdr:cNvPr id="2" name="グラフ 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307972</xdr:colOff>
      <xdr:row>21</xdr:row>
      <xdr:rowOff>221958</xdr:rowOff>
    </xdr:from>
    <xdr:to>
      <xdr:col>9</xdr:col>
      <xdr:colOff>272872</xdr:colOff>
      <xdr:row>40</xdr:row>
      <xdr:rowOff>17583</xdr:rowOff>
    </xdr:to>
    <xdr:graphicFrame macro="">
      <xdr:nvGraphicFramePr>
        <xdr:cNvPr id="3" name="グラフ 2">
          <a:extLst>
            <a:ext uri="{FF2B5EF4-FFF2-40B4-BE49-F238E27FC236}">
              <a16:creationId xmlns:a16="http://schemas.microsoft.com/office/drawing/2014/main" id="{00000000-0008-0000-2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103909</xdr:colOff>
      <xdr:row>0</xdr:row>
      <xdr:rowOff>138545</xdr:rowOff>
    </xdr:from>
    <xdr:to>
      <xdr:col>3</xdr:col>
      <xdr:colOff>250028</xdr:colOff>
      <xdr:row>1</xdr:row>
      <xdr:rowOff>242454</xdr:rowOff>
    </xdr:to>
    <xdr:sp macro="" textlink="">
      <xdr:nvSpPr>
        <xdr:cNvPr id="4" name="テキスト ボックス 3">
          <a:extLst>
            <a:ext uri="{FF2B5EF4-FFF2-40B4-BE49-F238E27FC236}">
              <a16:creationId xmlns:a16="http://schemas.microsoft.com/office/drawing/2014/main" id="{00000000-0008-0000-2C00-000004000000}"/>
            </a:ext>
          </a:extLst>
        </xdr:cNvPr>
        <xdr:cNvSpPr txBox="1"/>
      </xdr:nvSpPr>
      <xdr:spPr>
        <a:xfrm>
          <a:off x="103909" y="138545"/>
          <a:ext cx="2317819" cy="342034"/>
        </a:xfrm>
        <a:prstGeom prst="roundRect">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メイリオ" panose="020B0604030504040204" pitchFamily="50" charset="-128"/>
              <a:ea typeface="メイリオ" panose="020B0604030504040204" pitchFamily="50" charset="-128"/>
            </a:rPr>
            <a:t>在院期間</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381000</xdr:colOff>
      <xdr:row>0</xdr:row>
      <xdr:rowOff>158750</xdr:rowOff>
    </xdr:from>
    <xdr:to>
      <xdr:col>2</xdr:col>
      <xdr:colOff>1797119</xdr:colOff>
      <xdr:row>0</xdr:row>
      <xdr:rowOff>988219</xdr:rowOff>
    </xdr:to>
    <xdr:sp macro="" textlink="">
      <xdr:nvSpPr>
        <xdr:cNvPr id="2" name="テキスト ボックス 1">
          <a:extLst>
            <a:ext uri="{FF2B5EF4-FFF2-40B4-BE49-F238E27FC236}">
              <a16:creationId xmlns:a16="http://schemas.microsoft.com/office/drawing/2014/main" id="{00000000-0008-0000-2D00-000002000000}"/>
            </a:ext>
          </a:extLst>
        </xdr:cNvPr>
        <xdr:cNvSpPr txBox="1"/>
      </xdr:nvSpPr>
      <xdr:spPr>
        <a:xfrm>
          <a:off x="381000" y="158750"/>
          <a:ext cx="3082994" cy="829469"/>
        </a:xfrm>
        <a:prstGeom prst="roundRect">
          <a:avLst/>
        </a:prstGeom>
        <a:solidFill>
          <a:srgbClr val="FF7C8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メイリオ" panose="020B0604030504040204" pitchFamily="50" charset="-128"/>
              <a:ea typeface="メイリオ" panose="020B0604030504040204" pitchFamily="50" charset="-128"/>
            </a:rPr>
            <a:t>退院阻害要因</a:t>
          </a:r>
        </a:p>
      </xdr:txBody>
    </xdr:sp>
    <xdr:clientData/>
  </xdr:twoCellAnchor>
  <xdr:twoCellAnchor>
    <xdr:from>
      <xdr:col>0</xdr:col>
      <xdr:colOff>0</xdr:colOff>
      <xdr:row>15</xdr:row>
      <xdr:rowOff>476250</xdr:rowOff>
    </xdr:from>
    <xdr:to>
      <xdr:col>3</xdr:col>
      <xdr:colOff>438000</xdr:colOff>
      <xdr:row>19</xdr:row>
      <xdr:rowOff>525375</xdr:rowOff>
    </xdr:to>
    <xdr:graphicFrame macro="">
      <xdr:nvGraphicFramePr>
        <xdr:cNvPr id="5" name="グラフ 4">
          <a:extLst>
            <a:ext uri="{FF2B5EF4-FFF2-40B4-BE49-F238E27FC236}">
              <a16:creationId xmlns:a16="http://schemas.microsoft.com/office/drawing/2014/main" id="{00000000-0008-0000-2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476248</xdr:colOff>
      <xdr:row>15</xdr:row>
      <xdr:rowOff>476252</xdr:rowOff>
    </xdr:from>
    <xdr:to>
      <xdr:col>6</xdr:col>
      <xdr:colOff>451310</xdr:colOff>
      <xdr:row>19</xdr:row>
      <xdr:rowOff>525377</xdr:rowOff>
    </xdr:to>
    <xdr:graphicFrame macro="">
      <xdr:nvGraphicFramePr>
        <xdr:cNvPr id="6" name="グラフ 5">
          <a:extLst>
            <a:ext uri="{FF2B5EF4-FFF2-40B4-BE49-F238E27FC236}">
              <a16:creationId xmlns:a16="http://schemas.microsoft.com/office/drawing/2014/main" id="{00000000-0008-0000-2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11</xdr:row>
      <xdr:rowOff>321469</xdr:rowOff>
    </xdr:from>
    <xdr:to>
      <xdr:col>3</xdr:col>
      <xdr:colOff>438000</xdr:colOff>
      <xdr:row>15</xdr:row>
      <xdr:rowOff>370594</xdr:rowOff>
    </xdr:to>
    <xdr:graphicFrame macro="">
      <xdr:nvGraphicFramePr>
        <xdr:cNvPr id="7" name="グラフ 6">
          <a:extLst>
            <a:ext uri="{FF2B5EF4-FFF2-40B4-BE49-F238E27FC236}">
              <a16:creationId xmlns:a16="http://schemas.microsoft.com/office/drawing/2014/main" id="{00000000-0008-0000-2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488158</xdr:colOff>
      <xdr:row>11</xdr:row>
      <xdr:rowOff>333374</xdr:rowOff>
    </xdr:from>
    <xdr:to>
      <xdr:col>6</xdr:col>
      <xdr:colOff>463220</xdr:colOff>
      <xdr:row>15</xdr:row>
      <xdr:rowOff>382499</xdr:rowOff>
    </xdr:to>
    <xdr:graphicFrame macro="">
      <xdr:nvGraphicFramePr>
        <xdr:cNvPr id="8" name="グラフ 7">
          <a:extLst>
            <a:ext uri="{FF2B5EF4-FFF2-40B4-BE49-F238E27FC236}">
              <a16:creationId xmlns:a16="http://schemas.microsoft.com/office/drawing/2014/main" id="{00000000-0008-0000-2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11908</xdr:colOff>
      <xdr:row>10</xdr:row>
      <xdr:rowOff>333375</xdr:rowOff>
    </xdr:from>
    <xdr:to>
      <xdr:col>2</xdr:col>
      <xdr:colOff>2000252</xdr:colOff>
      <xdr:row>11</xdr:row>
      <xdr:rowOff>127000</xdr:rowOff>
    </xdr:to>
    <xdr:sp macro="" textlink="">
      <xdr:nvSpPr>
        <xdr:cNvPr id="13" name="テキスト ボックス 12">
          <a:extLst>
            <a:ext uri="{FF2B5EF4-FFF2-40B4-BE49-F238E27FC236}">
              <a16:creationId xmlns:a16="http://schemas.microsoft.com/office/drawing/2014/main" id="{00000000-0008-0000-2D00-00000D000000}"/>
            </a:ext>
          </a:extLst>
        </xdr:cNvPr>
        <xdr:cNvSpPr txBox="1"/>
      </xdr:nvSpPr>
      <xdr:spPr>
        <a:xfrm>
          <a:off x="1131096" y="9346406"/>
          <a:ext cx="1988344" cy="591344"/>
        </a:xfrm>
        <a:prstGeom prst="ellipse">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メイリオ" panose="020B0604030504040204" pitchFamily="50" charset="-128"/>
              <a:ea typeface="メイリオ" panose="020B0604030504040204" pitchFamily="50" charset="-128"/>
            </a:rPr>
            <a:t>患者全体</a:t>
          </a:r>
        </a:p>
      </xdr:txBody>
    </xdr:sp>
    <xdr:clientData/>
  </xdr:twoCellAnchor>
  <xdr:twoCellAnchor>
    <xdr:from>
      <xdr:col>3</xdr:col>
      <xdr:colOff>735807</xdr:colOff>
      <xdr:row>10</xdr:row>
      <xdr:rowOff>390524</xdr:rowOff>
    </xdr:from>
    <xdr:to>
      <xdr:col>6</xdr:col>
      <xdr:colOff>11907</xdr:colOff>
      <xdr:row>11</xdr:row>
      <xdr:rowOff>184149</xdr:rowOff>
    </xdr:to>
    <xdr:sp macro="" textlink="">
      <xdr:nvSpPr>
        <xdr:cNvPr id="14" name="テキスト ボックス 13">
          <a:extLst>
            <a:ext uri="{FF2B5EF4-FFF2-40B4-BE49-F238E27FC236}">
              <a16:creationId xmlns:a16="http://schemas.microsoft.com/office/drawing/2014/main" id="{00000000-0008-0000-2D00-00000E000000}"/>
            </a:ext>
          </a:extLst>
        </xdr:cNvPr>
        <xdr:cNvSpPr txBox="1"/>
      </xdr:nvSpPr>
      <xdr:spPr>
        <a:xfrm>
          <a:off x="4545807" y="9403555"/>
          <a:ext cx="3729038" cy="591344"/>
        </a:xfrm>
        <a:prstGeom prst="ellipse">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latin typeface="メイリオ" panose="020B0604030504040204" pitchFamily="50" charset="-128"/>
              <a:ea typeface="メイリオ" panose="020B0604030504040204" pitchFamily="50" charset="-128"/>
            </a:rPr>
            <a:t>1</a:t>
          </a:r>
          <a:r>
            <a:rPr kumimoji="1" lang="ja-JP" altLang="en-US" sz="1600" b="1">
              <a:latin typeface="メイリオ" panose="020B0604030504040204" pitchFamily="50" charset="-128"/>
              <a:ea typeface="メイリオ" panose="020B0604030504040204" pitchFamily="50" charset="-128"/>
            </a:rPr>
            <a:t>年以上　寛解・院内寛解</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328083</xdr:colOff>
      <xdr:row>0</xdr:row>
      <xdr:rowOff>179916</xdr:rowOff>
    </xdr:from>
    <xdr:to>
      <xdr:col>8</xdr:col>
      <xdr:colOff>436750</xdr:colOff>
      <xdr:row>42</xdr:row>
      <xdr:rowOff>120916</xdr:rowOff>
    </xdr:to>
    <xdr:graphicFrame macro="">
      <xdr:nvGraphicFramePr>
        <xdr:cNvPr id="2" name="グラフ 1">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317500</xdr:colOff>
      <xdr:row>44</xdr:row>
      <xdr:rowOff>222251</xdr:rowOff>
    </xdr:from>
    <xdr:to>
      <xdr:col>8</xdr:col>
      <xdr:colOff>426167</xdr:colOff>
      <xdr:row>86</xdr:row>
      <xdr:rowOff>163251</xdr:rowOff>
    </xdr:to>
    <xdr:graphicFrame macro="">
      <xdr:nvGraphicFramePr>
        <xdr:cNvPr id="3" name="グラフ 2">
          <a:extLst>
            <a:ext uri="{FF2B5EF4-FFF2-40B4-BE49-F238E27FC236}">
              <a16:creationId xmlns:a16="http://schemas.microsoft.com/office/drawing/2014/main" id="{00000000-0008-0000-2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328083</xdr:colOff>
      <xdr:row>0</xdr:row>
      <xdr:rowOff>179916</xdr:rowOff>
    </xdr:from>
    <xdr:to>
      <xdr:col>8</xdr:col>
      <xdr:colOff>436750</xdr:colOff>
      <xdr:row>42</xdr:row>
      <xdr:rowOff>120916</xdr:rowOff>
    </xdr:to>
    <xdr:graphicFrame macro="">
      <xdr:nvGraphicFramePr>
        <xdr:cNvPr id="2" name="グラフ 1">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317500</xdr:colOff>
      <xdr:row>44</xdr:row>
      <xdr:rowOff>222251</xdr:rowOff>
    </xdr:from>
    <xdr:to>
      <xdr:col>8</xdr:col>
      <xdr:colOff>426167</xdr:colOff>
      <xdr:row>86</xdr:row>
      <xdr:rowOff>163251</xdr:rowOff>
    </xdr:to>
    <xdr:graphicFrame macro="">
      <xdr:nvGraphicFramePr>
        <xdr:cNvPr id="3" name="グラフ 2">
          <a:extLst>
            <a:ext uri="{FF2B5EF4-FFF2-40B4-BE49-F238E27FC236}">
              <a16:creationId xmlns:a16="http://schemas.microsoft.com/office/drawing/2014/main" id="{00000000-0008-0000-2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60960</xdr:colOff>
          <xdr:row>1</xdr:row>
          <xdr:rowOff>190500</xdr:rowOff>
        </xdr:from>
        <xdr:to>
          <xdr:col>5</xdr:col>
          <xdr:colOff>464820</xdr:colOff>
          <xdr:row>3</xdr:row>
          <xdr:rowOff>144780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297180</xdr:colOff>
          <xdr:row>4</xdr:row>
          <xdr:rowOff>7620</xdr:rowOff>
        </xdr:from>
        <xdr:to>
          <xdr:col>11</xdr:col>
          <xdr:colOff>1440180</xdr:colOff>
          <xdr:row>5</xdr:row>
          <xdr:rowOff>160020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441960</xdr:colOff>
          <xdr:row>15</xdr:row>
          <xdr:rowOff>220980</xdr:rowOff>
        </xdr:from>
        <xdr:to>
          <xdr:col>10</xdr:col>
          <xdr:colOff>838200</xdr:colOff>
          <xdr:row>18</xdr:row>
          <xdr:rowOff>106680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700-0000013000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358140</xdr:colOff>
          <xdr:row>3</xdr:row>
          <xdr:rowOff>205740</xdr:rowOff>
        </xdr:from>
        <xdr:to>
          <xdr:col>10</xdr:col>
          <xdr:colOff>449580</xdr:colOff>
          <xdr:row>6</xdr:row>
          <xdr:rowOff>38100</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00000000-0008-0000-0800-0000013400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472440</xdr:colOff>
          <xdr:row>22</xdr:row>
          <xdr:rowOff>99060</xdr:rowOff>
        </xdr:from>
        <xdr:to>
          <xdr:col>11</xdr:col>
          <xdr:colOff>38100</xdr:colOff>
          <xdr:row>24</xdr:row>
          <xdr:rowOff>175260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900-000001380000}"/>
                </a:ext>
              </a:extLst>
            </xdr:cNvPr>
            <xdr:cNvSpPr/>
          </xdr:nvSpPr>
          <xdr:spPr bwMode="auto">
            <a:xfrm>
              <a:off x="0" y="0"/>
              <a:ext cx="0" cy="0"/>
            </a:xfrm>
            <a:prstGeom prst="rect">
              <a:avLst/>
            </a:prstGeom>
            <a:noFill/>
            <a:ln w="9525">
              <a:miter lim="800000"/>
              <a:headEnd/>
              <a:tailEnd/>
            </a:ln>
          </xdr:spPr>
          <xdr:txBody>
            <a:bodyPr vertOverflow="clip" wrap="square" lIns="36576" tIns="50292" rIns="36576" bIns="50292" anchor="ctr" upright="1"/>
            <a:lstStyle/>
            <a:p>
              <a:pPr algn="ctr" rtl="0">
                <a:defRPr sz="1000"/>
              </a:pPr>
              <a:r>
                <a:rPr lang="ja-JP" altLang="en-US" sz="1100" b="0" i="0" u="none" strike="noStrike" baseline="0">
                  <a:solidFill>
                    <a:srgbClr val="0066CC"/>
                  </a:solidFill>
                  <a:latin typeface="メイリオ"/>
                  <a:ea typeface="メイリオ"/>
                </a:rPr>
                <a:t>データ削除</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F94EE37F-DC4F-4DAD-851F-0774C8B4FDB6}" name="年齢区分" displayName="年齢区分" ref="K4:L13" totalsRowShown="0" tableBorderDxfId="1027">
  <autoFilter ref="K4:L13" xr:uid="{F94EE37F-DC4F-4DAD-851F-0774C8B4FDB6}"/>
  <tableColumns count="2">
    <tableColumn id="1" xr3:uid="{36E59808-8F24-493C-BCC1-9DCB3865E533}" name="行ラベル" dataDxfId="1026"/>
    <tableColumn id="2" xr3:uid="{2F217D31-7B48-4918-A4EA-6BDD75E4416C}" name="データの個数 / 年齢" dataDxfId="1025"/>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EC8610F-DD98-46C0-9A82-5D56AAF0DB6C}" name="疾患別＿1年以上" displayName="疾患別＿1年以上" ref="M4:N22" totalsRowShown="0" headerRowDxfId="998">
  <autoFilter ref="M4:N22" xr:uid="{0EC8610F-DD98-46C0-9A82-5D56AAF0DB6C}"/>
  <tableColumns count="2">
    <tableColumn id="1" xr3:uid="{78B78E23-619C-4A31-857E-3091F9D0F440}" name="行ラベル" dataDxfId="997"/>
    <tableColumn id="2" xr3:uid="{24A63640-F810-4590-A484-D027A7ABF59C}" name="データの個数 / 疾患名" dataDxfId="996"/>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98320129-70A9-4626-9082-F5174107EF56}" name="疾患別＿1年以上＿寛解" displayName="疾患別＿1年以上＿寛解" ref="P4:Q22" totalsRowShown="0" headerRowDxfId="995" tableBorderDxfId="994">
  <autoFilter ref="P4:Q22" xr:uid="{98320129-70A9-4626-9082-F5174107EF56}"/>
  <tableColumns count="2">
    <tableColumn id="1" xr3:uid="{31E458C3-9262-49CD-90F4-E5F6802517F6}" name="行ラベル"/>
    <tableColumn id="2" xr3:uid="{2027BDA6-8AEA-46F9-965B-A920068649A7}" name="データの個数 / 疾患名" dataDxfId="99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C2C1CF9-6272-463C-8C6C-901858CF0794}" name="疾患別＿1年以上＿院内寛解" displayName="疾患別＿1年以上＿院内寛解" ref="S4:T22" totalsRowShown="0" headerRowDxfId="992" headerRowBorderDxfId="991" tableBorderDxfId="990">
  <autoFilter ref="S4:T22" xr:uid="{EC2C1CF9-6272-463C-8C6C-901858CF0794}"/>
  <tableColumns count="2">
    <tableColumn id="1" xr3:uid="{BF9FFD13-0BB7-4E12-8396-A1211413A0F9}" name="行ラベル" dataDxfId="989"/>
    <tableColumn id="2" xr3:uid="{C7032434-02ED-40BF-8770-FCAB7D8A5E22}" name="データの個数 / 疾患名" dataDxfId="988"/>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9000000}" name="疾患別＿65歳以上" displayName="疾患別＿65歳以上" ref="L5:M23" totalsRowShown="0" headerRowDxfId="987">
  <autoFilter ref="L5:M23" xr:uid="{00000000-0009-0000-0100-000019000000}">
    <filterColumn colId="0" hiddenButton="1"/>
    <filterColumn colId="1" hiddenButton="1"/>
  </autoFilter>
  <tableColumns count="2">
    <tableColumn id="1" xr3:uid="{00000000-0010-0000-1900-000001000000}" name="行ラベル" dataDxfId="986"/>
    <tableColumn id="2" xr3:uid="{00000000-0010-0000-1900-000002000000}" name="データの個数 / 疾患名" dataDxfId="985"/>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A000000}" name="疾患別＿65歳以上＿寛解・院内寛解" displayName="疾患別＿65歳以上＿寛解・院内寛解" ref="O5:P23" totalsRowShown="0" tableBorderDxfId="984">
  <autoFilter ref="O5:P23" xr:uid="{00000000-0009-0000-0100-00001A000000}">
    <filterColumn colId="0" hiddenButton="1"/>
    <filterColumn colId="1" hiddenButton="1"/>
  </autoFilter>
  <tableColumns count="2">
    <tableColumn id="1" xr3:uid="{00000000-0010-0000-1A00-000001000000}" name="行ラベル"/>
    <tableColumn id="2" xr3:uid="{00000000-0010-0000-1A00-000002000000}" name="データの個数 / 疾患名" dataDxfId="983"/>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9B3090F-24C3-4095-AC36-35CA17BFCD47}" name="在院期間＿65歳以上" displayName="在院期間＿65歳以上" ref="M5:N21" totalsRowShown="0" tableBorderDxfId="982">
  <autoFilter ref="M5:N21" xr:uid="{29B3090F-24C3-4095-AC36-35CA17BFCD47}"/>
  <tableColumns count="2">
    <tableColumn id="1" xr3:uid="{151DDCA9-855A-4706-81FE-26E3957CB038}" name="行ラベル" dataDxfId="981"/>
    <tableColumn id="2" xr3:uid="{B4CBB018-2705-474B-AC8B-48E91B69E3DB}" name="データの個数 / 在院" dataDxfId="98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E73B0BB-BD2A-4922-A629-611A67256E6A}" name="在院期間＿65歳以上＿寛解・院内寛解" displayName="在院期間＿65歳以上＿寛解・院内寛解" ref="P5:Q21" totalsRowShown="0" tableBorderDxfId="979">
  <autoFilter ref="P5:Q21" xr:uid="{1E73B0BB-BD2A-4922-A629-611A67256E6A}"/>
  <tableColumns count="2">
    <tableColumn id="1" xr3:uid="{5D298F90-90B6-4BB3-9804-078878A67CDF}" name="行ラベル" dataDxfId="978"/>
    <tableColumn id="2" xr3:uid="{C822E39E-23A7-49D8-890B-631C391F6547}" name="データの個数 / 在院" dataDxfId="977"/>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D000000}" name="退院予定有無×年齢階層" displayName="退院予定有無×年齢階層" ref="H3:J6" totalsRowShown="0">
  <autoFilter ref="H3:J6" xr:uid="{00000000-0009-0000-0100-000020000000}">
    <filterColumn colId="0" hiddenButton="1"/>
    <filterColumn colId="1" hiddenButton="1"/>
    <filterColumn colId="2" hiddenButton="1"/>
  </autoFilter>
  <tableColumns count="3">
    <tableColumn id="1" xr3:uid="{00000000-0010-0000-1D00-000001000000}" name="行ラベル" dataDxfId="976"/>
    <tableColumn id="2" xr3:uid="{00000000-0010-0000-1D00-000002000000}" name="65歳以上" dataDxfId="975"/>
    <tableColumn id="3" xr3:uid="{00000000-0010-0000-1D00-000003000000}" name="65歳未満"/>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阻害要因有無×年齢階層" displayName="阻害要因有無×年齢階層" ref="H9:J11" totalsRowShown="0">
  <autoFilter ref="H9:J11" xr:uid="{00000000-0009-0000-0100-000021000000}">
    <filterColumn colId="0" hiddenButton="1"/>
    <filterColumn colId="1" hiddenButton="1"/>
    <filterColumn colId="2" hiddenButton="1"/>
  </autoFilter>
  <tableColumns count="3">
    <tableColumn id="1" xr3:uid="{00000000-0010-0000-1E00-000001000000}" name="行ラベル" dataDxfId="974"/>
    <tableColumn id="2" xr3:uid="{00000000-0010-0000-1E00-000002000000}" name="65歳以上" dataDxfId="973"/>
    <tableColumn id="3" xr3:uid="{00000000-0010-0000-1E00-000003000000}" name="65歳未満" dataDxfId="972"/>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F000000}" name="阻害要因×年齢階層" displayName="阻害要因×年齢階層" ref="H13:J33" totalsRowShown="0">
  <autoFilter ref="H13:J33" xr:uid="{00000000-0009-0000-0100-000022000000}">
    <filterColumn colId="0" hiddenButton="1"/>
    <filterColumn colId="1" hiddenButton="1"/>
    <filterColumn colId="2" hiddenButton="1"/>
  </autoFilter>
  <tableColumns count="3">
    <tableColumn id="1" xr3:uid="{00000000-0010-0000-1F00-000001000000}" name="値" dataDxfId="971"/>
    <tableColumn id="2" xr3:uid="{00000000-0010-0000-1F00-000002000000}" name="65歳以上" dataDxfId="970"/>
    <tableColumn id="3" xr3:uid="{00000000-0010-0000-1F00-000003000000}" name="65歳未満" dataDxfId="96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BC8B3BC5-B923-4495-AE27-CC43A4788395}" name="年齢区分＿寛解" displayName="年齢区分＿寛解" ref="N4:O13" totalsRowShown="0" tableBorderDxfId="1024">
  <autoFilter ref="N4:O13" xr:uid="{BC8B3BC5-B923-4495-AE27-CC43A4788395}"/>
  <tableColumns count="2">
    <tableColumn id="1" xr3:uid="{F87F7BE5-341F-42EB-8912-66C287EAF5EF}" name="行ラベル" dataDxfId="1023"/>
    <tableColumn id="2" xr3:uid="{B75FFF87-EEAD-4701-B13A-486021A3DC71}" name="データの個数 / 年齢" dataDxfId="102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0000000}" name="退院予定有無×年齢階層＿寛解・院内寛解" displayName="退院予定有無×年齢階層＿寛解・院内寛解" ref="H37:J40" totalsRowShown="0">
  <autoFilter ref="H37:J40" xr:uid="{00000000-0009-0000-0100-000023000000}">
    <filterColumn colId="0" hiddenButton="1"/>
    <filterColumn colId="1" hiddenButton="1"/>
    <filterColumn colId="2" hiddenButton="1"/>
  </autoFilter>
  <tableColumns count="3">
    <tableColumn id="1" xr3:uid="{00000000-0010-0000-2000-000001000000}" name="行ラベル" dataDxfId="968"/>
    <tableColumn id="2" xr3:uid="{00000000-0010-0000-2000-000002000000}" name="65歳以上" dataDxfId="967"/>
    <tableColumn id="3" xr3:uid="{00000000-0010-0000-2000-000003000000}" name="65歳未満" dataDxfId="966"/>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1000000}" name="阻害要因有無×年齢階層＿寛解・院内寛解" displayName="阻害要因有無×年齢階層＿寛解・院内寛解" ref="H43:J45" totalsRowShown="0">
  <autoFilter ref="H43:J45" xr:uid="{00000000-0009-0000-0100-000024000000}">
    <filterColumn colId="0" hiddenButton="1"/>
    <filterColumn colId="1" hiddenButton="1"/>
    <filterColumn colId="2" hiddenButton="1"/>
  </autoFilter>
  <tableColumns count="3">
    <tableColumn id="1" xr3:uid="{00000000-0010-0000-2100-000001000000}" name="行ラベル" dataDxfId="965"/>
    <tableColumn id="2" xr3:uid="{00000000-0010-0000-2100-000002000000}" name="65歳以上" dataDxfId="964"/>
    <tableColumn id="3" xr3:uid="{00000000-0010-0000-2100-000003000000}" name="65歳未満" dataDxfId="963"/>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2000000}" name="阻害要因×年齢階層＿寛解・院内寛解" displayName="阻害要因×年齢階層＿寛解・院内寛解" ref="H47:J67" totalsRowShown="0">
  <autoFilter ref="H47:J67" xr:uid="{00000000-0009-0000-0100-000025000000}">
    <filterColumn colId="0" hiddenButton="1"/>
    <filterColumn colId="1" hiddenButton="1"/>
    <filterColumn colId="2" hiddenButton="1"/>
  </autoFilter>
  <tableColumns count="3">
    <tableColumn id="1" xr3:uid="{00000000-0010-0000-2200-000001000000}" name="値" dataDxfId="962"/>
    <tableColumn id="2" xr3:uid="{00000000-0010-0000-2200-000002000000}" name="65歳以上" dataDxfId="961"/>
    <tableColumn id="3" xr3:uid="{00000000-0010-0000-2200-000003000000}" name="65歳未満" dataDxfId="960"/>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3000000}" name="阻害要因有無×在院期間区分" displayName="阻害要因有無×在院期間区分" ref="O8:AE11" totalsRowShown="0" headerRowDxfId="959" dataDxfId="958">
  <autoFilter ref="O8:AE11" xr:uid="{00000000-0009-0000-0100-00002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2300-000001000000}" name="行ラベル" dataDxfId="957"/>
    <tableColumn id="2" xr3:uid="{00000000-0010-0000-2300-000002000000}" name="01_1ヶ月未満" dataDxfId="956"/>
    <tableColumn id="3" xr3:uid="{00000000-0010-0000-2300-000003000000}" name="02_1ヶ月～3ヶ月未満" dataDxfId="955"/>
    <tableColumn id="4" xr3:uid="{00000000-0010-0000-2300-000004000000}" name="03_3ヶ月～6ヶ月未満" dataDxfId="954"/>
    <tableColumn id="5" xr3:uid="{00000000-0010-0000-2300-000005000000}" name="04_6ヶ月～1年未満" dataDxfId="953"/>
    <tableColumn id="6" xr3:uid="{00000000-0010-0000-2300-000006000000}" name="05_1年～1年6ヶ月未満" dataDxfId="952"/>
    <tableColumn id="7" xr3:uid="{00000000-0010-0000-2300-000007000000}" name="06_1年6ヶ月～2年未満" dataDxfId="951"/>
    <tableColumn id="8" xr3:uid="{00000000-0010-0000-2300-000008000000}" name="07_2年～3年未満" dataDxfId="950"/>
    <tableColumn id="9" xr3:uid="{00000000-0010-0000-2300-000009000000}" name="08_3年～4年未満" dataDxfId="949"/>
    <tableColumn id="10" xr3:uid="{00000000-0010-0000-2300-00000A000000}" name="09_4年～5年未満" dataDxfId="948"/>
    <tableColumn id="11" xr3:uid="{00000000-0010-0000-2300-00000B000000}" name="10_5年～6年未満" dataDxfId="947"/>
    <tableColumn id="12" xr3:uid="{00000000-0010-0000-2300-00000C000000}" name="11_6年～7年未満" dataDxfId="946"/>
    <tableColumn id="13" xr3:uid="{00000000-0010-0000-2300-00000D000000}" name="12_7年～8年未満" dataDxfId="945"/>
    <tableColumn id="14" xr3:uid="{00000000-0010-0000-2300-00000E000000}" name="13_8年～9年未満" dataDxfId="944"/>
    <tableColumn id="15" xr3:uid="{00000000-0010-0000-2300-00000F000000}" name="14_9年～10年未満" dataDxfId="943"/>
    <tableColumn id="16" xr3:uid="{00000000-0010-0000-2300-000010000000}" name="15_10年～20年未満" dataDxfId="942"/>
    <tableColumn id="17" xr3:uid="{00000000-0010-0000-2300-000011000000}" name="16_ 20年以上" dataDxfId="941"/>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4000000}" name="阻害要因×在院期間区分" displayName="阻害要因×在院期間区分" ref="O12:AE32" totalsRowShown="0" headerRowDxfId="940" dataDxfId="939">
  <autoFilter ref="O12:AE32" xr:uid="{00000000-0009-0000-0100-00002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2400-000001000000}" name="値" dataDxfId="938"/>
    <tableColumn id="2" xr3:uid="{00000000-0010-0000-2400-000002000000}" name="01_1ヶ月未満" dataDxfId="937"/>
    <tableColumn id="3" xr3:uid="{00000000-0010-0000-2400-000003000000}" name="02_1ヶ月～3ヶ月未満" dataDxfId="936"/>
    <tableColumn id="4" xr3:uid="{00000000-0010-0000-2400-000004000000}" name="03_3ヶ月～6ヶ月未満" dataDxfId="935"/>
    <tableColumn id="5" xr3:uid="{00000000-0010-0000-2400-000005000000}" name="04_6ヶ月～1年未満" dataDxfId="934"/>
    <tableColumn id="6" xr3:uid="{00000000-0010-0000-2400-000006000000}" name="05_1年～1年6ヶ月未満" dataDxfId="933"/>
    <tableColumn id="7" xr3:uid="{00000000-0010-0000-2400-000007000000}" name="06_1年6ヶ月～2年未満" dataDxfId="932"/>
    <tableColumn id="8" xr3:uid="{00000000-0010-0000-2400-000008000000}" name="07_2年～3年未満" dataDxfId="931"/>
    <tableColumn id="9" xr3:uid="{00000000-0010-0000-2400-000009000000}" name="08_3年～4年未満" dataDxfId="930"/>
    <tableColumn id="10" xr3:uid="{00000000-0010-0000-2400-00000A000000}" name="09_4年～5年未満" dataDxfId="929"/>
    <tableColumn id="11" xr3:uid="{00000000-0010-0000-2400-00000B000000}" name="10_5年～6年未満" dataDxfId="928"/>
    <tableColumn id="12" xr3:uid="{00000000-0010-0000-2400-00000C000000}" name="11_6年～7年未満" dataDxfId="927"/>
    <tableColumn id="13" xr3:uid="{00000000-0010-0000-2400-00000D000000}" name="12_7年～8年未満" dataDxfId="926"/>
    <tableColumn id="14" xr3:uid="{00000000-0010-0000-2400-00000E000000}" name="13_8年～9年未満" dataDxfId="925"/>
    <tableColumn id="15" xr3:uid="{00000000-0010-0000-2400-00000F000000}" name="14_9年～10年未満" dataDxfId="924"/>
    <tableColumn id="16" xr3:uid="{00000000-0010-0000-2400-000010000000}" name="15_10年～20年未満" dataDxfId="923"/>
    <tableColumn id="17" xr3:uid="{00000000-0010-0000-2400-000011000000}" name="16_ 20年以上" dataDxfId="922"/>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5000000}" name="退院予定有無×在院期間区分＿寛解・院内寛解" displayName="退院予定有無×在院期間区分＿寛解・院内寛解" ref="O36:AE39" totalsRowShown="0" headerRowDxfId="921" dataDxfId="920">
  <autoFilter ref="O36:AE39" xr:uid="{00000000-0009-0000-0100-00002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2500-000001000000}" name="行ラベル" dataDxfId="919" totalsRowDxfId="918"/>
    <tableColumn id="2" xr3:uid="{00000000-0010-0000-2500-000002000000}" name="01_1ヶ月未満" dataDxfId="917" totalsRowDxfId="916"/>
    <tableColumn id="3" xr3:uid="{00000000-0010-0000-2500-000003000000}" name="02_1ヶ月～3ヶ月未満" dataDxfId="915" totalsRowDxfId="914"/>
    <tableColumn id="4" xr3:uid="{00000000-0010-0000-2500-000004000000}" name="03_3ヶ月～6ヶ月未満" dataDxfId="913" totalsRowDxfId="912"/>
    <tableColumn id="5" xr3:uid="{00000000-0010-0000-2500-000005000000}" name="04_6ヶ月～1年未満" dataDxfId="911" totalsRowDxfId="910"/>
    <tableColumn id="6" xr3:uid="{00000000-0010-0000-2500-000006000000}" name="05_1年～1年6ヶ月未満" dataDxfId="909" totalsRowDxfId="908"/>
    <tableColumn id="7" xr3:uid="{00000000-0010-0000-2500-000007000000}" name="06_1年6ヶ月～2年未満" dataDxfId="907" totalsRowDxfId="906"/>
    <tableColumn id="8" xr3:uid="{00000000-0010-0000-2500-000008000000}" name="07_2年～3年未満" dataDxfId="905" totalsRowDxfId="904"/>
    <tableColumn id="9" xr3:uid="{00000000-0010-0000-2500-000009000000}" name="08_3年～4年未満" dataDxfId="903" totalsRowDxfId="902"/>
    <tableColumn id="10" xr3:uid="{00000000-0010-0000-2500-00000A000000}" name="09_4年～5年未満" dataDxfId="901" totalsRowDxfId="900"/>
    <tableColumn id="11" xr3:uid="{00000000-0010-0000-2500-00000B000000}" name="10_5年～6年未満" dataDxfId="899" totalsRowDxfId="898"/>
    <tableColumn id="12" xr3:uid="{00000000-0010-0000-2500-00000C000000}" name="11_6年～7年未満" dataDxfId="897" totalsRowDxfId="896"/>
    <tableColumn id="13" xr3:uid="{00000000-0010-0000-2500-00000D000000}" name="12_7年～8年未満" dataDxfId="895" totalsRowDxfId="894"/>
    <tableColumn id="14" xr3:uid="{00000000-0010-0000-2500-00000E000000}" name="13_8年～9年未満" dataDxfId="893" totalsRowDxfId="892"/>
    <tableColumn id="15" xr3:uid="{00000000-0010-0000-2500-00000F000000}" name="14_9年～10年未満" dataDxfId="891" totalsRowDxfId="890"/>
    <tableColumn id="16" xr3:uid="{00000000-0010-0000-2500-000010000000}" name="15_10年～20年未満" dataDxfId="889" totalsRowDxfId="888"/>
    <tableColumn id="17" xr3:uid="{00000000-0010-0000-2500-000011000000}" name="16_ 20年以上" dataDxfId="887" totalsRowDxfId="886"/>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6000000}" name="阻害要因有無×在院期間区分＿寛解・院内寛解" displayName="阻害要因有無×在院期間区分＿寛解・院内寛解" ref="O42:AE45" totalsRowShown="0" headerRowDxfId="885" dataDxfId="884">
  <autoFilter ref="O42:AE45" xr:uid="{00000000-0009-0000-0100-00002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2600-000001000000}" name="行ラベル" dataDxfId="883"/>
    <tableColumn id="2" xr3:uid="{00000000-0010-0000-2600-000002000000}" name="01_1ヶ月未満" dataDxfId="882"/>
    <tableColumn id="3" xr3:uid="{00000000-0010-0000-2600-000003000000}" name="02_1ヶ月～3ヶ月未満" dataDxfId="881"/>
    <tableColumn id="4" xr3:uid="{00000000-0010-0000-2600-000004000000}" name="03_3ヶ月～6ヶ月未満" dataDxfId="880"/>
    <tableColumn id="5" xr3:uid="{00000000-0010-0000-2600-000005000000}" name="04_6ヶ月～1年未満" dataDxfId="879"/>
    <tableColumn id="6" xr3:uid="{00000000-0010-0000-2600-000006000000}" name="05_1年～1年6ヶ月未満" dataDxfId="878"/>
    <tableColumn id="7" xr3:uid="{00000000-0010-0000-2600-000007000000}" name="06_1年6ヶ月～2年未満" dataDxfId="877"/>
    <tableColumn id="8" xr3:uid="{00000000-0010-0000-2600-000008000000}" name="07_2年～3年未満" dataDxfId="876"/>
    <tableColumn id="9" xr3:uid="{00000000-0010-0000-2600-000009000000}" name="08_3年～4年未満" dataDxfId="875"/>
    <tableColumn id="10" xr3:uid="{00000000-0010-0000-2600-00000A000000}" name="09_4年～5年未満" dataDxfId="874"/>
    <tableColumn id="11" xr3:uid="{00000000-0010-0000-2600-00000B000000}" name="10_5年～6年未満" dataDxfId="873"/>
    <tableColumn id="12" xr3:uid="{00000000-0010-0000-2600-00000C000000}" name="11_6年～7年未満" dataDxfId="872"/>
    <tableColumn id="13" xr3:uid="{00000000-0010-0000-2600-00000D000000}" name="12_7年～8年未満" dataDxfId="871"/>
    <tableColumn id="14" xr3:uid="{00000000-0010-0000-2600-00000E000000}" name="13_8年～9年未満" dataDxfId="870"/>
    <tableColumn id="15" xr3:uid="{00000000-0010-0000-2600-00000F000000}" name="14_9年～10年未満" dataDxfId="869"/>
    <tableColumn id="16" xr3:uid="{00000000-0010-0000-2600-000010000000}" name="15_10年～20年未満" dataDxfId="868"/>
    <tableColumn id="17" xr3:uid="{00000000-0010-0000-2600-000011000000}" name="16_ 20年以上" dataDxfId="867"/>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7000000}" name="阻害要因×在院期間区分＿寛解・院内寛解" displayName="阻害要因×在院期間区分＿寛解・院内寛解" ref="O46:AE66" totalsRowShown="0" headerRowDxfId="866" dataDxfId="865">
  <autoFilter ref="O46:AE66" xr:uid="{00000000-0009-0000-0100-00002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2700-000001000000}" name="値" dataDxfId="864"/>
    <tableColumn id="2" xr3:uid="{00000000-0010-0000-2700-000002000000}" name="01_1ヶ月未満" dataDxfId="863"/>
    <tableColumn id="3" xr3:uid="{00000000-0010-0000-2700-000003000000}" name="02_1ヶ月～3ヶ月未満" dataDxfId="862"/>
    <tableColumn id="4" xr3:uid="{00000000-0010-0000-2700-000004000000}" name="03_3ヶ月～6ヶ月未満" dataDxfId="861"/>
    <tableColumn id="5" xr3:uid="{00000000-0010-0000-2700-000005000000}" name="04_6ヶ月～1年未満" dataDxfId="860"/>
    <tableColumn id="6" xr3:uid="{00000000-0010-0000-2700-000006000000}" name="05_1年～1年6ヶ月未満" dataDxfId="859"/>
    <tableColumn id="7" xr3:uid="{00000000-0010-0000-2700-000007000000}" name="06_1年6ヶ月～2年未満" dataDxfId="858"/>
    <tableColumn id="8" xr3:uid="{00000000-0010-0000-2700-000008000000}" name="07_2年～3年未満" dataDxfId="857"/>
    <tableColumn id="9" xr3:uid="{00000000-0010-0000-2700-000009000000}" name="08_3年～4年未満" dataDxfId="856"/>
    <tableColumn id="10" xr3:uid="{00000000-0010-0000-2700-00000A000000}" name="09_4年～5年未満" dataDxfId="855"/>
    <tableColumn id="11" xr3:uid="{00000000-0010-0000-2700-00000B000000}" name="10_5年～6年未満" dataDxfId="854"/>
    <tableColumn id="12" xr3:uid="{00000000-0010-0000-2700-00000C000000}" name="11_6年～7年未満" dataDxfId="853"/>
    <tableColumn id="13" xr3:uid="{00000000-0010-0000-2700-00000D000000}" name="12_7年～8年未満" dataDxfId="852"/>
    <tableColumn id="14" xr3:uid="{00000000-0010-0000-2700-00000E000000}" name="13_8年～9年未満" dataDxfId="851"/>
    <tableColumn id="15" xr3:uid="{00000000-0010-0000-2700-00000F000000}" name="14_9年～10年未満" dataDxfId="850"/>
    <tableColumn id="16" xr3:uid="{00000000-0010-0000-2700-000010000000}" name="15_10年～20年未満" dataDxfId="849"/>
    <tableColumn id="17" xr3:uid="{00000000-0010-0000-2700-000011000000}" name="16_ 20年以上" dataDxfId="848"/>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8000000}" name="退院予定有無×在院期間区分" displayName="退院予定有無×在院期間区分" ref="O2:AE5" totalsRowShown="0" headerRowDxfId="847" dataDxfId="846">
  <autoFilter ref="O2:AE5" xr:uid="{00000000-0009-0000-0100-00002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2800-000001000000}" name="行ラベル" dataDxfId="845"/>
    <tableColumn id="2" xr3:uid="{00000000-0010-0000-2800-000002000000}" name="01_1ヶ月未満" dataDxfId="844"/>
    <tableColumn id="3" xr3:uid="{00000000-0010-0000-2800-000003000000}" name="02_1ヶ月～3ヶ月未満" dataDxfId="843"/>
    <tableColumn id="4" xr3:uid="{00000000-0010-0000-2800-000004000000}" name="03_3ヶ月～6ヶ月未満" dataDxfId="842"/>
    <tableColumn id="5" xr3:uid="{00000000-0010-0000-2800-000005000000}" name="04_6ヶ月～1年未満" dataDxfId="841"/>
    <tableColumn id="6" xr3:uid="{00000000-0010-0000-2800-000006000000}" name="05_1年～1年6ヶ月未満" dataDxfId="840"/>
    <tableColumn id="7" xr3:uid="{00000000-0010-0000-2800-000007000000}" name="06_1年6ヶ月～2年未満" dataDxfId="839"/>
    <tableColumn id="8" xr3:uid="{00000000-0010-0000-2800-000008000000}" name="07_2年～3年未満" dataDxfId="838"/>
    <tableColumn id="9" xr3:uid="{00000000-0010-0000-2800-000009000000}" name="08_3年～4年未満" dataDxfId="837"/>
    <tableColumn id="10" xr3:uid="{00000000-0010-0000-2800-00000A000000}" name="09_4年～5年未満" dataDxfId="836"/>
    <tableColumn id="11" xr3:uid="{00000000-0010-0000-2800-00000B000000}" name="10_5年～6年未満" dataDxfId="835"/>
    <tableColumn id="12" xr3:uid="{00000000-0010-0000-2800-00000C000000}" name="11_6年～7年未満" dataDxfId="834"/>
    <tableColumn id="13" xr3:uid="{00000000-0010-0000-2800-00000D000000}" name="12_7年～8年未満" dataDxfId="833"/>
    <tableColumn id="14" xr3:uid="{00000000-0010-0000-2800-00000E000000}" name="13_8年～9年未満" dataDxfId="832"/>
    <tableColumn id="15" xr3:uid="{00000000-0010-0000-2800-00000F000000}" name="14_9年～10年未満" dataDxfId="831"/>
    <tableColumn id="16" xr3:uid="{00000000-0010-0000-2800-000010000000}" name="15_10年～20年未満" dataDxfId="830"/>
    <tableColumn id="17" xr3:uid="{00000000-0010-0000-2800-000011000000}" name="16_ 20年以上" dataDxfId="829"/>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29000000}" name="退院予定有無×疾患名＿寛解・院内寛解" displayName="退院予定有無×疾患名＿寛解・院内寛解" ref="O39:AG42" totalsRowShown="0" headerRowDxfId="828" dataDxfId="827">
  <autoFilter ref="O39:AG42"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9">
    <tableColumn id="1" xr3:uid="{00000000-0010-0000-2900-000001000000}" name="行ラベル" dataDxfId="826"/>
    <tableColumn id="2" xr3:uid="{00000000-0010-0000-2900-000002000000}" name="F00アルツハイマー病型認知症" dataDxfId="825"/>
    <tableColumn id="3" xr3:uid="{00000000-0010-0000-2900-000003000000}" name="F01血管性認知症" dataDxfId="824"/>
    <tableColumn id="4" xr3:uid="{00000000-0010-0000-2900-000004000000}" name="F02-09上記以外の症状性を含む器質性精神障害" dataDxfId="823"/>
    <tableColumn id="5" xr3:uid="{00000000-0010-0000-2900-000005000000}" name="F10アルコール使用による精神及び行動の障害" dataDxfId="822"/>
    <tableColumn id="6" xr3:uid="{00000000-0010-0000-2900-000006000000}" name="アルコール覚せい剤を除く精神作用物質使用による精神及び行動の障害※" dataDxfId="821"/>
    <tableColumn id="7" xr3:uid="{00000000-0010-0000-2900-000007000000}" name="覚せい剤による精神及び行動の障害※" dataDxfId="820"/>
    <tableColumn id="8" xr3:uid="{00000000-0010-0000-2900-000008000000}" name="F2統合失調症、統合失調症型障害及び妄想性障害" dataDxfId="819"/>
    <tableColumn id="9" xr3:uid="{00000000-0010-0000-2900-000009000000}" name="F30‐31　躁病エピソード・双極性感情障害［躁うつ病］" dataDxfId="818"/>
    <tableColumn id="10" xr3:uid="{00000000-0010-0000-2900-00000A000000}" name="F32-39　その他の気分障害" dataDxfId="817"/>
    <tableColumn id="11" xr3:uid="{00000000-0010-0000-2900-00000B000000}" name="F4神経症性障害、ストレス関連障害及び身体表現性障害" dataDxfId="816"/>
    <tableColumn id="12" xr3:uid="{00000000-0010-0000-2900-00000C000000}" name="F5生理的障害及び身体的要因に関連した行動症候群" dataDxfId="815"/>
    <tableColumn id="13" xr3:uid="{00000000-0010-0000-2900-00000D000000}" name="F6成人のパーソナリティ及び行動の障害" dataDxfId="814"/>
    <tableColumn id="14" xr3:uid="{00000000-0010-0000-2900-00000E000000}" name="F7精神遅滞〔知的障害〕" dataDxfId="813"/>
    <tableColumn id="15" xr3:uid="{00000000-0010-0000-2900-00000F000000}" name="F8心理的発達の障害" dataDxfId="812"/>
    <tableColumn id="16" xr3:uid="{00000000-0010-0000-2900-000010000000}" name="F9小児期及び青年期に通常発症する行動及び情緒の障害及び特定不能の精神障害" dataDxfId="811"/>
    <tableColumn id="17" xr3:uid="{00000000-0010-0000-2900-000011000000}" name="その他" dataDxfId="810"/>
    <tableColumn id="18" xr3:uid="{00000000-0010-0000-2900-000012000000}" name="てんかん（F0に属さないものを計上する）" dataDxfId="809"/>
    <tableColumn id="19" xr3:uid="{00000000-0010-0000-2900-000013000000}" name="不明" dataDxfId="80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65894021-A4D4-49B0-97FE-8611FAE1F1C5}" name="年齢区分＿院内寛解" displayName="年齢区分＿院内寛解" ref="P4:Q13" totalsRowShown="0" tableBorderDxfId="1021">
  <autoFilter ref="P4:Q13" xr:uid="{65894021-A4D4-49B0-97FE-8611FAE1F1C5}"/>
  <tableColumns count="2">
    <tableColumn id="1" xr3:uid="{D5F16E48-DB94-4CCB-A30C-5145ACB18010}" name="行ラベル" dataDxfId="1020"/>
    <tableColumn id="2" xr3:uid="{429474EB-86AD-4997-B4BD-224F13ACB4BD}" name="データの個数 / 年齢" dataDxfId="1019"/>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A000000}" name="退院予定有無×疾患名" displayName="退院予定有無×疾患名" ref="O4:AG7" totalsRowShown="0" headerRowDxfId="807" dataDxfId="806">
  <autoFilter ref="O4:AG7"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9">
    <tableColumn id="1" xr3:uid="{00000000-0010-0000-2A00-000001000000}" name="行ラベル" dataDxfId="805"/>
    <tableColumn id="2" xr3:uid="{00000000-0010-0000-2A00-000002000000}" name="F00アルツハイマー病型認知症" dataDxfId="804"/>
    <tableColumn id="3" xr3:uid="{00000000-0010-0000-2A00-000003000000}" name="F01血管性認知症" dataDxfId="803"/>
    <tableColumn id="4" xr3:uid="{00000000-0010-0000-2A00-000004000000}" name="F02-09上記以外の症状性を含む器質性精神障害" dataDxfId="802"/>
    <tableColumn id="5" xr3:uid="{00000000-0010-0000-2A00-000005000000}" name="F10アルコール使用による精神及び行動の障害" dataDxfId="801"/>
    <tableColumn id="6" xr3:uid="{00000000-0010-0000-2A00-000006000000}" name="アルコール覚せい剤を除く精神作用物質使用による精神及び行動の障害※" dataDxfId="800"/>
    <tableColumn id="7" xr3:uid="{00000000-0010-0000-2A00-000007000000}" name="覚せい剤による精神及び行動の障害※" dataDxfId="799"/>
    <tableColumn id="8" xr3:uid="{00000000-0010-0000-2A00-000008000000}" name="F2統合失調症、統合失調症型障害及び妄想性障害" dataDxfId="798"/>
    <tableColumn id="9" xr3:uid="{00000000-0010-0000-2A00-000009000000}" name="F30‐31　躁病エピソード・双極性感情障害［躁うつ病］" dataDxfId="797"/>
    <tableColumn id="10" xr3:uid="{00000000-0010-0000-2A00-00000A000000}" name="F32-39　その他の気分障害" dataDxfId="796"/>
    <tableColumn id="11" xr3:uid="{00000000-0010-0000-2A00-00000B000000}" name="F4神経症性障害、ストレス関連障害及び身体表現性障害" dataDxfId="795"/>
    <tableColumn id="12" xr3:uid="{00000000-0010-0000-2A00-00000C000000}" name="F5生理的障害及び身体的要因に関連した行動症候群" dataDxfId="794"/>
    <tableColumn id="13" xr3:uid="{00000000-0010-0000-2A00-00000D000000}" name="F6成人のパーソナリティ及び行動の障害" dataDxfId="793"/>
    <tableColumn id="14" xr3:uid="{00000000-0010-0000-2A00-00000E000000}" name="F7精神遅滞〔知的障害〕" dataDxfId="792"/>
    <tableColumn id="15" xr3:uid="{00000000-0010-0000-2A00-00000F000000}" name="F8心理的発達の障害" dataDxfId="791"/>
    <tableColumn id="16" xr3:uid="{00000000-0010-0000-2A00-000010000000}" name="F9小児期及び青年期に通常発症する行動及び情緒の障害及び特定不能の精神障害" dataDxfId="790"/>
    <tableColumn id="17" xr3:uid="{00000000-0010-0000-2A00-000011000000}" name="その他" dataDxfId="789"/>
    <tableColumn id="18" xr3:uid="{00000000-0010-0000-2A00-000012000000}" name="てんかん（F0に属さないものを計上する）" dataDxfId="788"/>
    <tableColumn id="19" xr3:uid="{00000000-0010-0000-2A00-000013000000}" name="不明" dataDxfId="787"/>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B000000}" name="阻害要因有無×疾患名" displayName="阻害要因有無×疾患名" ref="O10:AG12" totalsRowShown="0" headerRowDxfId="786" dataDxfId="785">
  <autoFilter ref="O10:AG12" xr:uid="{00000000-0009-0000-0100-00002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9">
    <tableColumn id="1" xr3:uid="{00000000-0010-0000-2B00-000001000000}" name="行ラベル" dataDxfId="784"/>
    <tableColumn id="2" xr3:uid="{00000000-0010-0000-2B00-000002000000}" name="F00アルツハイマー病型認知症" dataDxfId="783"/>
    <tableColumn id="3" xr3:uid="{00000000-0010-0000-2B00-000003000000}" name="F01血管性認知症" dataDxfId="782"/>
    <tableColumn id="4" xr3:uid="{00000000-0010-0000-2B00-000004000000}" name="F02-09上記以外の症状性を含む器質性精神障害" dataDxfId="781"/>
    <tableColumn id="5" xr3:uid="{00000000-0010-0000-2B00-000005000000}" name="F10アルコール使用による精神及び行動の障害" dataDxfId="780"/>
    <tableColumn id="6" xr3:uid="{00000000-0010-0000-2B00-000006000000}" name="F2統合失調症、統合失調症型障害及び妄想性障害" dataDxfId="779"/>
    <tableColumn id="7" xr3:uid="{00000000-0010-0000-2B00-000007000000}" name="F30‐31　躁病エピソード・双極性感情障害［躁うつ病］" dataDxfId="778"/>
    <tableColumn id="8" xr3:uid="{00000000-0010-0000-2B00-000008000000}" name="F32-39　その他の気分障害" dataDxfId="777"/>
    <tableColumn id="9" xr3:uid="{00000000-0010-0000-2B00-000009000000}" name="F4神経症性障害、ストレス関連障害及び身体表現性障害" dataDxfId="776"/>
    <tableColumn id="10" xr3:uid="{00000000-0010-0000-2B00-00000A000000}" name="F5生理的障害及び身体的要因に関連した行動症候群" dataDxfId="775"/>
    <tableColumn id="11" xr3:uid="{00000000-0010-0000-2B00-00000B000000}" name="F6成人のパーソナリティ及び行動の障害" dataDxfId="774"/>
    <tableColumn id="12" xr3:uid="{00000000-0010-0000-2B00-00000C000000}" name="F7精神遅滞〔知的障害〕" dataDxfId="773"/>
    <tableColumn id="13" xr3:uid="{00000000-0010-0000-2B00-00000D000000}" name="F8心理的発達の障害" dataDxfId="772"/>
    <tableColumn id="14" xr3:uid="{00000000-0010-0000-2B00-00000E000000}" name="F9小児期及び青年期に通常発症する行動及び情緒の障害及び特定不能の精神障害" dataDxfId="771"/>
    <tableColumn id="15" xr3:uid="{00000000-0010-0000-2B00-00000F000000}" name="アルコール覚せい剤を除く精神作用物質使用による精神及び行動の障害※" dataDxfId="770"/>
    <tableColumn id="16" xr3:uid="{00000000-0010-0000-2B00-000010000000}" name="その他" dataDxfId="769"/>
    <tableColumn id="17" xr3:uid="{00000000-0010-0000-2B00-000011000000}" name="てんかん（F0に属さないものを計上する）" dataDxfId="768"/>
    <tableColumn id="18" xr3:uid="{00000000-0010-0000-2B00-000012000000}" name="覚せい剤による精神及び行動の障害※" dataDxfId="767"/>
    <tableColumn id="19" xr3:uid="{00000000-0010-0000-2B00-000013000000}" name="不明" dataDxfId="766"/>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阻害要因×疾患名" displayName="阻害要因×疾患名" ref="O14:AG34" totalsRowShown="0" headerRowDxfId="765" dataDxfId="764">
  <autoFilter ref="O14:AG34" xr:uid="{00000000-0009-0000-0100-00002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9">
    <tableColumn id="1" xr3:uid="{00000000-0010-0000-2C00-000001000000}" name="値" dataDxfId="763"/>
    <tableColumn id="2" xr3:uid="{00000000-0010-0000-2C00-000002000000}" name="F2統合失調症、統合失調症型障害及び妄想性障害" dataDxfId="762"/>
    <tableColumn id="3" xr3:uid="{00000000-0010-0000-2C00-000003000000}" name="F30‐31　躁病エピソード・双極性感情障害［躁うつ病］" dataDxfId="761"/>
    <tableColumn id="4" xr3:uid="{00000000-0010-0000-2C00-000004000000}" name="F02-09上記以外の症状性を含む器質性精神障害" dataDxfId="760"/>
    <tableColumn id="5" xr3:uid="{00000000-0010-0000-2C00-000005000000}" name="F32-39　その他の気分障害" dataDxfId="759"/>
    <tableColumn id="6" xr3:uid="{00000000-0010-0000-2C00-000006000000}" name="F7精神遅滞〔知的障害〕" dataDxfId="758"/>
    <tableColumn id="7" xr3:uid="{00000000-0010-0000-2C00-000007000000}" name="F01血管性認知症" dataDxfId="757"/>
    <tableColumn id="8" xr3:uid="{00000000-0010-0000-2C00-000008000000}" name="F00アルツハイマー病型認知症" dataDxfId="756"/>
    <tableColumn id="9" xr3:uid="{00000000-0010-0000-2C00-000009000000}" name="F8心理的発達の障害" dataDxfId="755"/>
    <tableColumn id="10" xr3:uid="{00000000-0010-0000-2C00-00000A000000}" name="その他" dataDxfId="754"/>
    <tableColumn id="11" xr3:uid="{00000000-0010-0000-2C00-00000B000000}" name="アルコール覚せい剤を除く精神作用物質使用による精神及び行動の障害※" dataDxfId="753"/>
    <tableColumn id="12" xr3:uid="{00000000-0010-0000-2C00-00000C000000}" name="F10アルコール使用による精神及び行動の障害" dataDxfId="752"/>
    <tableColumn id="13" xr3:uid="{00000000-0010-0000-2C00-00000D000000}" name="F4神経症性障害、ストレス関連障害及び身体表現性障害" dataDxfId="751"/>
    <tableColumn id="14" xr3:uid="{00000000-0010-0000-2C00-00000E000000}" name="てんかん（F0に属さないものを計上する）" dataDxfId="750"/>
    <tableColumn id="15" xr3:uid="{00000000-0010-0000-2C00-00000F000000}" name="覚せい剤による精神及び行動の障害※" dataDxfId="749"/>
    <tableColumn id="16" xr3:uid="{00000000-0010-0000-2C00-000010000000}" name="F6成人のパーソナリティ及び行動の障害" dataDxfId="748"/>
    <tableColumn id="17" xr3:uid="{00000000-0010-0000-2C00-000011000000}" name="F9小児期及び青年期に通常発症する行動及び情緒の障害及び特定不能の精神障害" dataDxfId="747"/>
    <tableColumn id="18" xr3:uid="{00000000-0010-0000-2C00-000012000000}" name="不明" dataDxfId="746"/>
    <tableColumn id="19" xr3:uid="{00000000-0010-0000-2C00-000013000000}" name="F5生理的障害及び身体的要因に関連した行動症候群" dataDxfId="745"/>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阻害要因有無×疾患名＿寛解・院内寛解" displayName="阻害要因有無×疾患名＿寛解・院内寛解" ref="O45:AG47" totalsRowShown="0" headerRowDxfId="744" dataDxfId="743">
  <autoFilter ref="O45:AG47" xr:uid="{00000000-0009-0000-0100-00002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9">
    <tableColumn id="1" xr3:uid="{00000000-0010-0000-2D00-000001000000}" name="行ラベル" dataDxfId="742"/>
    <tableColumn id="2" xr3:uid="{00000000-0010-0000-2D00-000002000000}" name="F00アルツハイマー病型認知症" dataDxfId="741"/>
    <tableColumn id="3" xr3:uid="{00000000-0010-0000-2D00-000003000000}" name="F01血管性認知症" dataDxfId="740"/>
    <tableColumn id="4" xr3:uid="{00000000-0010-0000-2D00-000004000000}" name="F02-09上記以外の症状性を含む器質性精神障害" dataDxfId="739"/>
    <tableColumn id="5" xr3:uid="{00000000-0010-0000-2D00-000005000000}" name="F10アルコール使用による精神及び行動の障害" dataDxfId="738"/>
    <tableColumn id="6" xr3:uid="{00000000-0010-0000-2D00-000006000000}" name="F2統合失調症、統合失調症型障害及び妄想性障害" dataDxfId="737"/>
    <tableColumn id="7" xr3:uid="{00000000-0010-0000-2D00-000007000000}" name="F30‐31　躁病エピソード・双極性感情障害［躁うつ病］" dataDxfId="736"/>
    <tableColumn id="8" xr3:uid="{00000000-0010-0000-2D00-000008000000}" name="F32-39　その他の気分障害" dataDxfId="735"/>
    <tableColumn id="9" xr3:uid="{00000000-0010-0000-2D00-000009000000}" name="F4神経症性障害、ストレス関連障害及び身体表現性障害" dataDxfId="734"/>
    <tableColumn id="10" xr3:uid="{00000000-0010-0000-2D00-00000A000000}" name="F5生理的障害及び身体的要因に関連した行動症候群" dataDxfId="733"/>
    <tableColumn id="11" xr3:uid="{00000000-0010-0000-2D00-00000B000000}" name="F6成人のパーソナリティ及び行動の障害" dataDxfId="732"/>
    <tableColumn id="12" xr3:uid="{00000000-0010-0000-2D00-00000C000000}" name="F7精神遅滞〔知的障害〕" dataDxfId="731"/>
    <tableColumn id="13" xr3:uid="{00000000-0010-0000-2D00-00000D000000}" name="F8心理的発達の障害" dataDxfId="730"/>
    <tableColumn id="14" xr3:uid="{00000000-0010-0000-2D00-00000E000000}" name="F9小児期及び青年期に通常発症する行動及び情緒の障害及び特定不能の精神障害" dataDxfId="729"/>
    <tableColumn id="15" xr3:uid="{00000000-0010-0000-2D00-00000F000000}" name="アルコール覚せい剤を除く精神作用物質使用による精神及び行動の障害※" dataDxfId="728"/>
    <tableColumn id="16" xr3:uid="{00000000-0010-0000-2D00-000010000000}" name="その他" dataDxfId="727"/>
    <tableColumn id="17" xr3:uid="{00000000-0010-0000-2D00-000011000000}" name="てんかん（F0に属さないものを計上する）" dataDxfId="726"/>
    <tableColumn id="18" xr3:uid="{00000000-0010-0000-2D00-000012000000}" name="覚せい剤による精神及び行動の障害※" dataDxfId="725"/>
    <tableColumn id="19" xr3:uid="{00000000-0010-0000-2D00-000013000000}" name="不明" dataDxfId="724"/>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阻害要因×疾患名＿寛解・院内寛解" displayName="阻害要因×疾患名＿寛解・院内寛解" ref="O49:AG69" totalsRowShown="0" headerRowDxfId="723" dataDxfId="722">
  <autoFilter ref="O49:AG69" xr:uid="{00000000-0009-0000-0100-00002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9">
    <tableColumn id="1" xr3:uid="{00000000-0010-0000-2E00-000001000000}" name="値" dataDxfId="721"/>
    <tableColumn id="2" xr3:uid="{00000000-0010-0000-2E00-000002000000}" name="F2統合失調症、統合失調症型障害及び妄想性障害" dataDxfId="720"/>
    <tableColumn id="3" xr3:uid="{00000000-0010-0000-2E00-000003000000}" name="F30‐31　躁病エピソード・双極性感情障害［躁うつ病］" dataDxfId="719"/>
    <tableColumn id="4" xr3:uid="{00000000-0010-0000-2E00-000004000000}" name="F02-09上記以外の症状性を含む器質性精神障害" dataDxfId="718"/>
    <tableColumn id="5" xr3:uid="{00000000-0010-0000-2E00-000005000000}" name="F32-39　その他の気分障害" dataDxfId="717"/>
    <tableColumn id="6" xr3:uid="{00000000-0010-0000-2E00-000006000000}" name="F7精神遅滞〔知的障害〕" dataDxfId="716"/>
    <tableColumn id="7" xr3:uid="{00000000-0010-0000-2E00-000007000000}" name="F01血管性認知症" dataDxfId="715"/>
    <tableColumn id="8" xr3:uid="{00000000-0010-0000-2E00-000008000000}" name="F00アルツハイマー病型認知症" dataDxfId="714"/>
    <tableColumn id="9" xr3:uid="{00000000-0010-0000-2E00-000009000000}" name="F8心理的発達の障害" dataDxfId="713"/>
    <tableColumn id="10" xr3:uid="{00000000-0010-0000-2E00-00000A000000}" name="その他" dataDxfId="712"/>
    <tableColumn id="11" xr3:uid="{00000000-0010-0000-2E00-00000B000000}" name="アルコール覚せい剤を除く精神作用物質使用による精神及び行動の障害※" dataDxfId="711"/>
    <tableColumn id="12" xr3:uid="{00000000-0010-0000-2E00-00000C000000}" name="F10アルコール使用による精神及び行動の障害" dataDxfId="710"/>
    <tableColumn id="13" xr3:uid="{00000000-0010-0000-2E00-00000D000000}" name="F4神経症性障害、ストレス関連障害及び身体表現性障害" dataDxfId="709"/>
    <tableColumn id="14" xr3:uid="{00000000-0010-0000-2E00-00000E000000}" name="てんかん（F0に属さないものを計上する）" dataDxfId="708"/>
    <tableColumn id="15" xr3:uid="{00000000-0010-0000-2E00-00000F000000}" name="覚せい剤による精神及び行動の障害※" dataDxfId="707"/>
    <tableColumn id="16" xr3:uid="{00000000-0010-0000-2E00-000010000000}" name="F6成人のパーソナリティ及び行動の障害" dataDxfId="706"/>
    <tableColumn id="17" xr3:uid="{00000000-0010-0000-2E00-000011000000}" name="F9小児期及び青年期に通常発症する行動及び情緒の障害及び特定不能の精神障害" dataDxfId="705"/>
    <tableColumn id="18" xr3:uid="{00000000-0010-0000-2E00-000012000000}" name="F5生理的障害及び身体的要因に関連した行動症候群" dataDxfId="704"/>
    <tableColumn id="19" xr3:uid="{00000000-0010-0000-2E00-000013000000}" name="総計" dataDxfId="703"/>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F000000}" name="年齢階層×在院期間区分F2" displayName="年齢階層×在院期間区分F2" ref="R3:AH12" totalsRowShown="0" headerRowDxfId="702" dataDxfId="701" tableBorderDxfId="700">
  <autoFilter ref="R3:AH12" xr:uid="{00000000-0009-0000-0100-00003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2F00-000001000000}" name="行ラベル" dataDxfId="699"/>
    <tableColumn id="2" xr3:uid="{00000000-0010-0000-2F00-000002000000}" name="01_1ヶ月未満" dataDxfId="698"/>
    <tableColumn id="3" xr3:uid="{00000000-0010-0000-2F00-000003000000}" name="02_1ヶ月～3ヶ月未満" dataDxfId="697"/>
    <tableColumn id="4" xr3:uid="{00000000-0010-0000-2F00-000004000000}" name="03_3ヶ月～6ヶ月未満" dataDxfId="696"/>
    <tableColumn id="5" xr3:uid="{00000000-0010-0000-2F00-000005000000}" name="04_6ヶ月～1年未満" dataDxfId="695"/>
    <tableColumn id="6" xr3:uid="{00000000-0010-0000-2F00-000006000000}" name="05_1年～1年6ヶ月未満" dataDxfId="694"/>
    <tableColumn id="7" xr3:uid="{00000000-0010-0000-2F00-000007000000}" name="06_1年6ヶ月～2年未満" dataDxfId="693"/>
    <tableColumn id="8" xr3:uid="{00000000-0010-0000-2F00-000008000000}" name="07_2年～3年未満" dataDxfId="692"/>
    <tableColumn id="9" xr3:uid="{00000000-0010-0000-2F00-000009000000}" name="08_3年～4年未満" dataDxfId="691"/>
    <tableColumn id="10" xr3:uid="{00000000-0010-0000-2F00-00000A000000}" name="09_4年～5年未満" dataDxfId="690"/>
    <tableColumn id="11" xr3:uid="{00000000-0010-0000-2F00-00000B000000}" name="10_5年～6年未満" dataDxfId="689"/>
    <tableColumn id="12" xr3:uid="{00000000-0010-0000-2F00-00000C000000}" name="11_6年～7年未満" dataDxfId="688"/>
    <tableColumn id="13" xr3:uid="{00000000-0010-0000-2F00-00000D000000}" name="12_7年～8年未満" dataDxfId="687"/>
    <tableColumn id="14" xr3:uid="{00000000-0010-0000-2F00-00000E000000}" name="13_8年～9年未満" dataDxfId="686"/>
    <tableColumn id="15" xr3:uid="{00000000-0010-0000-2F00-00000F000000}" name="14_9年～10年未満" dataDxfId="685"/>
    <tableColumn id="16" xr3:uid="{00000000-0010-0000-2F00-000010000000}" name="15_10年～20年未満" dataDxfId="684"/>
    <tableColumn id="17" xr3:uid="{00000000-0010-0000-2F00-000011000000}" name="16_ 20年以上" dataDxfId="683"/>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0000000}" name="年齢階層×在院期間区分F2_65歳未満以上" displayName="年齢階層×在院期間区分F2_65歳未満以上" ref="R13:AH15" totalsRowShown="0" headerRowDxfId="682" dataDxfId="681" tableBorderDxfId="680">
  <autoFilter ref="R13:AH15" xr:uid="{00000000-0009-0000-0100-00003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3000-000001000000}" name="列1" dataDxfId="679"/>
    <tableColumn id="2" xr3:uid="{00000000-0010-0000-3000-000002000000}" name="01_1ヶ月未満" dataDxfId="678"/>
    <tableColumn id="3" xr3:uid="{00000000-0010-0000-3000-000003000000}" name="02_1ヶ月～3ヶ月未満" dataDxfId="677"/>
    <tableColumn id="4" xr3:uid="{00000000-0010-0000-3000-000004000000}" name="03_3ヶ月～6ヶ月未満" dataDxfId="676"/>
    <tableColumn id="5" xr3:uid="{00000000-0010-0000-3000-000005000000}" name="04_6ヶ月～1年未満" dataDxfId="675"/>
    <tableColumn id="6" xr3:uid="{00000000-0010-0000-3000-000006000000}" name="05_1年～1年6ヶ月未満" dataDxfId="674"/>
    <tableColumn id="7" xr3:uid="{00000000-0010-0000-3000-000007000000}" name="06_1年6ヶ月～2年未満" dataDxfId="673"/>
    <tableColumn id="8" xr3:uid="{00000000-0010-0000-3000-000008000000}" name="07_2年～3年未満" dataDxfId="672"/>
    <tableColumn id="9" xr3:uid="{00000000-0010-0000-3000-000009000000}" name="08_3年～4年未満" dataDxfId="671"/>
    <tableColumn id="10" xr3:uid="{00000000-0010-0000-3000-00000A000000}" name="09_4年～5年未満" dataDxfId="670"/>
    <tableColumn id="11" xr3:uid="{00000000-0010-0000-3000-00000B000000}" name="10_5年～6年未満" dataDxfId="669"/>
    <tableColumn id="12" xr3:uid="{00000000-0010-0000-3000-00000C000000}" name="11_6年～7年未満" dataDxfId="668"/>
    <tableColumn id="13" xr3:uid="{00000000-0010-0000-3000-00000D000000}" name="12_7年～8年未満" dataDxfId="667"/>
    <tableColumn id="14" xr3:uid="{00000000-0010-0000-3000-00000E000000}" name="13_8年～9年未満" dataDxfId="666"/>
    <tableColumn id="15" xr3:uid="{00000000-0010-0000-3000-00000F000000}" name="14_9年～10年未満" dataDxfId="665"/>
    <tableColumn id="16" xr3:uid="{00000000-0010-0000-3000-000010000000}" name="15_10年～20年未満" dataDxfId="664"/>
    <tableColumn id="17" xr3:uid="{00000000-0010-0000-3000-000011000000}" name="16_ 20年以上" dataDxfId="663"/>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1000000}" name="年齢階層×在院期間区分F2＿寛解・院内寛解" displayName="年齢階層×在院期間区分F2＿寛解・院内寛解" ref="R19:AH28" totalsRowShown="0" headerRowDxfId="662" dataDxfId="661" tableBorderDxfId="660">
  <autoFilter ref="R19:AH28" xr:uid="{00000000-0009-0000-0100-00003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3100-000001000000}" name="行ラベル" dataDxfId="659"/>
    <tableColumn id="2" xr3:uid="{00000000-0010-0000-3100-000002000000}" name="01_1ヶ月未満" dataDxfId="658"/>
    <tableColumn id="3" xr3:uid="{00000000-0010-0000-3100-000003000000}" name="02_1ヶ月～3ヶ月未満" dataDxfId="657"/>
    <tableColumn id="4" xr3:uid="{00000000-0010-0000-3100-000004000000}" name="03_3ヶ月～6ヶ月未満" dataDxfId="656"/>
    <tableColumn id="5" xr3:uid="{00000000-0010-0000-3100-000005000000}" name="04_6ヶ月～1年未満" dataDxfId="655"/>
    <tableColumn id="6" xr3:uid="{00000000-0010-0000-3100-000006000000}" name="05_1年～1年6ヶ月未満" dataDxfId="654"/>
    <tableColumn id="7" xr3:uid="{00000000-0010-0000-3100-000007000000}" name="06_1年6ヶ月～2年未満" dataDxfId="653"/>
    <tableColumn id="8" xr3:uid="{00000000-0010-0000-3100-000008000000}" name="07_2年～3年未満" dataDxfId="652"/>
    <tableColumn id="9" xr3:uid="{00000000-0010-0000-3100-000009000000}" name="08_3年～4年未満" dataDxfId="651"/>
    <tableColumn id="10" xr3:uid="{00000000-0010-0000-3100-00000A000000}" name="09_4年～5年未満" dataDxfId="650"/>
    <tableColumn id="11" xr3:uid="{00000000-0010-0000-3100-00000B000000}" name="10_5年～6年未満" dataDxfId="649"/>
    <tableColumn id="12" xr3:uid="{00000000-0010-0000-3100-00000C000000}" name="11_6年～7年未満" dataDxfId="648"/>
    <tableColumn id="13" xr3:uid="{00000000-0010-0000-3100-00000D000000}" name="12_7年～8年未満" dataDxfId="647"/>
    <tableColumn id="14" xr3:uid="{00000000-0010-0000-3100-00000E000000}" name="13_8年～9年未満" dataDxfId="646"/>
    <tableColumn id="15" xr3:uid="{00000000-0010-0000-3100-00000F000000}" name="14_9年～10年未満" dataDxfId="645"/>
    <tableColumn id="16" xr3:uid="{00000000-0010-0000-3100-000010000000}" name="15_10年～20年未満" dataDxfId="644"/>
    <tableColumn id="17" xr3:uid="{00000000-0010-0000-3100-000011000000}" name="16_ 20年以上" dataDxfId="643"/>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2000000}" name="年齢階層×在院期間区分F2_65歳未満以上＿寛解・院内寛解" displayName="年齢階層×在院期間区分F2_65歳未満以上＿寛解・院内寛解" ref="R29:AH31" totalsRowShown="0" headerRowDxfId="642" tableBorderDxfId="641">
  <autoFilter ref="R29:AH31" xr:uid="{00000000-0009-0000-0100-00003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3200-000001000000}" name="列1" dataDxfId="640"/>
    <tableColumn id="2" xr3:uid="{00000000-0010-0000-3200-000002000000}" name="01_1ヶ月未満" dataDxfId="639"/>
    <tableColumn id="3" xr3:uid="{00000000-0010-0000-3200-000003000000}" name="02_1ヶ月～3ヶ月未満" dataDxfId="638"/>
    <tableColumn id="4" xr3:uid="{00000000-0010-0000-3200-000004000000}" name="03_3ヶ月～6ヶ月未満" dataDxfId="637"/>
    <tableColumn id="5" xr3:uid="{00000000-0010-0000-3200-000005000000}" name="04_6ヶ月～1年未満" dataDxfId="636"/>
    <tableColumn id="6" xr3:uid="{00000000-0010-0000-3200-000006000000}" name="05_1年～1年6ヶ月未満" dataDxfId="635"/>
    <tableColumn id="7" xr3:uid="{00000000-0010-0000-3200-000007000000}" name="06_1年6ヶ月～2年未満" dataDxfId="634"/>
    <tableColumn id="8" xr3:uid="{00000000-0010-0000-3200-000008000000}" name="07_2年～3年未満" dataDxfId="633"/>
    <tableColumn id="9" xr3:uid="{00000000-0010-0000-3200-000009000000}" name="08_3年～4年未満" dataDxfId="632"/>
    <tableColumn id="10" xr3:uid="{00000000-0010-0000-3200-00000A000000}" name="09_4年～5年未満" dataDxfId="631"/>
    <tableColumn id="11" xr3:uid="{00000000-0010-0000-3200-00000B000000}" name="10_5年～6年未満" dataDxfId="630"/>
    <tableColumn id="12" xr3:uid="{00000000-0010-0000-3200-00000C000000}" name="11_6年～7年未満" dataDxfId="629"/>
    <tableColumn id="13" xr3:uid="{00000000-0010-0000-3200-00000D000000}" name="12_7年～8年未満" dataDxfId="628"/>
    <tableColumn id="14" xr3:uid="{00000000-0010-0000-3200-00000E000000}" name="13_8年～9年未満" dataDxfId="627"/>
    <tableColumn id="15" xr3:uid="{00000000-0010-0000-3200-00000F000000}" name="14_9年～10年未満" dataDxfId="626"/>
    <tableColumn id="16" xr3:uid="{00000000-0010-0000-3200-000010000000}" name="15_10年～20年未満" dataDxfId="625"/>
    <tableColumn id="17" xr3:uid="{00000000-0010-0000-3200-000011000000}" name="16_ 20年以上" dataDxfId="624"/>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3000000}" name="年齢階層×在院期間区分F00F01" displayName="年齢階層×在院期間区分F00F01" ref="R3:AH12" totalsRowShown="0" headerRowDxfId="623" dataDxfId="622">
  <autoFilter ref="R3:AH12" xr:uid="{00000000-0009-0000-0100-00003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3300-000001000000}" name="行ラベル" dataDxfId="621"/>
    <tableColumn id="2" xr3:uid="{00000000-0010-0000-3300-000002000000}" name="01_1ヶ月未満" dataDxfId="620"/>
    <tableColumn id="3" xr3:uid="{00000000-0010-0000-3300-000003000000}" name="02_1ヶ月～3ヶ月未満" dataDxfId="619"/>
    <tableColumn id="4" xr3:uid="{00000000-0010-0000-3300-000004000000}" name="03_3ヶ月～6ヶ月未満" dataDxfId="618"/>
    <tableColumn id="5" xr3:uid="{00000000-0010-0000-3300-000005000000}" name="04_6ヶ月～1年未満" dataDxfId="617"/>
    <tableColumn id="6" xr3:uid="{00000000-0010-0000-3300-000006000000}" name="05_1年～1年6ヶ月未満" dataDxfId="616"/>
    <tableColumn id="7" xr3:uid="{00000000-0010-0000-3300-000007000000}" name="06_1年6ヶ月～2年未満" dataDxfId="615"/>
    <tableColumn id="8" xr3:uid="{00000000-0010-0000-3300-000008000000}" name="07_2年～3年未満" dataDxfId="614"/>
    <tableColumn id="9" xr3:uid="{00000000-0010-0000-3300-000009000000}" name="08_3年～4年未満" dataDxfId="613"/>
    <tableColumn id="10" xr3:uid="{00000000-0010-0000-3300-00000A000000}" name="09_4年～5年未満" dataDxfId="612"/>
    <tableColumn id="11" xr3:uid="{00000000-0010-0000-3300-00000B000000}" name="10_5年～6年未満" dataDxfId="611"/>
    <tableColumn id="12" xr3:uid="{00000000-0010-0000-3300-00000C000000}" name="11_6年～7年未満" dataDxfId="610"/>
    <tableColumn id="13" xr3:uid="{00000000-0010-0000-3300-00000D000000}" name="12_7年～8年未満" dataDxfId="609"/>
    <tableColumn id="14" xr3:uid="{00000000-0010-0000-3300-00000E000000}" name="13_8年～9年未満" dataDxfId="608"/>
    <tableColumn id="15" xr3:uid="{00000000-0010-0000-3300-00000F000000}" name="14_9年～10年未満" dataDxfId="607"/>
    <tableColumn id="16" xr3:uid="{00000000-0010-0000-3300-000010000000}" name="15_10年～20年未満" dataDxfId="606"/>
    <tableColumn id="17" xr3:uid="{00000000-0010-0000-3300-000011000000}" name="16_ 20年以上" dataDxfId="60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疾患別" displayName="疾患別" ref="M4:N22" totalsRowShown="0" headerRowDxfId="1018">
  <autoFilter ref="M4:N22" xr:uid="{00000000-0009-0000-0100-000008000000}">
    <filterColumn colId="0" hiddenButton="1"/>
    <filterColumn colId="1" hiddenButton="1"/>
  </autoFilter>
  <tableColumns count="2">
    <tableColumn id="1" xr3:uid="{00000000-0010-0000-0600-000001000000}" name="行ラベル" dataDxfId="1017"/>
    <tableColumn id="2" xr3:uid="{00000000-0010-0000-0600-000002000000}" name="データの個数 / 疾患名" dataDxfId="1016"/>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4000000}" name="年齢階層×在院期間区分F00F01_65歳未満以上" displayName="年齢階層×在院期間区分F00F01_65歳未満以上" ref="R13:AH15" totalsRowShown="0" headerRowDxfId="604" dataDxfId="603">
  <autoFilter ref="R13:AH15" xr:uid="{00000000-0009-0000-0100-00003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3400-000001000000}" name="列1" dataDxfId="602"/>
    <tableColumn id="2" xr3:uid="{00000000-0010-0000-3400-000002000000}" name="01_1ヶ月未満" dataDxfId="601"/>
    <tableColumn id="3" xr3:uid="{00000000-0010-0000-3400-000003000000}" name="02_1ヶ月～3ヶ月未満" dataDxfId="600"/>
    <tableColumn id="4" xr3:uid="{00000000-0010-0000-3400-000004000000}" name="03_3ヶ月～6ヶ月未満" dataDxfId="599"/>
    <tableColumn id="5" xr3:uid="{00000000-0010-0000-3400-000005000000}" name="04_6ヶ月～1年未満" dataDxfId="598"/>
    <tableColumn id="6" xr3:uid="{00000000-0010-0000-3400-000006000000}" name="05_1年～1年6ヶ月未満" dataDxfId="597"/>
    <tableColumn id="7" xr3:uid="{00000000-0010-0000-3400-000007000000}" name="06_1年6ヶ月～2年未満" dataDxfId="596"/>
    <tableColumn id="8" xr3:uid="{00000000-0010-0000-3400-000008000000}" name="07_2年～3年未満" dataDxfId="595"/>
    <tableColumn id="9" xr3:uid="{00000000-0010-0000-3400-000009000000}" name="08_3年～4年未満" dataDxfId="594"/>
    <tableColumn id="10" xr3:uid="{00000000-0010-0000-3400-00000A000000}" name="09_4年～5年未満" dataDxfId="593"/>
    <tableColumn id="11" xr3:uid="{00000000-0010-0000-3400-00000B000000}" name="10_5年～6年未満" dataDxfId="592"/>
    <tableColumn id="12" xr3:uid="{00000000-0010-0000-3400-00000C000000}" name="11_6年～7年未満" dataDxfId="591"/>
    <tableColumn id="13" xr3:uid="{00000000-0010-0000-3400-00000D000000}" name="12_7年～8年未満" dataDxfId="590"/>
    <tableColumn id="14" xr3:uid="{00000000-0010-0000-3400-00000E000000}" name="13_8年～9年未満" dataDxfId="589"/>
    <tableColumn id="15" xr3:uid="{00000000-0010-0000-3400-00000F000000}" name="14_9年～10年未満" dataDxfId="588"/>
    <tableColumn id="16" xr3:uid="{00000000-0010-0000-3400-000010000000}" name="15_10年～20年未満" dataDxfId="587"/>
    <tableColumn id="17" xr3:uid="{00000000-0010-0000-3400-000011000000}" name="16_ 20年以上" dataDxfId="586"/>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5000000}" name="年齢階層×在院期間区分F00F01＿寛解・院内寛解" displayName="年齢階層×在院期間区分F00F01＿寛解・院内寛解" ref="R19:AH28" totalsRowShown="0" headerRowDxfId="585" dataDxfId="584">
  <autoFilter ref="R19:AH28" xr:uid="{00000000-0009-0000-0100-00003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3500-000001000000}" name="行ラベル" dataDxfId="583"/>
    <tableColumn id="2" xr3:uid="{00000000-0010-0000-3500-000002000000}" name="01_1ヶ月未満" dataDxfId="582"/>
    <tableColumn id="3" xr3:uid="{00000000-0010-0000-3500-000003000000}" name="02_1ヶ月～3ヶ月未満" dataDxfId="581"/>
    <tableColumn id="4" xr3:uid="{00000000-0010-0000-3500-000004000000}" name="03_3ヶ月～6ヶ月未満" dataDxfId="580"/>
    <tableColumn id="5" xr3:uid="{00000000-0010-0000-3500-000005000000}" name="04_6ヶ月～1年未満" dataDxfId="579"/>
    <tableColumn id="6" xr3:uid="{00000000-0010-0000-3500-000006000000}" name="05_1年～1年6ヶ月未満" dataDxfId="578"/>
    <tableColumn id="7" xr3:uid="{00000000-0010-0000-3500-000007000000}" name="06_1年6ヶ月～2年未満" dataDxfId="577"/>
    <tableColumn id="8" xr3:uid="{00000000-0010-0000-3500-000008000000}" name="07_2年～3年未満" dataDxfId="576"/>
    <tableColumn id="9" xr3:uid="{00000000-0010-0000-3500-000009000000}" name="08_3年～4年未満" dataDxfId="575"/>
    <tableColumn id="10" xr3:uid="{00000000-0010-0000-3500-00000A000000}" name="09_4年～5年未満" dataDxfId="574"/>
    <tableColumn id="11" xr3:uid="{00000000-0010-0000-3500-00000B000000}" name="10_5年～6年未満" dataDxfId="573"/>
    <tableColumn id="12" xr3:uid="{00000000-0010-0000-3500-00000C000000}" name="11_6年～7年未満" dataDxfId="572"/>
    <tableColumn id="13" xr3:uid="{00000000-0010-0000-3500-00000D000000}" name="12_7年～8年未満" dataDxfId="571"/>
    <tableColumn id="14" xr3:uid="{00000000-0010-0000-3500-00000E000000}" name="13_8年～9年未満" dataDxfId="570"/>
    <tableColumn id="15" xr3:uid="{00000000-0010-0000-3500-00000F000000}" name="14_9年～10年未満" dataDxfId="569"/>
    <tableColumn id="16" xr3:uid="{00000000-0010-0000-3500-000010000000}" name="15_10年～20年未満" dataDxfId="568"/>
    <tableColumn id="17" xr3:uid="{00000000-0010-0000-3500-000011000000}" name="16_ 20年以上" dataDxfId="567"/>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6000000}" name="年齢階層×在院期間区分F00F01_65歳未満以上＿寛解・院内寛解" displayName="年齢階層×在院期間区分F00F01_65歳未満以上＿寛解・院内寛解" ref="R29:AH31" totalsRowShown="0" headerRowDxfId="566">
  <autoFilter ref="R29:AH31" xr:uid="{00000000-0009-0000-0100-00003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3600-000001000000}" name="列1" dataDxfId="565"/>
    <tableColumn id="2" xr3:uid="{00000000-0010-0000-3600-000002000000}" name="01_1ヶ月未満" dataDxfId="564"/>
    <tableColumn id="3" xr3:uid="{00000000-0010-0000-3600-000003000000}" name="02_1ヶ月～3ヶ月未満" dataDxfId="563"/>
    <tableColumn id="4" xr3:uid="{00000000-0010-0000-3600-000004000000}" name="03_3ヶ月～6ヶ月未満" dataDxfId="562"/>
    <tableColumn id="5" xr3:uid="{00000000-0010-0000-3600-000005000000}" name="04_6ヶ月～1年未満" dataDxfId="561"/>
    <tableColumn id="6" xr3:uid="{00000000-0010-0000-3600-000006000000}" name="05_1年～1年6ヶ月未満" dataDxfId="560"/>
    <tableColumn id="7" xr3:uid="{00000000-0010-0000-3600-000007000000}" name="06_1年6ヶ月～2年未満" dataDxfId="559"/>
    <tableColumn id="8" xr3:uid="{00000000-0010-0000-3600-000008000000}" name="07_2年～3年未満" dataDxfId="558"/>
    <tableColumn id="9" xr3:uid="{00000000-0010-0000-3600-000009000000}" name="08_3年～4年未満" dataDxfId="557"/>
    <tableColumn id="10" xr3:uid="{00000000-0010-0000-3600-00000A000000}" name="09_4年～5年未満" dataDxfId="556"/>
    <tableColumn id="11" xr3:uid="{00000000-0010-0000-3600-00000B000000}" name="10_5年～6年未満" dataDxfId="555"/>
    <tableColumn id="12" xr3:uid="{00000000-0010-0000-3600-00000C000000}" name="11_6年～7年未満" dataDxfId="554"/>
    <tableColumn id="13" xr3:uid="{00000000-0010-0000-3600-00000D000000}" name="12_7年～8年未満" dataDxfId="553"/>
    <tableColumn id="14" xr3:uid="{00000000-0010-0000-3600-00000E000000}" name="13_8年～9年未満" dataDxfId="552"/>
    <tableColumn id="15" xr3:uid="{00000000-0010-0000-3600-00000F000000}" name="14_9年～10年未満" dataDxfId="551"/>
    <tableColumn id="16" xr3:uid="{00000000-0010-0000-3600-000010000000}" name="15_10年～20年未満" dataDxfId="550"/>
    <tableColumn id="17" xr3:uid="{00000000-0010-0000-3600-000011000000}" name="16_ 20年以上" dataDxfId="549"/>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7000000}" name="年齢階層×在院期間区分F02F09" displayName="年齢階層×在院期間区分F02F09" ref="R3:AH12" totalsRowShown="0" headerRowDxfId="548" dataDxfId="547">
  <autoFilter ref="R3:AH12" xr:uid="{00000000-0009-0000-0100-00003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3700-000001000000}" name="行ラベル" dataDxfId="546"/>
    <tableColumn id="2" xr3:uid="{00000000-0010-0000-3700-000002000000}" name="01_1ヶ月未満" dataDxfId="545"/>
    <tableColumn id="3" xr3:uid="{00000000-0010-0000-3700-000003000000}" name="02_1ヶ月～3ヶ月未満" dataDxfId="544"/>
    <tableColumn id="4" xr3:uid="{00000000-0010-0000-3700-000004000000}" name="03_3ヶ月～6ヶ月未満" dataDxfId="543"/>
    <tableColumn id="5" xr3:uid="{00000000-0010-0000-3700-000005000000}" name="04_6ヶ月～1年未満" dataDxfId="542"/>
    <tableColumn id="6" xr3:uid="{00000000-0010-0000-3700-000006000000}" name="05_1年～1年6ヶ月未満" dataDxfId="541"/>
    <tableColumn id="7" xr3:uid="{00000000-0010-0000-3700-000007000000}" name="06_1年6ヶ月～2年未満" dataDxfId="540"/>
    <tableColumn id="8" xr3:uid="{00000000-0010-0000-3700-000008000000}" name="07_2年～3年未満" dataDxfId="539"/>
    <tableColumn id="9" xr3:uid="{00000000-0010-0000-3700-000009000000}" name="08_3年～4年未満" dataDxfId="538"/>
    <tableColumn id="10" xr3:uid="{00000000-0010-0000-3700-00000A000000}" name="09_4年～5年未満" dataDxfId="537"/>
    <tableColumn id="11" xr3:uid="{00000000-0010-0000-3700-00000B000000}" name="10_5年～6年未満" dataDxfId="536"/>
    <tableColumn id="12" xr3:uid="{00000000-0010-0000-3700-00000C000000}" name="11_6年～7年未満" dataDxfId="535"/>
    <tableColumn id="13" xr3:uid="{00000000-0010-0000-3700-00000D000000}" name="12_7年～8年未満" dataDxfId="534"/>
    <tableColumn id="14" xr3:uid="{00000000-0010-0000-3700-00000E000000}" name="13_8年～9年未満" dataDxfId="533"/>
    <tableColumn id="15" xr3:uid="{00000000-0010-0000-3700-00000F000000}" name="14_9年～10年未満" dataDxfId="532"/>
    <tableColumn id="16" xr3:uid="{00000000-0010-0000-3700-000010000000}" name="15_10年～20年未満" dataDxfId="531"/>
    <tableColumn id="17" xr3:uid="{00000000-0010-0000-3700-000011000000}" name="16_ 20年以上" dataDxfId="530"/>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8000000}" name="年齢階層×在院期間区分F02F09_65歳未満以上" displayName="年齢階層×在院期間区分F02F09_65歳未満以上" ref="R13:AH15" totalsRowShown="0" headerRowDxfId="529" dataDxfId="528">
  <autoFilter ref="R13:AH15" xr:uid="{00000000-0009-0000-0100-00003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3800-000001000000}" name="列1" dataDxfId="527"/>
    <tableColumn id="2" xr3:uid="{00000000-0010-0000-3800-000002000000}" name="01_1ヶ月未満" dataDxfId="526"/>
    <tableColumn id="3" xr3:uid="{00000000-0010-0000-3800-000003000000}" name="02_1ヶ月～3ヶ月未満" dataDxfId="525"/>
    <tableColumn id="4" xr3:uid="{00000000-0010-0000-3800-000004000000}" name="03_3ヶ月～6ヶ月未満" dataDxfId="524"/>
    <tableColumn id="5" xr3:uid="{00000000-0010-0000-3800-000005000000}" name="04_6ヶ月～1年未満" dataDxfId="523"/>
    <tableColumn id="6" xr3:uid="{00000000-0010-0000-3800-000006000000}" name="05_1年～1年6ヶ月未満" dataDxfId="522"/>
    <tableColumn id="7" xr3:uid="{00000000-0010-0000-3800-000007000000}" name="06_1年6ヶ月～2年未満" dataDxfId="521"/>
    <tableColumn id="8" xr3:uid="{00000000-0010-0000-3800-000008000000}" name="07_2年～3年未満" dataDxfId="520"/>
    <tableColumn id="9" xr3:uid="{00000000-0010-0000-3800-000009000000}" name="08_3年～4年未満" dataDxfId="519"/>
    <tableColumn id="10" xr3:uid="{00000000-0010-0000-3800-00000A000000}" name="09_4年～5年未満" dataDxfId="518"/>
    <tableColumn id="11" xr3:uid="{00000000-0010-0000-3800-00000B000000}" name="10_5年～6年未満" dataDxfId="517"/>
    <tableColumn id="12" xr3:uid="{00000000-0010-0000-3800-00000C000000}" name="11_6年～7年未満" dataDxfId="516"/>
    <tableColumn id="13" xr3:uid="{00000000-0010-0000-3800-00000D000000}" name="12_7年～8年未満" dataDxfId="515"/>
    <tableColumn id="14" xr3:uid="{00000000-0010-0000-3800-00000E000000}" name="13_8年～9年未満" dataDxfId="514"/>
    <tableColumn id="15" xr3:uid="{00000000-0010-0000-3800-00000F000000}" name="14_9年～10年未満" dataDxfId="513"/>
    <tableColumn id="16" xr3:uid="{00000000-0010-0000-3800-000010000000}" name="15_10年～20年未満" dataDxfId="512"/>
    <tableColumn id="17" xr3:uid="{00000000-0010-0000-3800-000011000000}" name="16_ 20年以上" dataDxfId="511"/>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9000000}" name="年齢階層×在院期間区分F02F09＿寛解・院内寛解" displayName="年齢階層×在院期間区分F02F09＿寛解・院内寛解" ref="R19:AH28" totalsRowShown="0" headerRowDxfId="510" dataDxfId="509">
  <autoFilter ref="R19:AH28" xr:uid="{00000000-0009-0000-0100-00003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3900-000001000000}" name="行ラベル" dataDxfId="508"/>
    <tableColumn id="2" xr3:uid="{00000000-0010-0000-3900-000002000000}" name="01_1ヶ月未満" dataDxfId="507"/>
    <tableColumn id="3" xr3:uid="{00000000-0010-0000-3900-000003000000}" name="02_1ヶ月～3ヶ月未満" dataDxfId="506"/>
    <tableColumn id="4" xr3:uid="{00000000-0010-0000-3900-000004000000}" name="03_3ヶ月～6ヶ月未満" dataDxfId="505"/>
    <tableColumn id="5" xr3:uid="{00000000-0010-0000-3900-000005000000}" name="04_6ヶ月～1年未満" dataDxfId="504"/>
    <tableColumn id="6" xr3:uid="{00000000-0010-0000-3900-000006000000}" name="05_1年～1年6ヶ月未満" dataDxfId="503"/>
    <tableColumn id="7" xr3:uid="{00000000-0010-0000-3900-000007000000}" name="06_1年6ヶ月～2年未満" dataDxfId="502"/>
    <tableColumn id="8" xr3:uid="{00000000-0010-0000-3900-000008000000}" name="07_2年～3年未満" dataDxfId="501"/>
    <tableColumn id="9" xr3:uid="{00000000-0010-0000-3900-000009000000}" name="08_3年～4年未満" dataDxfId="500"/>
    <tableColumn id="10" xr3:uid="{00000000-0010-0000-3900-00000A000000}" name="09_4年～5年未満" dataDxfId="499"/>
    <tableColumn id="11" xr3:uid="{00000000-0010-0000-3900-00000B000000}" name="10_5年～6年未満" dataDxfId="498"/>
    <tableColumn id="12" xr3:uid="{00000000-0010-0000-3900-00000C000000}" name="11_6年～7年未満" dataDxfId="497"/>
    <tableColumn id="13" xr3:uid="{00000000-0010-0000-3900-00000D000000}" name="12_7年～8年未満" dataDxfId="496"/>
    <tableColumn id="14" xr3:uid="{00000000-0010-0000-3900-00000E000000}" name="13_8年～9年未満" dataDxfId="495"/>
    <tableColumn id="15" xr3:uid="{00000000-0010-0000-3900-00000F000000}" name="14_9年～10年未満" dataDxfId="494"/>
    <tableColumn id="16" xr3:uid="{00000000-0010-0000-3900-000010000000}" name="15_10年～20年未満" dataDxfId="493"/>
    <tableColumn id="17" xr3:uid="{00000000-0010-0000-3900-000011000000}" name="16_ 20年以上" dataDxfId="492"/>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A000000}" name="年齢階層×在院期間区分F02F09_65歳未満以上＿寛解・院内寛解" displayName="年齢階層×在院期間区分F02F09_65歳未満以上＿寛解・院内寛解" ref="R29:AH31" totalsRowShown="0" headerRowDxfId="491">
  <autoFilter ref="R29:AH31" xr:uid="{00000000-0009-0000-0100-00003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3A00-000001000000}" name="列1" dataDxfId="490"/>
    <tableColumn id="2" xr3:uid="{00000000-0010-0000-3A00-000002000000}" name="01_1ヶ月未満" dataDxfId="489"/>
    <tableColumn id="3" xr3:uid="{00000000-0010-0000-3A00-000003000000}" name="02_1ヶ月～3ヶ月未満" dataDxfId="488"/>
    <tableColumn id="4" xr3:uid="{00000000-0010-0000-3A00-000004000000}" name="03_3ヶ月～6ヶ月未満" dataDxfId="487"/>
    <tableColumn id="5" xr3:uid="{00000000-0010-0000-3A00-000005000000}" name="04_6ヶ月～1年未満" dataDxfId="486"/>
    <tableColumn id="6" xr3:uid="{00000000-0010-0000-3A00-000006000000}" name="05_1年～1年6ヶ月未満" dataDxfId="485"/>
    <tableColumn id="7" xr3:uid="{00000000-0010-0000-3A00-000007000000}" name="06_1年6ヶ月～2年未満" dataDxfId="484"/>
    <tableColumn id="8" xr3:uid="{00000000-0010-0000-3A00-000008000000}" name="07_2年～3年未満" dataDxfId="483"/>
    <tableColumn id="9" xr3:uid="{00000000-0010-0000-3A00-000009000000}" name="08_3年～4年未満" dataDxfId="482"/>
    <tableColumn id="10" xr3:uid="{00000000-0010-0000-3A00-00000A000000}" name="09_4年～5年未満" dataDxfId="481"/>
    <tableColumn id="11" xr3:uid="{00000000-0010-0000-3A00-00000B000000}" name="10_5年～6年未満" dataDxfId="480"/>
    <tableColumn id="12" xr3:uid="{00000000-0010-0000-3A00-00000C000000}" name="11_6年～7年未満" dataDxfId="479"/>
    <tableColumn id="13" xr3:uid="{00000000-0010-0000-3A00-00000D000000}" name="12_7年～8年未満" dataDxfId="478"/>
    <tableColumn id="14" xr3:uid="{00000000-0010-0000-3A00-00000E000000}" name="13_8年～9年未満" dataDxfId="477"/>
    <tableColumn id="15" xr3:uid="{00000000-0010-0000-3A00-00000F000000}" name="14_9年～10年未満" dataDxfId="476"/>
    <tableColumn id="16" xr3:uid="{00000000-0010-0000-3A00-000010000000}" name="15_10年～20年未満" dataDxfId="475"/>
    <tableColumn id="17" xr3:uid="{00000000-0010-0000-3A00-000011000000}" name="16_ 20年以上" dataDxfId="474"/>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B000000}" name="年齢階層×在院期間区分F3" displayName="年齢階層×在院期間区分F3" ref="R3:AH12" totalsRowShown="0" headerRowDxfId="473" dataDxfId="472">
  <autoFilter ref="R3:AH12" xr:uid="{00000000-0009-0000-0100-00003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3B00-000001000000}" name="行ラベル" dataDxfId="471"/>
    <tableColumn id="2" xr3:uid="{00000000-0010-0000-3B00-000002000000}" name="01_1ヶ月未満" dataDxfId="470"/>
    <tableColumn id="3" xr3:uid="{00000000-0010-0000-3B00-000003000000}" name="02_1ヶ月～3ヶ月未満" dataDxfId="469"/>
    <tableColumn id="4" xr3:uid="{00000000-0010-0000-3B00-000004000000}" name="03_3ヶ月～6ヶ月未満" dataDxfId="468"/>
    <tableColumn id="5" xr3:uid="{00000000-0010-0000-3B00-000005000000}" name="04_6ヶ月～1年未満" dataDxfId="467"/>
    <tableColumn id="6" xr3:uid="{00000000-0010-0000-3B00-000006000000}" name="05_1年～1年6ヶ月未満" dataDxfId="466"/>
    <tableColumn id="7" xr3:uid="{00000000-0010-0000-3B00-000007000000}" name="06_1年6ヶ月～2年未満" dataDxfId="465"/>
    <tableColumn id="8" xr3:uid="{00000000-0010-0000-3B00-000008000000}" name="07_2年～3年未満" dataDxfId="464"/>
    <tableColumn id="9" xr3:uid="{00000000-0010-0000-3B00-000009000000}" name="08_3年～4年未満" dataDxfId="463"/>
    <tableColumn id="10" xr3:uid="{00000000-0010-0000-3B00-00000A000000}" name="09_4年～5年未満" dataDxfId="462"/>
    <tableColumn id="11" xr3:uid="{00000000-0010-0000-3B00-00000B000000}" name="10_5年～6年未満" dataDxfId="461"/>
    <tableColumn id="12" xr3:uid="{00000000-0010-0000-3B00-00000C000000}" name="11_6年～7年未満" dataDxfId="460"/>
    <tableColumn id="13" xr3:uid="{00000000-0010-0000-3B00-00000D000000}" name="12_7年～8年未満" dataDxfId="459"/>
    <tableColumn id="14" xr3:uid="{00000000-0010-0000-3B00-00000E000000}" name="13_8年～9年未満" dataDxfId="458"/>
    <tableColumn id="15" xr3:uid="{00000000-0010-0000-3B00-00000F000000}" name="14_9年～10年未満" dataDxfId="457"/>
    <tableColumn id="16" xr3:uid="{00000000-0010-0000-3B00-000010000000}" name="15_10年～20年未満" dataDxfId="456"/>
    <tableColumn id="17" xr3:uid="{00000000-0010-0000-3B00-000011000000}" name="16_ 20年以上" dataDxfId="455"/>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C000000}" name="年齢階層×在院期間区分F3_65歳未満以上" displayName="年齢階層×在院期間区分F3_65歳未満以上" ref="R13:AH15" totalsRowShown="0" headerRowDxfId="454" dataDxfId="453">
  <autoFilter ref="R13:AH15" xr:uid="{00000000-0009-0000-0100-00003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3C00-000001000000}" name="列1" dataDxfId="452"/>
    <tableColumn id="2" xr3:uid="{00000000-0010-0000-3C00-000002000000}" name="01_1ヶ月未満" dataDxfId="451"/>
    <tableColumn id="3" xr3:uid="{00000000-0010-0000-3C00-000003000000}" name="02_1ヶ月～3ヶ月未満" dataDxfId="450"/>
    <tableColumn id="4" xr3:uid="{00000000-0010-0000-3C00-000004000000}" name="03_3ヶ月～6ヶ月未満" dataDxfId="449"/>
    <tableColumn id="5" xr3:uid="{00000000-0010-0000-3C00-000005000000}" name="04_6ヶ月～1年未満" dataDxfId="448"/>
    <tableColumn id="6" xr3:uid="{00000000-0010-0000-3C00-000006000000}" name="05_1年～1年6ヶ月未満" dataDxfId="447"/>
    <tableColumn id="7" xr3:uid="{00000000-0010-0000-3C00-000007000000}" name="06_1年6ヶ月～2年未満" dataDxfId="446"/>
    <tableColumn id="8" xr3:uid="{00000000-0010-0000-3C00-000008000000}" name="07_2年～3年未満" dataDxfId="445"/>
    <tableColumn id="9" xr3:uid="{00000000-0010-0000-3C00-000009000000}" name="08_3年～4年未満" dataDxfId="444"/>
    <tableColumn id="10" xr3:uid="{00000000-0010-0000-3C00-00000A000000}" name="09_4年～5年未満" dataDxfId="443"/>
    <tableColumn id="11" xr3:uid="{00000000-0010-0000-3C00-00000B000000}" name="10_5年～6年未満" dataDxfId="442"/>
    <tableColumn id="12" xr3:uid="{00000000-0010-0000-3C00-00000C000000}" name="11_6年～7年未満" dataDxfId="441"/>
    <tableColumn id="13" xr3:uid="{00000000-0010-0000-3C00-00000D000000}" name="12_7年～8年未満" dataDxfId="440"/>
    <tableColumn id="14" xr3:uid="{00000000-0010-0000-3C00-00000E000000}" name="13_8年～9年未満" dataDxfId="439"/>
    <tableColumn id="15" xr3:uid="{00000000-0010-0000-3C00-00000F000000}" name="14_9年～10年未満" dataDxfId="438"/>
    <tableColumn id="16" xr3:uid="{00000000-0010-0000-3C00-000010000000}" name="15_10年～20年未満" dataDxfId="437"/>
    <tableColumn id="17" xr3:uid="{00000000-0010-0000-3C00-000011000000}" name="16_ 20年以上" dataDxfId="436"/>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D000000}" name="年齢階層×在院期間区分F3＿寛解・院内寛解" displayName="年齢階層×在院期間区分F3＿寛解・院内寛解" ref="R19:AH28" totalsRowShown="0" headerRowDxfId="435" dataDxfId="434">
  <autoFilter ref="R19:AH28" xr:uid="{00000000-0009-0000-0100-00003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3D00-000001000000}" name="行ラベル" dataDxfId="433"/>
    <tableColumn id="2" xr3:uid="{00000000-0010-0000-3D00-000002000000}" name="01_1ヶ月未満" dataDxfId="432"/>
    <tableColumn id="3" xr3:uid="{00000000-0010-0000-3D00-000003000000}" name="02_1ヶ月～3ヶ月未満" dataDxfId="431"/>
    <tableColumn id="4" xr3:uid="{00000000-0010-0000-3D00-000004000000}" name="03_3ヶ月～6ヶ月未満" dataDxfId="430"/>
    <tableColumn id="5" xr3:uid="{00000000-0010-0000-3D00-000005000000}" name="04_6ヶ月～1年未満" dataDxfId="429"/>
    <tableColumn id="6" xr3:uid="{00000000-0010-0000-3D00-000006000000}" name="05_1年～1年6ヶ月未満" dataDxfId="428"/>
    <tableColumn id="7" xr3:uid="{00000000-0010-0000-3D00-000007000000}" name="06_1年6ヶ月～2年未満" dataDxfId="427"/>
    <tableColumn id="8" xr3:uid="{00000000-0010-0000-3D00-000008000000}" name="07_2年～3年未満" dataDxfId="426"/>
    <tableColumn id="9" xr3:uid="{00000000-0010-0000-3D00-000009000000}" name="08_3年～4年未満" dataDxfId="425"/>
    <tableColumn id="10" xr3:uid="{00000000-0010-0000-3D00-00000A000000}" name="09_4年～5年未満" dataDxfId="424"/>
    <tableColumn id="11" xr3:uid="{00000000-0010-0000-3D00-00000B000000}" name="10_5年～6年未満" dataDxfId="423"/>
    <tableColumn id="12" xr3:uid="{00000000-0010-0000-3D00-00000C000000}" name="11_6年～7年未満" dataDxfId="422"/>
    <tableColumn id="13" xr3:uid="{00000000-0010-0000-3D00-00000D000000}" name="12_7年～8年未満" dataDxfId="421"/>
    <tableColumn id="14" xr3:uid="{00000000-0010-0000-3D00-00000E000000}" name="13_8年～9年未満" dataDxfId="420"/>
    <tableColumn id="15" xr3:uid="{00000000-0010-0000-3D00-00000F000000}" name="14_9年～10年未満" dataDxfId="419"/>
    <tableColumn id="16" xr3:uid="{00000000-0010-0000-3D00-000010000000}" name="15_10年～20年未満" dataDxfId="418"/>
    <tableColumn id="17" xr3:uid="{00000000-0010-0000-3D00-000011000000}" name="16_ 20年以上" dataDxfId="41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疾患別＿寛解" displayName="疾患別＿寛解" ref="P4:Q22" totalsRowShown="0" headerRowDxfId="1015" tableBorderDxfId="1014">
  <autoFilter ref="P4:Q22" xr:uid="{00000000-0009-0000-0100-000004000000}">
    <filterColumn colId="0" hiddenButton="1"/>
    <filterColumn colId="1" hiddenButton="1"/>
  </autoFilter>
  <tableColumns count="2">
    <tableColumn id="1" xr3:uid="{00000000-0010-0000-0700-000001000000}" name="行ラベル"/>
    <tableColumn id="2" xr3:uid="{00000000-0010-0000-0700-000002000000}" name="データの個数 / 疾患名" dataDxfId="1013"/>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E000000}" name="年齢階層×在院期間区分F3_65歳未満以上＿寛解・院内寛解" displayName="年齢階層×在院期間区分F3_65歳未満以上＿寛解・院内寛解" ref="R29:AH31" totalsRowShown="0" headerRowDxfId="416" dataDxfId="415">
  <autoFilter ref="R29:AH31" xr:uid="{00000000-0009-0000-0100-00003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3E00-000001000000}" name="列1" dataDxfId="414"/>
    <tableColumn id="2" xr3:uid="{00000000-0010-0000-3E00-000002000000}" name="01_1ヶ月未満" dataDxfId="413"/>
    <tableColumn id="3" xr3:uid="{00000000-0010-0000-3E00-000003000000}" name="02_1ヶ月～3ヶ月未満" dataDxfId="412"/>
    <tableColumn id="4" xr3:uid="{00000000-0010-0000-3E00-000004000000}" name="03_3ヶ月～6ヶ月未満" dataDxfId="411"/>
    <tableColumn id="5" xr3:uid="{00000000-0010-0000-3E00-000005000000}" name="04_6ヶ月～1年未満" dataDxfId="410"/>
    <tableColumn id="6" xr3:uid="{00000000-0010-0000-3E00-000006000000}" name="05_1年～1年6ヶ月未満" dataDxfId="409"/>
    <tableColumn id="7" xr3:uid="{00000000-0010-0000-3E00-000007000000}" name="06_1年6ヶ月～2年未満" dataDxfId="408"/>
    <tableColumn id="8" xr3:uid="{00000000-0010-0000-3E00-000008000000}" name="07_2年～3年未満" dataDxfId="407"/>
    <tableColumn id="9" xr3:uid="{00000000-0010-0000-3E00-000009000000}" name="08_3年～4年未満" dataDxfId="406"/>
    <tableColumn id="10" xr3:uid="{00000000-0010-0000-3E00-00000A000000}" name="09_4年～5年未満" dataDxfId="405"/>
    <tableColumn id="11" xr3:uid="{00000000-0010-0000-3E00-00000B000000}" name="10_5年～6年未満" dataDxfId="404"/>
    <tableColumn id="12" xr3:uid="{00000000-0010-0000-3E00-00000C000000}" name="11_6年～7年未満" dataDxfId="403"/>
    <tableColumn id="13" xr3:uid="{00000000-0010-0000-3E00-00000D000000}" name="12_7年～8年未満" dataDxfId="402"/>
    <tableColumn id="14" xr3:uid="{00000000-0010-0000-3E00-00000E000000}" name="13_8年～9年未満" dataDxfId="401"/>
    <tableColumn id="15" xr3:uid="{00000000-0010-0000-3E00-00000F000000}" name="14_9年～10年未満" dataDxfId="400"/>
    <tableColumn id="16" xr3:uid="{00000000-0010-0000-3E00-000010000000}" name="15_10年～20年未満" dataDxfId="399"/>
    <tableColumn id="17" xr3:uid="{00000000-0010-0000-3E00-000011000000}" name="16_ 20年以上" dataDxfId="398"/>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D9789A-AE00-4048-A4D6-63AFDD7D81FA}" name="年齢区分病院圏域" displayName="年齢区分病院圏域" ref="M3:AF13" totalsRowShown="0" headerRowDxfId="397" dataDxfId="396" tableBorderDxfId="395">
  <autoFilter ref="M3:AF13" xr:uid="{00000000-0009-0000-0100-000040000000}"/>
  <tableColumns count="20">
    <tableColumn id="1" xr3:uid="{B9EE554A-73B1-4BA2-AA48-62905E771207}" name="01豊能北" dataDxfId="394"/>
    <tableColumn id="2" xr3:uid="{4EE507B7-F304-469C-AC08-D46E287D7EB2}" name="02豊能豊中" dataDxfId="393"/>
    <tableColumn id="3" xr3:uid="{71014A4A-F6BE-4631-91DF-97053607A5F9}" name="03豊能吹田" dataDxfId="392"/>
    <tableColumn id="4" xr3:uid="{822CF067-2885-4164-88ED-49B3F024CFF3}" name="04三島" dataDxfId="391"/>
    <tableColumn id="5" xr3:uid="{6B695234-F6AF-47EB-8E7A-0118539DD874}" name="05三島高槻" dataDxfId="390"/>
    <tableColumn id="6" xr3:uid="{CC2B63D4-1B22-4539-A44A-F4723E9EB956}" name="06北河内枚方" dataDxfId="389"/>
    <tableColumn id="7" xr3:uid="{3B41B6DB-9C59-43E2-8F31-0FAA92D5EF90}" name="07北河内寝屋川" dataDxfId="388"/>
    <tableColumn id="8" xr3:uid="{B824AA12-43F0-4E8B-B3FF-4779EBEFC1BF}" name="08北河内西" dataDxfId="387"/>
    <tableColumn id="9" xr3:uid="{1BFA3168-39FA-4637-A7BF-57C0DBA39A6E}" name="09北河内東" dataDxfId="386"/>
    <tableColumn id="10" xr3:uid="{86F65EA3-EDD1-4C9A-98A6-7C4D2616E541}" name="10中河内東大阪" dataDxfId="385"/>
    <tableColumn id="11" xr3:uid="{86FE3A77-AC36-4EFC-A6B9-9F1CA18F109B}" name="11中河内八尾" dataDxfId="384"/>
    <tableColumn id="12" xr3:uid="{573F8A5A-41FE-4F3E-9EE9-8FDD23716842}" name="12中河内南" dataDxfId="383"/>
    <tableColumn id="13" xr3:uid="{3F7843FB-1054-415E-9E14-4E166F69C3E3}" name="13南河内北" dataDxfId="382"/>
    <tableColumn id="14" xr3:uid="{76E36B9E-CA12-4FB3-8C50-47A46F8A1ED2}" name="14南河内南" dataDxfId="381"/>
    <tableColumn id="15" xr3:uid="{208426FD-168D-4A1B-81F1-6F783A01DD10}" name="15泉州北" dataDxfId="380"/>
    <tableColumn id="16" xr3:uid="{E6D684FA-B39A-4FCA-99CA-5E0BEC94ED03}" name="16泉州中" dataDxfId="379"/>
    <tableColumn id="17" xr3:uid="{971B0EA3-783E-494D-ABA6-D2C8B88788F5}" name="17泉州南" dataDxfId="378"/>
    <tableColumn id="18" xr3:uid="{E55DE7C7-6913-4B25-949B-0BE4F633EEED}" name="18大阪市" dataDxfId="377"/>
    <tableColumn id="19" xr3:uid="{F472BD31-8701-45ED-88F2-CFA51FA63105}" name="19堺市" dataDxfId="376"/>
    <tableColumn id="20" xr3:uid="{7E02D6D8-5477-40E1-97F8-4627FE37CEB0}" name="列20" dataDxfId="375"/>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8B7A546-8ED9-4832-93EC-492E91EA4F22}" name="年齢区分病院圏域_65歳未満以上" displayName="年齢区分病院圏域_65歳未満以上" ref="M14:AF16" totalsRowShown="0" headerRowDxfId="374" tableBorderDxfId="373">
  <autoFilter ref="M14:AF16" xr:uid="{00000000-0009-0000-0100-000042000000}"/>
  <tableColumns count="20">
    <tableColumn id="1" xr3:uid="{91EC1289-164A-4711-9CDE-177A15F908CA}" name="列1"/>
    <tableColumn id="2" xr3:uid="{C1E17054-0D79-4093-A9E4-905C4C041BAF}" name="列2"/>
    <tableColumn id="3" xr3:uid="{C8913DF7-4307-45B2-939D-3DD66F2AE06B}" name="列3"/>
    <tableColumn id="4" xr3:uid="{DFFE79EF-D81C-4CC6-9F97-0927C852A7A1}" name="列4"/>
    <tableColumn id="5" xr3:uid="{31CD8E26-2556-41C0-8EC1-C26FFDC0494D}" name="列5"/>
    <tableColumn id="6" xr3:uid="{82FDBB5B-5F35-4D61-9E93-B120822E5444}" name="列6"/>
    <tableColumn id="7" xr3:uid="{7466DAE4-6E09-4BEA-BFDF-B7EF81B7FCAF}" name="列7"/>
    <tableColumn id="8" xr3:uid="{2C285907-03D6-4D15-96F7-4E529D1F3721}" name="列8"/>
    <tableColumn id="9" xr3:uid="{F98BF832-C58E-429A-80B8-D6CC86AED1CF}" name="列9"/>
    <tableColumn id="10" xr3:uid="{579C8577-0293-4B84-936A-A1C3129D708B}" name="列10"/>
    <tableColumn id="11" xr3:uid="{13091ED8-8E78-4780-9FCD-9425EC050F06}" name="列11"/>
    <tableColumn id="12" xr3:uid="{60D4946B-9539-4338-8FDA-56A3605DBE54}" name="列12"/>
    <tableColumn id="13" xr3:uid="{87C35418-901A-436D-8E35-2D29EC00C888}" name="列13"/>
    <tableColumn id="14" xr3:uid="{2260B710-9C01-48A0-99FE-506F9181C4EC}" name="列14"/>
    <tableColumn id="15" xr3:uid="{73B45FA8-8F54-414A-BF6D-1696EF68FA7A}" name="列15"/>
    <tableColumn id="16" xr3:uid="{1ECE132F-F4FB-461C-B814-DAA25D08E996}" name="列16"/>
    <tableColumn id="17" xr3:uid="{5EE37108-A75B-451B-8BF6-FE4820217030}" name="列17"/>
    <tableColumn id="18" xr3:uid="{BA50C3D0-E3F9-4D2B-BA15-CD6CA37BAF02}" name="列18"/>
    <tableColumn id="19" xr3:uid="{CF20DF65-A04C-4471-A776-5125729A9BFE}" name="列19"/>
    <tableColumn id="20" xr3:uid="{5FBF4332-92AD-4884-8F5E-28971FA374EF}" name="列20" dataDxfId="372"/>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46DA750-A676-4DA8-8704-6B20685E5FA2}" name="入院形態病院圏域" displayName="入院形態病院圏域" ref="M3:AF15" totalsRowShown="0" headerRowDxfId="371" dataDxfId="370">
  <autoFilter ref="M3:AF15" xr:uid="{00000000-0009-0000-0100-00004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DAFBDD3A-C4E5-4815-8A6C-15E25A10AC77}" name="行ラベル" dataDxfId="369"/>
    <tableColumn id="2" xr3:uid="{500D7132-9F33-4DD2-A0FC-EB9D0D568E9F}" name="01豊能北" dataDxfId="368"/>
    <tableColumn id="3" xr3:uid="{1028E597-B177-41B2-82F5-C8E614CA5972}" name="02豊能豊中" dataDxfId="367"/>
    <tableColumn id="4" xr3:uid="{A5D71526-3DD2-4893-84B9-BB084001312D}" name="03豊能吹田" dataDxfId="366"/>
    <tableColumn id="5" xr3:uid="{C8EC40BD-E2EF-46BA-B85E-D25A9C0DF135}" name="04三島" dataDxfId="365"/>
    <tableColumn id="6" xr3:uid="{76E0945C-1366-42C5-8F0D-0C1C715FE8C2}" name="05三島高槻" dataDxfId="364"/>
    <tableColumn id="7" xr3:uid="{E07A27EB-F9BA-4ACE-9D5F-6984688564E9}" name="06北河内枚方" dataDxfId="363"/>
    <tableColumn id="8" xr3:uid="{8054F6BB-DF94-4B29-A968-E98FBA4C4F00}" name="07北河内寝屋川" dataDxfId="362"/>
    <tableColumn id="9" xr3:uid="{BE97208D-E9CE-4DD2-9888-A293AC2C52D2}" name="08北河内西" dataDxfId="361"/>
    <tableColumn id="10" xr3:uid="{7F77AF02-D6CB-4289-9C80-DF3FF5671161}" name="09北河内東" dataDxfId="360"/>
    <tableColumn id="11" xr3:uid="{9041EABD-1C38-47B5-AD53-51F779CB1DF5}" name="10中河内東大阪" dataDxfId="359"/>
    <tableColumn id="12" xr3:uid="{C82952A5-1CE4-4AA5-A65E-EF2CFCB4BE3C}" name="11中河内八尾" dataDxfId="358"/>
    <tableColumn id="13" xr3:uid="{738AA310-E3D7-455D-9070-557409FA32F5}" name="12中河内南" dataDxfId="357"/>
    <tableColumn id="14" xr3:uid="{51798CD9-703E-46C7-A054-0A2BCA748010}" name="13南河内北" dataDxfId="356"/>
    <tableColumn id="15" xr3:uid="{E40D5B52-2A52-4B47-803A-F2820544FF25}" name="14南河内南" dataDxfId="355"/>
    <tableColumn id="16" xr3:uid="{4AB91B11-6B8B-4B96-B539-54170B6B0F99}" name="15泉州北" dataDxfId="354"/>
    <tableColumn id="17" xr3:uid="{F24E03C9-64DC-4147-B14D-2FF10FFCEC9E}" name="16泉州中" dataDxfId="353"/>
    <tableColumn id="18" xr3:uid="{42942791-4F5A-421B-A867-84BFA0AAB304}" name="17泉州南" dataDxfId="352"/>
    <tableColumn id="19" xr3:uid="{6641326B-E9B0-43DB-8595-9F8F4A2E32CD}" name="18大阪市" dataDxfId="351"/>
    <tableColumn id="20" xr3:uid="{91FB5A55-1F75-478A-BC02-5E972A1C5E00}" name="19堺市" dataDxfId="350"/>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A972142-0E7E-4775-9BC8-8D3E13E39CBA}" name="疾患名区分病院所在地" displayName="疾患名区分病院所在地" ref="M3:AH22" totalsRowShown="0" headerRowDxfId="349" dataDxfId="348">
  <autoFilter ref="M3:AH22" xr:uid="{00000000-0009-0000-0100-00004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27AD4CE-D00B-437C-A957-12E405D66A5D}" name="行ラベル" dataDxfId="347"/>
    <tableColumn id="2" xr3:uid="{B9386145-0C19-49D6-BC0E-2D5549018DEB}" name="01豊能北" dataDxfId="346"/>
    <tableColumn id="3" xr3:uid="{D54B7A02-3F31-416A-B585-FE7DF3AE251C}" name="02豊能豊中" dataDxfId="345"/>
    <tableColumn id="4" xr3:uid="{A219DCB2-8DCC-4F65-995C-12F8BE31C0E8}" name="03豊能吹田" dataDxfId="344"/>
    <tableColumn id="5" xr3:uid="{C15F122D-428A-4F1D-B80B-A7D4D23C38E6}" name="04三島" dataDxfId="343"/>
    <tableColumn id="6" xr3:uid="{D0B69641-9ABD-4673-8E1F-70AB9E53FD57}" name="05三島高槻" dataDxfId="342"/>
    <tableColumn id="7" xr3:uid="{FA0EE03E-D33D-40BF-A345-8B21D7560CB5}" name="06北河内枚方" dataDxfId="341"/>
    <tableColumn id="8" xr3:uid="{8BCFA32F-19E4-4735-A36E-5B1D6ECA895C}" name="07北河内寝屋川" dataDxfId="340"/>
    <tableColumn id="9" xr3:uid="{AB74E0A5-DA1D-41B6-9B10-159E65CA5C2D}" name="08北河内西" dataDxfId="339"/>
    <tableColumn id="10" xr3:uid="{7E86585B-9690-440B-80CC-BCCE8C95A3CE}" name="09北河内東" dataDxfId="338"/>
    <tableColumn id="11" xr3:uid="{299B70D5-1E19-4C33-BF91-2A86AEF190B9}" name="10中河内東大阪" dataDxfId="337"/>
    <tableColumn id="12" xr3:uid="{0B66004C-8428-4B4A-85B0-9F6FBD0006EE}" name="11中河内八尾" dataDxfId="336"/>
    <tableColumn id="13" xr3:uid="{DA7FD942-274D-48F4-8E07-C645055E1BCA}" name="12中河内南" dataDxfId="335"/>
    <tableColumn id="14" xr3:uid="{3E0B2DA2-9790-47A3-9788-F50A31113BAB}" name="13南河内北" dataDxfId="334"/>
    <tableColumn id="15" xr3:uid="{1F07FE4D-9AA5-43B7-B86F-B665AC0E4079}" name="14南河内南" dataDxfId="333"/>
    <tableColumn id="16" xr3:uid="{91D5BEF9-E984-463C-A1E1-CCD919BF6B27}" name="15泉州北" dataDxfId="332"/>
    <tableColumn id="17" xr3:uid="{33419408-6413-4F9A-BB7A-7246AC87BCF9}" name="16泉州中" dataDxfId="331"/>
    <tableColumn id="18" xr3:uid="{9A6A00C8-46FF-460B-A015-3C93DACA978B}" name="17泉州南" dataDxfId="330"/>
    <tableColumn id="19" xr3:uid="{9DA74523-CDA4-4E9E-BE67-30ABD8E83C9B}" name="18大阪市" dataDxfId="329"/>
    <tableColumn id="20" xr3:uid="{A56B309E-18EF-4F75-8CFF-922467E61F72}" name="19堺市" dataDxfId="328"/>
    <tableColumn id="21" xr3:uid="{AE6B1388-D247-49BA-A266-193EA10A1FAC}" name="列21" dataDxfId="327"/>
    <tableColumn id="22" xr3:uid="{92F04143-053A-4FE2-9A54-B2B1EFB40D0A}" name="列22" dataDxfId="326"/>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51567AC-4E49-430E-989B-49F1B1C3823D}" name="在院期間区分病院所在地" displayName="在院期間区分病院所在地" ref="M3:AG20" totalsRowShown="0" headerRowDxfId="325" dataDxfId="324">
  <autoFilter ref="M3:AG20" xr:uid="{00000000-0009-0000-0100-00004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1">
    <tableColumn id="1" xr3:uid="{110557D0-9ED9-429A-AECD-2FF01AF1748A}" name="行ラベル" dataDxfId="323"/>
    <tableColumn id="2" xr3:uid="{43EB62ED-B943-4682-9E82-91CD6E521E6A}" name="01豊能北" dataDxfId="322"/>
    <tableColumn id="3" xr3:uid="{699295F7-5C4F-43CF-885D-0315BDFADF17}" name="02豊能豊中" dataDxfId="321"/>
    <tableColumn id="4" xr3:uid="{6DBDEC3B-7861-467C-A852-E33F961D1B5C}" name="03豊能吹田" dataDxfId="320"/>
    <tableColumn id="5" xr3:uid="{C9173D82-B302-4E95-9C33-F409EF13496D}" name="04三島" dataDxfId="319"/>
    <tableColumn id="6" xr3:uid="{26D0F74C-6843-40FB-820D-3FCFCBB8B69E}" name="05三島高槻" dataDxfId="318"/>
    <tableColumn id="7" xr3:uid="{D598680A-FA80-4C82-8284-674346DE1764}" name="06北河内枚方" dataDxfId="317"/>
    <tableColumn id="8" xr3:uid="{544FDCB8-8B23-4D6B-96FB-F147359C1A16}" name="07北河内寝屋川" dataDxfId="316"/>
    <tableColumn id="9" xr3:uid="{BEF2945F-DC05-4254-AA1F-32959FA29BA4}" name="08北河内西" dataDxfId="315"/>
    <tableColumn id="10" xr3:uid="{417D7699-986A-42A4-8719-A3FC82FD248A}" name="09北河内東" dataDxfId="314"/>
    <tableColumn id="11" xr3:uid="{0674DBC2-26C8-42ED-8298-A080B21F9819}" name="10中河内東大阪" dataDxfId="313"/>
    <tableColumn id="12" xr3:uid="{026B7FDB-0B80-4530-858F-E9392A108228}" name="11中河内八尾" dataDxfId="312"/>
    <tableColumn id="13" xr3:uid="{C2D83C34-3BC6-4408-B7C1-2F19E7D27830}" name="12中河内南" dataDxfId="311"/>
    <tableColumn id="14" xr3:uid="{325DF5F2-B0D4-492C-A347-0FB064C8522E}" name="13南河内北" dataDxfId="310"/>
    <tableColumn id="15" xr3:uid="{46F89110-CD86-4808-84BC-270F32963E11}" name="14南河内南" dataDxfId="309"/>
    <tableColumn id="16" xr3:uid="{0EAB7ED4-6B70-4B91-8B68-4E9A290A3ED3}" name="15泉州北" dataDxfId="308"/>
    <tableColumn id="17" xr3:uid="{B52BE041-E00C-4C60-AF1C-CF76E74AFEA6}" name="16泉州中" dataDxfId="307"/>
    <tableColumn id="18" xr3:uid="{E5C812D1-9CE8-400C-80D6-86B6A62DBE62}" name="17泉州南" dataDxfId="306"/>
    <tableColumn id="19" xr3:uid="{D6C6373F-E06A-411B-9277-68BD44BD3270}" name="18大阪市" dataDxfId="305"/>
    <tableColumn id="20" xr3:uid="{DE41AB02-1460-4F5C-9D54-2DC2AC452F81}" name="19堺市" dataDxfId="304"/>
    <tableColumn id="21" xr3:uid="{0315A66C-433A-471D-AC41-732F5B283815}" name="列21" dataDxfId="303"/>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44000000}" name="状態像区分病院所在地_1年以上" displayName="状態像区分病院所在地_1年以上" ref="M24:AG31" totalsRowShown="0" headerRowDxfId="302" dataDxfId="301" tableBorderDxfId="300">
  <autoFilter ref="M24:AG31" xr:uid="{00000000-0009-0000-0100-000055000000}"/>
  <tableColumns count="21">
    <tableColumn id="1" xr3:uid="{00000000-0010-0000-4400-000001000000}" name="行ラベル" dataDxfId="299"/>
    <tableColumn id="2" xr3:uid="{00000000-0010-0000-4400-000002000000}" name="01豊能北" dataDxfId="298"/>
    <tableColumn id="3" xr3:uid="{00000000-0010-0000-4400-000003000000}" name="02豊能豊中" dataDxfId="297"/>
    <tableColumn id="4" xr3:uid="{00000000-0010-0000-4400-000004000000}" name="03豊能吹田" dataDxfId="296"/>
    <tableColumn id="5" xr3:uid="{00000000-0010-0000-4400-000005000000}" name="04三島" dataDxfId="295"/>
    <tableColumn id="6" xr3:uid="{00000000-0010-0000-4400-000006000000}" name="05三島高槻" dataDxfId="294"/>
    <tableColumn id="7" xr3:uid="{00000000-0010-0000-4400-000007000000}" name="06北河内枚方" dataDxfId="293"/>
    <tableColumn id="8" xr3:uid="{00000000-0010-0000-4400-000008000000}" name="07北河内寝屋川" dataDxfId="292"/>
    <tableColumn id="9" xr3:uid="{00000000-0010-0000-4400-000009000000}" name="08北河内西" dataDxfId="291"/>
    <tableColumn id="10" xr3:uid="{00000000-0010-0000-4400-00000A000000}" name="09北河内東" dataDxfId="290"/>
    <tableColumn id="11" xr3:uid="{00000000-0010-0000-4400-00000B000000}" name="10中河内東大阪" dataDxfId="289"/>
    <tableColumn id="12" xr3:uid="{00000000-0010-0000-4400-00000C000000}" name="11中河内八尾" dataDxfId="288"/>
    <tableColumn id="13" xr3:uid="{00000000-0010-0000-4400-00000D000000}" name="12中河内南" dataDxfId="287"/>
    <tableColumn id="14" xr3:uid="{00000000-0010-0000-4400-00000E000000}" name="13南河内北" dataDxfId="286"/>
    <tableColumn id="15" xr3:uid="{00000000-0010-0000-4400-00000F000000}" name="14南河内南" dataDxfId="285"/>
    <tableColumn id="16" xr3:uid="{00000000-0010-0000-4400-000010000000}" name="15泉州北" dataDxfId="284"/>
    <tableColumn id="17" xr3:uid="{00000000-0010-0000-4400-000011000000}" name="16泉州中" dataDxfId="283"/>
    <tableColumn id="18" xr3:uid="{00000000-0010-0000-4400-000012000000}" name="17泉州南" dataDxfId="282"/>
    <tableColumn id="19" xr3:uid="{00000000-0010-0000-4400-000013000000}" name="19堺市" dataDxfId="281"/>
    <tableColumn id="20" xr3:uid="{00000000-0010-0000-4400-000014000000}" name="総計" dataDxfId="280"/>
    <tableColumn id="21" xr3:uid="{00000000-0010-0000-4400-000015000000}" name="列21" dataDxfId="279"/>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45000000}" name="状態像区分病院所在地" displayName="状態像区分病院所在地" ref="M3:AG11" totalsRowShown="0" headerRowDxfId="278" dataDxfId="277">
  <autoFilter ref="M3:AG11" xr:uid="{00000000-0009-0000-0100-000056000000}"/>
  <tableColumns count="21">
    <tableColumn id="1" xr3:uid="{00000000-0010-0000-4500-000001000000}" name="行ラベル" dataDxfId="276"/>
    <tableColumn id="2" xr3:uid="{00000000-0010-0000-4500-000002000000}" name="01豊能北" dataDxfId="275"/>
    <tableColumn id="3" xr3:uid="{00000000-0010-0000-4500-000003000000}" name="02豊能豊中" dataDxfId="274"/>
    <tableColumn id="4" xr3:uid="{00000000-0010-0000-4500-000004000000}" name="03豊能吹田" dataDxfId="273"/>
    <tableColumn id="5" xr3:uid="{00000000-0010-0000-4500-000005000000}" name="04三島" dataDxfId="272"/>
    <tableColumn id="6" xr3:uid="{00000000-0010-0000-4500-000006000000}" name="05三島高槻" dataDxfId="271"/>
    <tableColumn id="7" xr3:uid="{00000000-0010-0000-4500-000007000000}" name="06北河内枚方" dataDxfId="270"/>
    <tableColumn id="8" xr3:uid="{00000000-0010-0000-4500-000008000000}" name="07北河内寝屋川" dataDxfId="269"/>
    <tableColumn id="9" xr3:uid="{00000000-0010-0000-4500-000009000000}" name="08北河内西" dataDxfId="268"/>
    <tableColumn id="10" xr3:uid="{00000000-0010-0000-4500-00000A000000}" name="09北河内東" dataDxfId="267"/>
    <tableColumn id="11" xr3:uid="{00000000-0010-0000-4500-00000B000000}" name="10中河内東大阪" dataDxfId="266"/>
    <tableColumn id="12" xr3:uid="{00000000-0010-0000-4500-00000C000000}" name="11中河内八尾" dataDxfId="265"/>
    <tableColumn id="13" xr3:uid="{00000000-0010-0000-4500-00000D000000}" name="12中河内南" dataDxfId="264"/>
    <tableColumn id="14" xr3:uid="{00000000-0010-0000-4500-00000E000000}" name="13南河内北" dataDxfId="263"/>
    <tableColumn id="15" xr3:uid="{00000000-0010-0000-4500-00000F000000}" name="14南河内南" dataDxfId="262"/>
    <tableColumn id="16" xr3:uid="{00000000-0010-0000-4500-000010000000}" name="15泉州北" dataDxfId="261"/>
    <tableColumn id="17" xr3:uid="{00000000-0010-0000-4500-000011000000}" name="16泉州中" dataDxfId="260"/>
    <tableColumn id="18" xr3:uid="{00000000-0010-0000-4500-000012000000}" name="17泉州南" dataDxfId="259"/>
    <tableColumn id="19" xr3:uid="{00000000-0010-0000-4500-000013000000}" name="18大阪市" dataDxfId="258"/>
    <tableColumn id="20" xr3:uid="{00000000-0010-0000-4500-000014000000}" name="19堺市" dataDxfId="257"/>
    <tableColumn id="21" xr3:uid="{00000000-0010-0000-4500-000015000000}" name="列21" dataDxfId="256"/>
  </tableColumns>
  <tableStyleInfo name="TableStyleMedium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3F74F23-5995-427A-A5F7-AB25892B578E}" name="退院予定有無病院所在地" displayName="退院予定有無病院所在地" ref="M3:AF7" totalsRowShown="0" headerRowDxfId="255" dataDxfId="254">
  <autoFilter ref="M3:AF7" xr:uid="{00000000-0009-0000-0100-00004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E5AF80BD-C1E8-4424-949C-2B727E5BEC98}" name="行ラベル" dataDxfId="253"/>
    <tableColumn id="2" xr3:uid="{071BC1AA-C654-4986-9C45-14DE58DDB7A4}" name="01豊能北" dataDxfId="252"/>
    <tableColumn id="3" xr3:uid="{2FD60031-0196-49F9-96F0-14CBB85BE127}" name="02豊能豊中" dataDxfId="251"/>
    <tableColumn id="4" xr3:uid="{7BD8693C-CEFF-4D6F-9BC6-DC7D6B94A423}" name="03豊能吹田" dataDxfId="250"/>
    <tableColumn id="5" xr3:uid="{11F44AB5-9775-4873-B5B4-EB57AE7A3C45}" name="04三島" dataDxfId="249"/>
    <tableColumn id="6" xr3:uid="{B4C100A9-EF12-43E0-BD90-D0ED69BEB145}" name="05三島高槻" dataDxfId="248"/>
    <tableColumn id="7" xr3:uid="{27FF642E-DA2A-43A0-A6F7-70CAE682F870}" name="06北河内枚方" dataDxfId="247"/>
    <tableColumn id="8" xr3:uid="{86E52848-0599-4F5B-AF59-C7FF50D61BC5}" name="07北河内寝屋川" dataDxfId="246"/>
    <tableColumn id="9" xr3:uid="{68E6747C-6989-491F-8E28-D15B3928FE3F}" name="08北河内西" dataDxfId="245"/>
    <tableColumn id="10" xr3:uid="{C0DDD179-2697-4382-975B-3E831DA18BAA}" name="09北河内東" dataDxfId="244"/>
    <tableColumn id="11" xr3:uid="{E95B9ABE-3316-4086-9C41-08C719BC5D56}" name="10中河内東大阪" dataDxfId="243"/>
    <tableColumn id="12" xr3:uid="{98FF4D21-2070-4F1D-A853-A08D2FD27E19}" name="11中河内八尾" dataDxfId="242"/>
    <tableColumn id="13" xr3:uid="{8166230C-48C3-44C2-9F55-353C1F97B192}" name="12中河内南" dataDxfId="241"/>
    <tableColumn id="14" xr3:uid="{30D45A14-5688-4011-A04B-A38D2CD60F68}" name="13南河内北" dataDxfId="240"/>
    <tableColumn id="15" xr3:uid="{931FE529-5C5C-47A1-AF2B-9614F90D51A9}" name="14南河内南" dataDxfId="239"/>
    <tableColumn id="16" xr3:uid="{AB933092-682A-4A5A-B8CB-CBBEDF269890}" name="15泉州北" dataDxfId="238"/>
    <tableColumn id="17" xr3:uid="{351793E8-6897-4B48-9F84-32CDE1AB6BB2}" name="16泉州中" dataDxfId="237"/>
    <tableColumn id="18" xr3:uid="{71FA8F05-68A7-488C-A87F-A0056038DE94}" name="17泉州南" dataDxfId="236"/>
    <tableColumn id="19" xr3:uid="{A0C1EBE9-6ACB-4C9F-96A1-BE02ABCE6D2C}" name="18大阪市" dataDxfId="235"/>
    <tableColumn id="20" xr3:uid="{FDB6F6FF-2B86-4AA6-BEAD-CB17AA674EB1}" name="19堺市" dataDxfId="234"/>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7004BA8-1D83-4296-999D-699CD57A822A}" name="退院阻害要因有無病院所在地" displayName="退院阻害要因有無病院所在地" ref="M13:AF16" totalsRowShown="0" headerRowDxfId="233" dataDxfId="232">
  <autoFilter ref="M13:AF16" xr:uid="{00000000-0009-0000-0100-00004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117240C0-FD15-4867-BD76-D1DC7187DBBE}" name="行ラベル" dataDxfId="231"/>
    <tableColumn id="2" xr3:uid="{5FA2D3A4-9419-45EE-8271-AD442201B227}" name="01豊能北" dataDxfId="230"/>
    <tableColumn id="3" xr3:uid="{FD1FBFE9-CC95-4F8D-9BC9-AF67A49FE553}" name="02豊能豊中" dataDxfId="229"/>
    <tableColumn id="4" xr3:uid="{DF445C9A-8EAE-4D1B-96E2-7314A306A062}" name="03豊能吹田" dataDxfId="228"/>
    <tableColumn id="5" xr3:uid="{92185D0A-9692-4AAE-B56E-7B0F50411123}" name="04三島" dataDxfId="227"/>
    <tableColumn id="6" xr3:uid="{BD710E15-555B-400B-B24B-D0C950E5D75F}" name="05三島高槻" dataDxfId="226"/>
    <tableColumn id="7" xr3:uid="{E7852006-A35D-4CDE-BB45-14C748B232F6}" name="06北河内枚方" dataDxfId="225"/>
    <tableColumn id="8" xr3:uid="{A230BE0F-C16C-41C2-AAF1-841CB8218F96}" name="07北河内寝屋川" dataDxfId="224"/>
    <tableColumn id="9" xr3:uid="{6E25936B-87B2-4CD0-B682-2CBF9172E5F7}" name="08北河内西" dataDxfId="223"/>
    <tableColumn id="10" xr3:uid="{98802FEC-ECEF-41D7-9096-E4D80A048300}" name="09北河内東" dataDxfId="222"/>
    <tableColumn id="11" xr3:uid="{27AAA847-4577-456A-9347-260634F404DF}" name="10中河内東大阪" dataDxfId="221"/>
    <tableColumn id="12" xr3:uid="{47B10E32-0990-4D4C-8A60-24C5929E3843}" name="11中河内八尾" dataDxfId="220"/>
    <tableColumn id="13" xr3:uid="{E616F0DB-783E-4D2E-83C5-E885625916FB}" name="12中河内南" dataDxfId="219"/>
    <tableColumn id="14" xr3:uid="{A95DAABD-3F9D-42FA-9EC5-7E47E3344435}" name="13南河内北" dataDxfId="218"/>
    <tableColumn id="15" xr3:uid="{4B47BF57-A9C0-453C-BF7B-15035A35377F}" name="14南河内南" dataDxfId="217"/>
    <tableColumn id="16" xr3:uid="{64925E9E-B1E4-40D0-82D2-D7C4ECDDBE97}" name="15泉州北" dataDxfId="216"/>
    <tableColumn id="17" xr3:uid="{8D900E27-1B74-4844-A09D-CE23B634D741}" name="16泉州中" dataDxfId="215"/>
    <tableColumn id="18" xr3:uid="{467707B5-9D36-43CA-BC60-35BFA1519DEE}" name="17泉州南" dataDxfId="214"/>
    <tableColumn id="19" xr3:uid="{E6C63CF3-2513-47D4-AA7C-29EF942475CF}" name="18大阪市" dataDxfId="213"/>
    <tableColumn id="20" xr3:uid="{89007A54-8BDB-4DA0-909B-A83B8E7DDE7E}" name="19堺市" dataDxfId="212"/>
  </tableColumns>
  <tableStyleInfo name="TableStyleMedium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8000000}" name="疾患別＿院内寛解" displayName="疾患別＿院内寛解" ref="S4:T22" totalsRowShown="0" headerRowDxfId="1012" headerRowBorderDxfId="1011" tableBorderDxfId="1010">
  <autoFilter ref="S4:T22" xr:uid="{00000000-0009-0000-0100-000006000000}">
    <filterColumn colId="0" hiddenButton="1"/>
    <filterColumn colId="1" hiddenButton="1"/>
  </autoFilter>
  <tableColumns count="2">
    <tableColumn id="1" xr3:uid="{00000000-0010-0000-0800-000001000000}" name="行ラベル" dataDxfId="1009"/>
    <tableColumn id="2" xr3:uid="{00000000-0010-0000-0800-000002000000}" name="データの個数 / 疾患名" dataDxfId="1008"/>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AB122AB-EA4E-4E24-A644-F077C4D7059E}" name="退院阻害要因病院所在地" displayName="退院阻害要因病院所在地" ref="M23:AG43" totalsRowShown="0" headerRowDxfId="211" dataDxfId="210">
  <autoFilter ref="M23:AG43" xr:uid="{00000000-0009-0000-0100-00004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1">
    <tableColumn id="1" xr3:uid="{B6101137-3F96-484B-91F1-193779B3A8F6}" name="値" dataDxfId="209"/>
    <tableColumn id="2" xr3:uid="{B6FD5E4A-20EC-40C2-BFC5-8F40DA0CB6A5}" name="01豊能北" dataDxfId="208"/>
    <tableColumn id="3" xr3:uid="{B315DE3E-FEF9-48DC-B4B1-20011276646C}" name="02豊能豊中" dataDxfId="207"/>
    <tableColumn id="4" xr3:uid="{2B7BC7F7-8323-4C7C-B0CD-82FDAECDCC2F}" name="03豊能吹田" dataDxfId="206"/>
    <tableColumn id="5" xr3:uid="{3C60C451-DF51-449D-AC37-A4EDCAC35106}" name="04三島" dataDxfId="205"/>
    <tableColumn id="6" xr3:uid="{613AAE3A-E21E-4FAD-A980-62FA0E014814}" name="05三島高槻" dataDxfId="204"/>
    <tableColumn id="7" xr3:uid="{5AEB3D9E-63E6-48DC-9F3D-B582EF6769F6}" name="06北河内枚方" dataDxfId="203"/>
    <tableColumn id="8" xr3:uid="{234CE3B6-4DF1-478A-8D9C-DC08B2FA22BA}" name="07北河内寝屋川" dataDxfId="202"/>
    <tableColumn id="9" xr3:uid="{A3225EBF-D028-4EE8-8861-67B59FC58F10}" name="08北河内西" dataDxfId="201"/>
    <tableColumn id="10" xr3:uid="{5FDE5199-4E22-47E7-9B98-CE9441DFA9BB}" name="09北河内東" dataDxfId="200"/>
    <tableColumn id="11" xr3:uid="{4665139B-B42C-433D-9410-57E10B6B3EB3}" name="10中河内東大阪" dataDxfId="199"/>
    <tableColumn id="12" xr3:uid="{DC26AA9F-DD60-449F-97F1-B558D0603EF4}" name="11中河内八尾" dataDxfId="198"/>
    <tableColumn id="13" xr3:uid="{FA6B3357-09CB-43C6-81EC-FA51DD18D29D}" name="12中河内南" dataDxfId="197"/>
    <tableColumn id="14" xr3:uid="{B5065DF3-1EF8-4B57-B15B-97E2320978C5}" name="13南河内北" dataDxfId="196"/>
    <tableColumn id="15" xr3:uid="{B9321EDF-2616-4B14-825C-E7B1EAB11C2F}" name="14南河内南" dataDxfId="195"/>
    <tableColumn id="16" xr3:uid="{C0888D6F-9DFA-4692-8C28-239280C08FC7}" name="15泉州北" dataDxfId="194"/>
    <tableColumn id="17" xr3:uid="{39A43F5D-A13D-4EE9-B64F-73ECB4E70C45}" name="16泉州中" dataDxfId="193"/>
    <tableColumn id="18" xr3:uid="{DD5699EB-2B3B-48A5-B535-941244D2112B}" name="17泉州南" dataDxfId="192"/>
    <tableColumn id="19" xr3:uid="{0EC6BDE5-8D66-44FA-BBA2-4212BF017FC8}" name="18大阪市" dataDxfId="191"/>
    <tableColumn id="20" xr3:uid="{8EC241F1-F4FE-4AA0-9415-DA7B32514A3B}" name="19堺市" dataDxfId="190"/>
    <tableColumn id="21" xr3:uid="{9091BE13-EB67-4C71-B431-13876262345A}" name="列21" dataDxfId="189"/>
  </tableColumns>
  <tableStyleInfo name="TableStyleMedium7"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D958048-318E-4D89-9665-7C3ACE0840DD}" name="年齢区分入院時住所地" displayName="年齢区分入院時住所地" ref="O3:AJ13" totalsRowShown="0" headerRowDxfId="188" tableBorderDxfId="187">
  <autoFilter ref="O3:AJ13" xr:uid="{A4E03D40-E323-40B1-9CC1-4F73D6887074}"/>
  <tableColumns count="22">
    <tableColumn id="1" xr3:uid="{C6FC9E48-4C82-4AEB-A05C-10115F70E54A}" name="01豊能北" dataDxfId="186"/>
    <tableColumn id="2" xr3:uid="{13A1D48E-08C4-4FB2-B370-D9153BCB103E}" name="02豊能豊中" dataDxfId="185"/>
    <tableColumn id="3" xr3:uid="{D6330997-7635-41FA-BDD8-3F444A0DDC35}" name="03豊能吹田" dataDxfId="184"/>
    <tableColumn id="4" xr3:uid="{3759FE78-B1D9-4783-B2B1-44D62C95CB39}" name="04三島" dataDxfId="183"/>
    <tableColumn id="5" xr3:uid="{C5B861E1-9256-4BE5-A287-30C8ACE0A55E}" name="05三島高槻" dataDxfId="182"/>
    <tableColumn id="6" xr3:uid="{F8EF20FB-536E-4037-BB35-68CECAF14EF2}" name="06北河内枚方" dataDxfId="181"/>
    <tableColumn id="7" xr3:uid="{D659896D-1FB1-4E80-B5D8-550D53BE4479}" name="07北河内寝屋川" dataDxfId="180"/>
    <tableColumn id="8" xr3:uid="{E1B35973-1095-46A5-93D4-B48FBDFB0C5A}" name="08北河内西" dataDxfId="179"/>
    <tableColumn id="9" xr3:uid="{8DBB1476-6540-456E-88EE-DAB5AA12D135}" name="09北河内東" dataDxfId="178"/>
    <tableColumn id="10" xr3:uid="{36E87653-F8A1-4401-BB49-E4C12C5E5CB7}" name="10中河内東大阪" dataDxfId="177"/>
    <tableColumn id="11" xr3:uid="{8D5CBA9A-E846-4979-9309-4F1A5A57F9CC}" name="11中河内八尾" dataDxfId="176"/>
    <tableColumn id="12" xr3:uid="{2722F484-3B94-4F0F-ABCA-E1ECE447755B}" name="12中河内南" dataDxfId="175"/>
    <tableColumn id="13" xr3:uid="{8FB6C229-F7AC-41AC-85D7-48FBD640CD91}" name="13南河内北" dataDxfId="174"/>
    <tableColumn id="14" xr3:uid="{D846A65F-5703-4F4C-B615-9DA769C3E70A}" name="14南河内南" dataDxfId="173"/>
    <tableColumn id="15" xr3:uid="{5C92A44C-6C28-4E29-9493-42B27B616B1D}" name="15泉州北" dataDxfId="172"/>
    <tableColumn id="16" xr3:uid="{D074E56A-924D-4F49-994E-50B7736B3E6B}" name="16泉州中" dataDxfId="171"/>
    <tableColumn id="17" xr3:uid="{89EC796C-4CA3-45D4-AB28-558CE1717FB7}" name="17泉州南" dataDxfId="170"/>
    <tableColumn id="18" xr3:uid="{4714A145-6C66-4876-B150-3E1F9FD97C33}" name="18大阪市" dataDxfId="169"/>
    <tableColumn id="19" xr3:uid="{D46B5823-BBE8-4032-B8E2-A5DC6B2D30FD}" name="19堺市" dataDxfId="168"/>
    <tableColumn id="20" xr3:uid="{B23916DB-B6D7-4D4E-A543-FA8BFE616DBF}" name="98他府県"/>
    <tableColumn id="21" xr3:uid="{43F95039-78DF-4DDA-A633-1B0CCF254426}" name="99不明その他" dataDxfId="167"/>
    <tableColumn id="22" xr3:uid="{AFA942EB-C4BC-43FF-8729-B20FB4011345}" name="列22" dataDxfId="166"/>
  </tableColumns>
  <tableStyleInfo name="TableStyleMedium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9560307-98FA-46D6-A1A3-CA78290DCE88}" name="年齢区分入院時住所地＿65歳未満以上" displayName="年齢区分入院時住所地＿65歳未満以上" ref="O14:AJ16" totalsRowShown="0" tableBorderDxfId="165">
  <autoFilter ref="O14:AJ16" xr:uid="{0F68B571-9292-4FE0-9A74-05251D386B27}"/>
  <tableColumns count="22">
    <tableColumn id="1" xr3:uid="{577A0187-CA2B-4A89-A2AA-526B0B9206F5}" name="列1"/>
    <tableColumn id="2" xr3:uid="{3B9CA169-9613-40B3-890F-860CB242BED9}" name="列2"/>
    <tableColumn id="3" xr3:uid="{A96302DA-B130-4407-A7D5-AFE69EC45CFD}" name="列3" dataDxfId="164"/>
    <tableColumn id="4" xr3:uid="{3EA7AD51-13AF-4EFB-9D1E-33FDCF4F3F25}" name="列4" dataDxfId="163"/>
    <tableColumn id="5" xr3:uid="{F04E003B-2AAB-4C52-A4C3-BAE4FDD1FBBD}" name="列5" dataDxfId="162"/>
    <tableColumn id="6" xr3:uid="{AA64D371-0886-480D-801C-492BEFEF4F0A}" name="列6" dataDxfId="161"/>
    <tableColumn id="7" xr3:uid="{8C6EF7D6-5AFD-4108-B722-AFF794F7B8FB}" name="列7" dataDxfId="160"/>
    <tableColumn id="8" xr3:uid="{E5D14DB0-0475-4E31-A1A7-291FD69D22B9}" name="列8" dataDxfId="159"/>
    <tableColumn id="9" xr3:uid="{7D7A6002-3F5F-4F88-97BF-9F562203D7F4}" name="列9" dataDxfId="158"/>
    <tableColumn id="10" xr3:uid="{8D272734-E198-45FE-A2E7-3E912E521A92}" name="列10" dataDxfId="157"/>
    <tableColumn id="11" xr3:uid="{C61516B1-6779-4CEA-BFAD-2D0D4DB1D867}" name="列11" dataDxfId="156"/>
    <tableColumn id="12" xr3:uid="{1361B866-4DB2-4A6A-A6CD-445C7A905403}" name="列12" dataDxfId="155"/>
    <tableColumn id="13" xr3:uid="{6E0E1B95-9B25-4415-BF38-A5E646AC38DF}" name="列13" dataDxfId="154"/>
    <tableColumn id="14" xr3:uid="{3E012BDA-5441-4F23-A5BB-458D9FDE367C}" name="列14" dataDxfId="153"/>
    <tableColumn id="15" xr3:uid="{4E5473F2-C864-4B0D-B836-708A66538254}" name="列15" dataDxfId="152"/>
    <tableColumn id="16" xr3:uid="{02467BB2-421D-4804-89C7-77F648783EF9}" name="列16" dataDxfId="151"/>
    <tableColumn id="17" xr3:uid="{5B977D3F-B156-4BA5-B7A0-F320FF9864DD}" name="列17" dataDxfId="150"/>
    <tableColumn id="18" xr3:uid="{087C5851-B66B-4749-9B23-E9C615EA6280}" name="列18" dataDxfId="149"/>
    <tableColumn id="19" xr3:uid="{66C6DE74-BDA9-40DD-B978-C7D15B085F09}" name="列19" dataDxfId="148"/>
    <tableColumn id="20" xr3:uid="{23A190DD-4756-4F28-AFF0-CD53B004AB20}" name="列20" dataDxfId="147"/>
    <tableColumn id="21" xr3:uid="{3482DECA-7201-4E11-8FED-52366ECFFCFF}" name="列21" dataDxfId="146"/>
    <tableColumn id="22" xr3:uid="{75BAA5CA-38E0-497B-B02B-68CF30C63354}" name="列22" dataDxfId="145"/>
  </tableColumns>
  <tableStyleInfo name="TableStyleMedium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AB2D5AD-286A-4781-9CBB-837CB78952D1}" name="入院形態入院時住所地" displayName="入院形態入院時住所地" ref="M3:AI11" totalsRowShown="0" headerRowDxfId="144" tableBorderDxfId="143">
  <autoFilter ref="M3:AI11" xr:uid="{00000000-0009-0000-0100-00004E000000}"/>
  <tableColumns count="23">
    <tableColumn id="1" xr3:uid="{5862894D-051B-4416-9E9D-E6521D393AEE}" name="行ラベル"/>
    <tableColumn id="2" xr3:uid="{54750374-873E-4F6B-A508-0F16E8A87749}" name="01豊能北"/>
    <tableColumn id="3" xr3:uid="{37AB7979-6525-4DC4-A744-6FFE52187F20}" name="02豊能豊中"/>
    <tableColumn id="4" xr3:uid="{C64DE173-F4B5-415E-9DA8-4D7D85ACE1AB}" name="03豊能吹田"/>
    <tableColumn id="5" xr3:uid="{8757167C-9915-4BC5-B9F2-0BEC3B19D804}" name="04三島"/>
    <tableColumn id="6" xr3:uid="{B6D163DC-0628-4124-BED3-B3A2AA75CFB7}" name="05三島高槻"/>
    <tableColumn id="7" xr3:uid="{8F455683-4D03-45A1-A6DE-4EFEADDF2F05}" name="06北河内枚方"/>
    <tableColumn id="8" xr3:uid="{E50A1836-0DA1-4048-9FF0-5946004983B5}" name="07北河内寝屋川"/>
    <tableColumn id="9" xr3:uid="{B5C714EC-B5B8-481E-AA70-D40F7FECCB78}" name="08北河内西"/>
    <tableColumn id="10" xr3:uid="{86253509-F7A8-4644-8ADA-7B84CC5D5985}" name="09北河内東"/>
    <tableColumn id="11" xr3:uid="{9604864E-EDC3-4C8A-9C1C-0E1BDD6DBB4F}" name="10中河内東大阪"/>
    <tableColumn id="12" xr3:uid="{2F29B9DB-FB49-4D67-8FE0-8D63429393C0}" name="11中河内八尾"/>
    <tableColumn id="13" xr3:uid="{352FA884-8091-479F-92A1-97E8163FD0BE}" name="12中河内南"/>
    <tableColumn id="14" xr3:uid="{F49A60B6-F00D-47BE-9191-64EF273F33B1}" name="13南河内北"/>
    <tableColumn id="15" xr3:uid="{971B5D99-AE90-4FBD-AF00-C4D07D69EF37}" name="14南河内南"/>
    <tableColumn id="16" xr3:uid="{BC4BCE30-D03E-409D-8143-62271E71BED4}" name="15泉州北"/>
    <tableColumn id="17" xr3:uid="{24588625-01D8-4E12-9223-E93C021D9F05}" name="16泉州中"/>
    <tableColumn id="18" xr3:uid="{5BF43D74-3988-4075-AFEE-B7AA4E8B73B2}" name="17泉州南"/>
    <tableColumn id="19" xr3:uid="{747E41DB-AC5B-4AC7-8D6A-07C69F882B8C}" name="18大阪市"/>
    <tableColumn id="20" xr3:uid="{8110BA32-4195-44BF-BD40-B21C027671E1}" name="19堺市"/>
    <tableColumn id="21" xr3:uid="{6A7EEC94-79B1-49C8-8AB2-C32432FD153F}" name="98他府県"/>
    <tableColumn id="22" xr3:uid="{6FFA230D-7406-45BF-B351-6A63D25EB085}" name="99不明その他" dataDxfId="142"/>
    <tableColumn id="23" xr3:uid="{F8E3B1E5-E74B-498A-8627-D1B1BCA272D4}" name="列23" dataDxfId="141"/>
  </tableColumns>
  <tableStyleInfo name="TableStyleMedium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B517102-5BA7-4C94-88A7-D072F5619777}" name="疾患名区分入院時住所地" displayName="疾患名区分入院時住所地" ref="M3:AI22" totalsRowShown="0" headerRowDxfId="140" tableBorderDxfId="139">
  <autoFilter ref="M3:AI22" xr:uid="{00000000-0009-0000-0100-00004F000000}"/>
  <tableColumns count="23">
    <tableColumn id="1" xr3:uid="{1AC524DA-ED26-4863-A8B6-8DB8BAFDD55C}" name="行ラベル" dataDxfId="138"/>
    <tableColumn id="2" xr3:uid="{310F5A31-BB1D-41E4-AF83-A1C4A2884688}" name="01豊能北"/>
    <tableColumn id="3" xr3:uid="{E6175B14-3F17-4759-96BF-510C10812ED6}" name="02豊能豊中"/>
    <tableColumn id="4" xr3:uid="{209AD5AE-B025-4C61-AFEF-3057793E4408}" name="03豊能吹田"/>
    <tableColumn id="5" xr3:uid="{86272421-CB76-4C68-A2C9-A17C0FE32CFC}" name="04三島"/>
    <tableColumn id="6" xr3:uid="{2F51EAB4-3702-4FC5-8D34-54898F341CBC}" name="05三島高槻"/>
    <tableColumn id="7" xr3:uid="{D0327E58-770C-41EF-8A13-83EA13E29EF6}" name="06北河内枚方"/>
    <tableColumn id="8" xr3:uid="{0476B811-B87F-4EA1-8224-FBA8864A5E2C}" name="07北河内寝屋川"/>
    <tableColumn id="9" xr3:uid="{53425AAB-EB6E-45FD-8893-4CA7B933CF90}" name="08北河内西"/>
    <tableColumn id="10" xr3:uid="{1E31B00D-FC31-4F20-A7F0-81651C76739D}" name="09北河内東"/>
    <tableColumn id="11" xr3:uid="{2B629122-9B39-4BB0-9C64-B92DF1898CDF}" name="10中河内東大阪"/>
    <tableColumn id="12" xr3:uid="{AF44BA8E-AAA7-4222-A599-61F43E35D941}" name="11中河内八尾"/>
    <tableColumn id="13" xr3:uid="{4B094110-C358-48AE-862D-4DBB31841A0B}" name="12中河内南"/>
    <tableColumn id="14" xr3:uid="{9444FE3C-F184-489F-8675-4C82163B8627}" name="13南河内北"/>
    <tableColumn id="15" xr3:uid="{A18910CE-27DC-4014-93BE-608BD4DDC1E2}" name="14南河内南"/>
    <tableColumn id="16" xr3:uid="{79307703-0C10-4DF7-A679-5B43869C58CC}" name="15泉州北"/>
    <tableColumn id="17" xr3:uid="{D06F539B-9AE3-4746-A29E-4C6B31351A2A}" name="16泉州中"/>
    <tableColumn id="18" xr3:uid="{46BB3E32-1F77-4942-A233-A9F9C183CB8D}" name="17泉州南"/>
    <tableColumn id="19" xr3:uid="{552107E1-5CD8-417B-B789-7FA5C868355D}" name="18大阪市"/>
    <tableColumn id="20" xr3:uid="{03CEFD00-FC40-41C0-A58F-7740F2851C19}" name="19堺市"/>
    <tableColumn id="21" xr3:uid="{F6BDB4FE-81E2-4CFD-9821-0E0ED14ABC7D}" name="98他府県"/>
    <tableColumn id="22" xr3:uid="{EF753B2A-983B-4730-9BFD-DCCEA1C9D07E}" name="99不明その他" dataDxfId="137"/>
    <tableColumn id="23" xr3:uid="{EF9886D9-57F0-4093-B3E3-30C6EB5EBB1C}" name="列23" dataDxfId="136"/>
  </tableColumns>
  <tableStyleInfo name="TableStyleMedium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153731D-D6A8-407B-B3C7-4A43D5ED7F88}" name="在院期間区分入院時住所地" displayName="在院期間区分入院時住所地" ref="M3:AI20" totalsRowShown="0" headerRowDxfId="135">
  <autoFilter ref="M3:AI20" xr:uid="{00000000-0009-0000-0100-000050000000}"/>
  <tableColumns count="23">
    <tableColumn id="1" xr3:uid="{2083EDC3-A1FE-4DAE-8376-C6E1D564FD7B}" name="行ラベル"/>
    <tableColumn id="2" xr3:uid="{1C5AC051-9820-48E0-8AFC-F69463AF43BD}" name="01豊能北"/>
    <tableColumn id="3" xr3:uid="{0BF0F90B-B3C6-494D-A87C-AAA38581692C}" name="02豊能豊中"/>
    <tableColumn id="4" xr3:uid="{2B6158DC-2B43-4B96-AC70-CA874846F1D6}" name="03豊能吹田"/>
    <tableColumn id="5" xr3:uid="{59316534-B0B5-45EC-BA11-DE620F38D9A4}" name="04三島"/>
    <tableColumn id="6" xr3:uid="{035547F8-6561-413E-959F-25CA54B5A857}" name="05三島高槻"/>
    <tableColumn id="7" xr3:uid="{B4430ABE-03D5-42CF-93E8-9D0E437EDC84}" name="06北河内枚方"/>
    <tableColumn id="8" xr3:uid="{0939737F-3247-4075-89A6-33741ECE8957}" name="07北河内寝屋川"/>
    <tableColumn id="9" xr3:uid="{4E42FFE9-3F99-42BF-B968-5688170B9C82}" name="08北河内西"/>
    <tableColumn id="10" xr3:uid="{D441E360-EA63-4CB8-9F86-51A803165504}" name="09北河内東"/>
    <tableColumn id="11" xr3:uid="{1C147394-8E73-4FA4-BF17-C54F638BDEEB}" name="10中河内東大阪"/>
    <tableColumn id="12" xr3:uid="{7CF8F3AF-9811-4BA8-8580-49E9FA11A0B6}" name="11中河内八尾"/>
    <tableColumn id="13" xr3:uid="{9A66B729-6024-455F-B9DE-EEDD0B31DE47}" name="12中河内南"/>
    <tableColumn id="14" xr3:uid="{A25A5FD5-506C-4D74-9413-DC831D6BDD0C}" name="13南河内北"/>
    <tableColumn id="15" xr3:uid="{37948A33-EE4D-4AA5-AC2F-8DED466BF140}" name="14南河内南"/>
    <tableColumn id="16" xr3:uid="{00F2DD34-FEB3-41A3-ADFD-9FA2AE9208E0}" name="15泉州北"/>
    <tableColumn id="17" xr3:uid="{AD9AF5F2-013E-4F71-9FFD-CF674DFA6CE7}" name="16泉州中"/>
    <tableColumn id="18" xr3:uid="{DD83EA53-B72A-4800-9608-71311D6FCF96}" name="17泉州南"/>
    <tableColumn id="19" xr3:uid="{6375E522-647F-4274-BFBE-DD578817A1D0}" name="18大阪市"/>
    <tableColumn id="20" xr3:uid="{139892E1-3671-420C-BB62-4A78011EC762}" name="19堺市"/>
    <tableColumn id="21" xr3:uid="{190446EA-EEAD-40DB-A765-E5576E5F7791}" name="98他府県"/>
    <tableColumn id="22" xr3:uid="{BEF47C7B-E31A-4FA7-8CA4-B300EE913FEF}" name="99不明その他"/>
    <tableColumn id="23" xr3:uid="{62C354B1-4CB8-4583-8F72-C6B67D93708E}" name="列23" dataDxfId="134"/>
  </tableColumns>
  <tableStyleInfo name="TableStyleMedium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66D4F90F-2022-483F-9A1C-1F9872168148}" name="状態像区分入院時住所地" displayName="状態像区分入院時住所地" ref="M3:AI11" totalsRowShown="0" headerRowDxfId="133" dataDxfId="132" tableBorderDxfId="131">
  <autoFilter ref="M3:AI11" xr:uid="{00000000-0009-0000-0100-000051000000}"/>
  <tableColumns count="23">
    <tableColumn id="1" xr3:uid="{523173AE-94AD-4B3B-9D2A-C2979AD35CA0}" name="行ラベル" dataDxfId="130"/>
    <tableColumn id="2" xr3:uid="{BF7FAF11-789A-4A3B-A202-CB43A24562A7}" name="01豊能北" dataDxfId="129"/>
    <tableColumn id="3" xr3:uid="{078E71ED-67E3-4256-8F03-9753ADCBAA9B}" name="02豊能豊中" dataDxfId="128"/>
    <tableColumn id="4" xr3:uid="{D000E898-19A2-4868-9EE6-F468B0872739}" name="03豊能吹田" dataDxfId="127"/>
    <tableColumn id="5" xr3:uid="{143B8C78-0313-47F6-B3CD-8E1F3A8642EF}" name="04三島" dataDxfId="126"/>
    <tableColumn id="6" xr3:uid="{31FBD758-491E-4204-8E45-45CD8A1E4D8B}" name="05三島高槻" dataDxfId="125"/>
    <tableColumn id="7" xr3:uid="{3C44C701-3A76-4A36-98BB-3DD7173FF13C}" name="06北河内枚方" dataDxfId="124"/>
    <tableColumn id="8" xr3:uid="{BE578E33-9336-4322-B4A6-677BBC6D4782}" name="07北河内寝屋川" dataDxfId="123"/>
    <tableColumn id="9" xr3:uid="{24B979A2-224D-43A2-8BFC-7EB533065813}" name="08北河内西" dataDxfId="122"/>
    <tableColumn id="10" xr3:uid="{E85C0491-572F-4C20-9345-B8C34CF0B057}" name="09北河内東" dataDxfId="121"/>
    <tableColumn id="11" xr3:uid="{17EBB9A1-7C6B-4AF1-8F32-FD9C5AE1501D}" name="10中河内東大阪" dataDxfId="120"/>
    <tableColumn id="12" xr3:uid="{54524BF7-2007-44A4-B014-FE10CAD50623}" name="11中河内八尾" dataDxfId="119"/>
    <tableColumn id="13" xr3:uid="{90F74978-CC98-4E5C-8984-ED08492F6536}" name="12中河内南" dataDxfId="118"/>
    <tableColumn id="14" xr3:uid="{77C145FF-E7A5-4488-84EB-60B5CFC78678}" name="13南河内北" dataDxfId="117"/>
    <tableColumn id="15" xr3:uid="{728F7B4C-D9A1-4E57-8A36-038698D2358B}" name="14南河内南" dataDxfId="116"/>
    <tableColumn id="16" xr3:uid="{3BD299CC-C40F-4B64-91FE-5D31AFA996C1}" name="15泉州北" dataDxfId="115"/>
    <tableColumn id="17" xr3:uid="{A3902F96-61BA-4563-B0B1-69974CDAD584}" name="16泉州中" dataDxfId="114"/>
    <tableColumn id="18" xr3:uid="{14DF5802-4C74-48E3-9133-752966282D37}" name="17泉州南" dataDxfId="113"/>
    <tableColumn id="19" xr3:uid="{2C70DE30-CBB2-46EC-96F5-F34327BB6850}" name="18大阪市" dataDxfId="112"/>
    <tableColumn id="20" xr3:uid="{29A58E14-ABF6-4D78-9A54-B59198CAAB6D}" name="19堺市" dataDxfId="111"/>
    <tableColumn id="21" xr3:uid="{7565C8FE-7488-47FD-9727-49CD99149ED2}" name="98他府県" dataDxfId="110"/>
    <tableColumn id="22" xr3:uid="{694FD68A-2968-4FD7-891C-6B4D6E19137D}" name="99不明その他" dataDxfId="109"/>
    <tableColumn id="23" xr3:uid="{CD61BE6F-5A04-4CE9-B04A-D3B5B3A2ACB0}" name="列23" dataDxfId="108"/>
  </tableColumns>
  <tableStyleInfo name="TableStyleMedium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7A33102C-BB6D-4AA5-9268-71B956F089E8}" name="状態像区分入院時住所地_1年以上" displayName="状態像区分入院時住所地_1年以上" ref="M24:AI31" totalsRowShown="0" headerRowDxfId="107" dataDxfId="106" tableBorderDxfId="105">
  <autoFilter ref="M24:AI31" xr:uid="{00000000-0009-0000-0100-000040000000}"/>
  <tableColumns count="23">
    <tableColumn id="1" xr3:uid="{06DBBC10-558D-4DE0-B2B3-5AABE500635F}" name="行ラベル" dataDxfId="104"/>
    <tableColumn id="2" xr3:uid="{D1A0FC1F-2D0F-4D18-96DF-B1DAEA3D60D3}" name="01豊能北" dataDxfId="103"/>
    <tableColumn id="3" xr3:uid="{E69666BE-63E4-49C1-BEBB-A5264C2F90E4}" name="02豊能豊中" dataDxfId="102"/>
    <tableColumn id="4" xr3:uid="{AFCF4C42-963C-4C47-BBF3-C5AE650AC7B4}" name="03豊能吹田" dataDxfId="101"/>
    <tableColumn id="5" xr3:uid="{ADF5C543-9418-4709-B346-AFB71F8220B9}" name="04三島" dataDxfId="100"/>
    <tableColumn id="6" xr3:uid="{7BCDD1FE-77ED-4073-9912-9F72FE557DC2}" name="05三島高槻" dataDxfId="99"/>
    <tableColumn id="7" xr3:uid="{73DABE68-3C5E-4E10-906E-0966579E4682}" name="06北河内枚方" dataDxfId="98"/>
    <tableColumn id="8" xr3:uid="{325E294E-1E3D-4F92-85EC-A526EE3C0EF7}" name="07北河内寝屋川" dataDxfId="97"/>
    <tableColumn id="9" xr3:uid="{5CB22458-1E3A-41BF-A64C-56E4F7E25128}" name="08北河内西" dataDxfId="96"/>
    <tableColumn id="10" xr3:uid="{05A9DBA0-7A11-450C-B4FA-66DFC0B79E56}" name="09北河内東" dataDxfId="95"/>
    <tableColumn id="11" xr3:uid="{2DA05C4E-5334-4E25-A2BA-41E893DB9239}" name="10中河内東大阪" dataDxfId="94"/>
    <tableColumn id="12" xr3:uid="{2EF12C59-4C66-41B9-8DBA-80A480B93AD6}" name="11中河内八尾" dataDxfId="93"/>
    <tableColumn id="13" xr3:uid="{863BC5C4-1D61-4C2D-AF20-CFF1C9BB8C20}" name="12中河内南" dataDxfId="92"/>
    <tableColumn id="14" xr3:uid="{F751794B-BF3E-4893-B621-28E4358A1DA0}" name="13南河内北" dataDxfId="91"/>
    <tableColumn id="15" xr3:uid="{96F9A083-2BAB-41DB-9DA6-16A03B5A9CB8}" name="14南河内南" dataDxfId="90"/>
    <tableColumn id="16" xr3:uid="{D11DA533-619A-4D91-A039-A2C823F71D5E}" name="15泉州北" dataDxfId="89"/>
    <tableColumn id="17" xr3:uid="{52C8542A-A0A8-47A7-B1F1-8003F900CA2D}" name="16泉州中" dataDxfId="88"/>
    <tableColumn id="18" xr3:uid="{7BA2F1C2-2175-4E84-AA53-82603E328126}" name="17泉州南" dataDxfId="87"/>
    <tableColumn id="19" xr3:uid="{B4B05D0C-0A20-4646-9C69-582CBCB8D915}" name="18大阪市" dataDxfId="86"/>
    <tableColumn id="20" xr3:uid="{C2E97F90-7F51-4D66-B754-E1120FE94FC7}" name="19堺市" dataDxfId="85"/>
    <tableColumn id="21" xr3:uid="{51FB48A8-BE60-40BF-8A15-ACEC45DB69FD}" name="98他府県" dataDxfId="84"/>
    <tableColumn id="22" xr3:uid="{9F6DD128-8658-470C-A2A3-75A2390214DE}" name="99不明その他" dataDxfId="83"/>
    <tableColumn id="23" xr3:uid="{F8EDBEEF-E6E1-47D8-B918-956D5226D6F0}" name="列23" dataDxfId="82"/>
  </tableColumns>
  <tableStyleInfo name="TableStyleMedium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96195F5A-D089-4748-89EF-3409069F741F}" name="退院予定有無入院時住所地" displayName="退院予定有無入院時住所地" ref="M3:AI6" totalsRowShown="0" headerRowDxfId="81" dataDxfId="80">
  <autoFilter ref="M3:AI6" xr:uid="{00000000-0009-0000-0100-00004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E044D51E-1E45-46DA-B191-06E18490CA97}" name="行ラベル" dataDxfId="79"/>
    <tableColumn id="2" xr3:uid="{1F7400D8-E10E-4143-91DD-FB713EE5E3AB}" name="01豊能北" dataDxfId="78"/>
    <tableColumn id="3" xr3:uid="{B85DA201-A0C3-4882-9BC2-5BFF87DB1C44}" name="02豊能豊中" dataDxfId="77"/>
    <tableColumn id="4" xr3:uid="{1AFB495A-8EEA-49FB-B8EE-807B0FEF052B}" name="03豊能吹田" dataDxfId="76"/>
    <tableColumn id="5" xr3:uid="{AAEE8FA8-284F-4B8E-A43A-59EFC8AF48CD}" name="04三島" dataDxfId="75"/>
    <tableColumn id="6" xr3:uid="{9A1955B9-440F-4A26-8AC9-C8082ABD7D93}" name="05三島高槻" dataDxfId="74"/>
    <tableColumn id="7" xr3:uid="{A0058426-2B02-4150-B656-7E3F39C874A2}" name="06北河内枚方" dataDxfId="73"/>
    <tableColumn id="8" xr3:uid="{119A3979-DA1C-4675-A876-4B25B3D3E2A4}" name="07北河内寝屋川" dataDxfId="72"/>
    <tableColumn id="9" xr3:uid="{20AFD7B0-76D7-4A4E-829D-A9EB1EAED657}" name="08北河内西" dataDxfId="71"/>
    <tableColumn id="10" xr3:uid="{33C9BE53-3B7D-47B2-8FDC-9136B5253A63}" name="09北河内東" dataDxfId="70"/>
    <tableColumn id="11" xr3:uid="{EDF8F4AE-EB87-4A25-ABAC-C218EF8639C1}" name="10中河内東大阪" dataDxfId="69"/>
    <tableColumn id="12" xr3:uid="{EE6A7590-9A23-4587-81E7-59C00CE99A63}" name="11中河内八尾" dataDxfId="68"/>
    <tableColumn id="13" xr3:uid="{BA66784D-A0E9-4A9F-8036-755D6505D08C}" name="12中河内南" dataDxfId="67"/>
    <tableColumn id="14" xr3:uid="{649E5B4D-B1D5-4576-8D0B-CAFE01990416}" name="13南河内北" dataDxfId="66"/>
    <tableColumn id="15" xr3:uid="{1573A135-F3C6-4FFA-8D00-DA96602957A0}" name="14南河内南" dataDxfId="65"/>
    <tableColumn id="16" xr3:uid="{C89EC9E1-639C-4100-A933-8DDE33BEA25F}" name="15泉州北" dataDxfId="64"/>
    <tableColumn id="17" xr3:uid="{64F7FC77-2A43-4994-A9C6-B315F351D80A}" name="16泉州中" dataDxfId="63"/>
    <tableColumn id="18" xr3:uid="{EAF279FD-87BC-49B1-9BD5-EA474EFF9AA7}" name="17泉州南" dataDxfId="62"/>
    <tableColumn id="19" xr3:uid="{C4DA41C8-957B-41B1-9342-B660D33FE2CC}" name="18大阪市" dataDxfId="61"/>
    <tableColumn id="20" xr3:uid="{0731F4C6-3D49-4917-84D7-DE4E576D17C1}" name="19堺市" dataDxfId="60"/>
    <tableColumn id="21" xr3:uid="{2D122883-E31D-4AF5-BB27-9C3F297965A0}" name="98他府県" dataDxfId="59"/>
    <tableColumn id="22" xr3:uid="{B0BA340E-D8DC-4E4D-A025-E86164CB90FC}" name="99不明その他" dataDxfId="58"/>
    <tableColumn id="23" xr3:uid="{450D8A0F-A5E9-4E5A-82E7-CB72F1C616D9}" name="列23" dataDxfId="57"/>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D7EAD4CE-2CD4-484C-81C1-554D781FCE8D}" name="退院阻害要因入院時住所地" displayName="退院阻害要因入院時住所地" ref="M23:AI43" totalsRowShown="0" headerRowDxfId="56" dataDxfId="54" headerRowBorderDxfId="55">
  <autoFilter ref="M23:AI43" xr:uid="{00000000-0009-0000-0100-00004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11B0CAC2-C676-45B5-810B-C678969C4968}" name="値" dataDxfId="53"/>
    <tableColumn id="2" xr3:uid="{A6F9671C-2679-40D1-BCC3-924A4E0EFCD2}" name="01豊能北" dataDxfId="52"/>
    <tableColumn id="3" xr3:uid="{DC567580-20E7-4269-9838-D3006850938E}" name="02豊能豊中" dataDxfId="51"/>
    <tableColumn id="4" xr3:uid="{0C305794-C2D5-4049-80A1-86E0D3D3F940}" name="03豊能吹田" dataDxfId="50"/>
    <tableColumn id="5" xr3:uid="{325DB9DA-C48E-4C8A-B37C-B578C4717C44}" name="04三島" dataDxfId="49"/>
    <tableColumn id="6" xr3:uid="{9F474E76-4711-4CF4-9F86-62CB7A811710}" name="05三島高槻" dataDxfId="48"/>
    <tableColumn id="7" xr3:uid="{891C6388-6E75-428B-B634-078FFAE00DCD}" name="06北河内枚方" dataDxfId="47"/>
    <tableColumn id="8" xr3:uid="{D176FA49-88F9-45A7-A3CD-4E3E34CCEC3D}" name="07北河内寝屋川" dataDxfId="46"/>
    <tableColumn id="9" xr3:uid="{D968DC22-8078-430F-9F8B-4A633EABEED3}" name="08北河内西" dataDxfId="45"/>
    <tableColumn id="10" xr3:uid="{FF323CAF-4DCF-4BE0-BE65-F4C37BB81DD3}" name="09北河内東" dataDxfId="44"/>
    <tableColumn id="11" xr3:uid="{C3D84560-4F0C-4228-BE07-B88679503E8A}" name="10中河内東大阪" dataDxfId="43"/>
    <tableColumn id="12" xr3:uid="{705FF3AC-8EA3-43F7-A5E3-5FB27CB05B35}" name="11中河内八尾" dataDxfId="42"/>
    <tableColumn id="13" xr3:uid="{BD5CEDFD-9DFA-4344-9082-B6D1007892E4}" name="12中河内南" dataDxfId="41"/>
    <tableColumn id="14" xr3:uid="{A3BEA60C-98DB-46EF-B6B5-8B4D333598C5}" name="13南河内北" dataDxfId="40"/>
    <tableColumn id="15" xr3:uid="{F370DB26-DCEC-4553-A1BC-86A6C991B141}" name="14南河内南" dataDxfId="39"/>
    <tableColumn id="16" xr3:uid="{8DF87C10-EE66-4A4E-AE87-782716F024C6}" name="15泉州北" dataDxfId="38"/>
    <tableColumn id="17" xr3:uid="{73708E8A-7FE4-418B-9F4B-2793416DCD59}" name="16泉州中" dataDxfId="37"/>
    <tableColumn id="18" xr3:uid="{67D5C03F-CA42-4082-B47E-C7693A182B1E}" name="17泉州南" dataDxfId="36"/>
    <tableColumn id="19" xr3:uid="{0578D129-4799-4955-B88D-A0143A79C67D}" name="18大阪市" dataDxfId="35"/>
    <tableColumn id="20" xr3:uid="{9809EAA7-A801-480B-89B0-8F5BD23E8A11}" name="19堺市" dataDxfId="34"/>
    <tableColumn id="21" xr3:uid="{FBFBAD1F-5BE9-4363-B9B5-2ECE93478B40}" name="98他府県" dataDxfId="33"/>
    <tableColumn id="22" xr3:uid="{41C65999-1EEF-4C22-8F71-592CD76BB1FC}" name="99不明その他" dataDxfId="32"/>
    <tableColumn id="23" xr3:uid="{068E070D-10C1-4664-9128-ABB642BD839D}" name="列23" dataDxfId="3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77F65B1-8AC7-409E-A5AC-EE9E5EE0DC86}" name="年齢区分＿1年以上" displayName="年齢区分＿1年以上" ref="K4:L13" totalsRowShown="0" tableBorderDxfId="1007">
  <autoFilter ref="K4:L13" xr:uid="{D77F65B1-8AC7-409E-A5AC-EE9E5EE0DC86}"/>
  <tableColumns count="2">
    <tableColumn id="1" xr3:uid="{B73B2CDE-96AF-460D-A97D-E85D56CCA301}" name="行ラベル" dataDxfId="1006"/>
    <tableColumn id="2" xr3:uid="{CCADDD6F-85B5-422D-AA1C-137D31495AFE}" name="データの個数 / 年齢" dataDxfId="1005"/>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B3FA766-5437-411E-B55F-B65E3A898204}" name="退院阻害要因有無入院時住所地" displayName="退院阻害要因有無入院時住所地" ref="M13:AI16" totalsRowShown="0" tableBorderDxfId="30">
  <autoFilter ref="M13:AI16" xr:uid="{00000000-0009-0000-0100-000052000000}"/>
  <tableColumns count="23">
    <tableColumn id="1" xr3:uid="{F1DAFF0C-B7C6-42FB-8079-11BAC29B09FF}" name="行ラベル"/>
    <tableColumn id="2" xr3:uid="{D78D4AC1-6F55-49CD-A9F3-36AF7C4C8E1A}" name="01豊能北"/>
    <tableColumn id="3" xr3:uid="{F8AB241F-3B20-478A-8835-E394CDB9ACE4}" name="02豊能豊中"/>
    <tableColumn id="4" xr3:uid="{4F709063-C940-49A2-A86E-BB86EAABC042}" name="03豊能吹田"/>
    <tableColumn id="5" xr3:uid="{1CF9DC9A-3E5F-4D81-BA73-266B1B72E1EA}" name="04三島"/>
    <tableColumn id="6" xr3:uid="{5A8235FC-C76F-4902-95C1-347298A366C4}" name="05三島高槻"/>
    <tableColumn id="7" xr3:uid="{54988DAE-152B-4FC2-A207-CCA1CDF8529B}" name="06北河内枚方"/>
    <tableColumn id="8" xr3:uid="{C70C5C10-C30E-43A5-8829-736F111A53CA}" name="07北河内寝屋川"/>
    <tableColumn id="9" xr3:uid="{16D56585-DE96-4333-9111-263661800D07}" name="08北河内西"/>
    <tableColumn id="10" xr3:uid="{EC8AE9A4-62C4-4B47-9ACB-8648754A9D38}" name="09北河内東"/>
    <tableColumn id="11" xr3:uid="{E8FB8503-0500-4B95-93E5-8329A4884087}" name="10中河内東大阪"/>
    <tableColumn id="12" xr3:uid="{B03094A4-26BC-4E4B-9AD2-38E60E9F6708}" name="11中河内八尾"/>
    <tableColumn id="13" xr3:uid="{E9B635DF-D58D-439C-BBA9-3524E130020C}" name="12中河内南"/>
    <tableColumn id="14" xr3:uid="{5DCCA9CF-A82D-4D95-9F14-09F42F861925}" name="13南河内北"/>
    <tableColumn id="15" xr3:uid="{C5F2C8EB-FA9E-4302-B353-89B72F2A4A98}" name="14南河内南"/>
    <tableColumn id="16" xr3:uid="{338431E3-48E3-4274-83FA-6C2BB126718B}" name="15泉州北"/>
    <tableColumn id="17" xr3:uid="{714E08A3-DEDF-42F8-9F1B-91252BBE5F78}" name="16泉州中"/>
    <tableColumn id="18" xr3:uid="{5BF5C5B3-1AFD-4DB9-B47D-CDAA221DF4FE}" name="17泉州南"/>
    <tableColumn id="19" xr3:uid="{80800082-BDB1-44CE-BAD0-5A6AA17E79AD}" name="18大阪市"/>
    <tableColumn id="20" xr3:uid="{A5EF985B-8289-4E16-9242-8328AA7E13F6}" name="19堺市"/>
    <tableColumn id="21" xr3:uid="{E525C5C8-19EC-4F0B-87FA-0EAE3C55FA62}" name="98他府県"/>
    <tableColumn id="22" xr3:uid="{E6A324DE-2C02-4B8F-92C4-536E4FFD52B6}" name="99不明その他"/>
    <tableColumn id="23" xr3:uid="{A330CE45-218B-4F3B-B23F-330A8E859C82}" name="列23"/>
  </tableColumns>
  <tableStyleInfo name="TableStyleMedium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556A7C69-7825-4CE6-A891-29DF71E72665}" name="圏域圏域" displayName="圏域圏域" ref="N4:AI24" totalsRowShown="0" headerRowDxfId="29" dataDxfId="28">
  <autoFilter ref="N4:AI24" xr:uid="{00000000-0009-0000-0100-00004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DBEE64DA-18CE-4966-8397-2B5EE9D1DDC8}" name="行ラベル" dataDxfId="27"/>
    <tableColumn id="2" xr3:uid="{90370E9B-5BBA-4B04-B61B-5946FAC224C7}" name="01豊能北" dataDxfId="26"/>
    <tableColumn id="3" xr3:uid="{B9F3406B-E0A3-4EBF-992A-885EF9451B9E}" name="02豊能豊中" dataDxfId="25"/>
    <tableColumn id="4" xr3:uid="{2A580DD2-A7EA-4387-9C8E-E30091549843}" name="03豊能吹田" dataDxfId="24"/>
    <tableColumn id="5" xr3:uid="{9DF2D0CE-3B9F-467F-AD10-76D42B38F432}" name="04三島" dataDxfId="23"/>
    <tableColumn id="6" xr3:uid="{5458184B-0280-49A3-AB7C-53ED79CBE8BA}" name="05三島高槻" dataDxfId="22"/>
    <tableColumn id="7" xr3:uid="{077A1BC4-278D-4DAC-8D1C-1867106A8946}" name="06北河内枚方" dataDxfId="21"/>
    <tableColumn id="8" xr3:uid="{8B2ECCE3-DF6C-46D2-9FDE-D01F170E50DE}" name="07北河内寝屋川" dataDxfId="20"/>
    <tableColumn id="9" xr3:uid="{F7C7598E-EC78-4C6E-B93D-A024EE300D6B}" name="08北河内西" dataDxfId="19"/>
    <tableColumn id="10" xr3:uid="{426E1441-633A-42FE-B1A7-58AC851E79DB}" name="09北河内東" dataDxfId="18"/>
    <tableColumn id="11" xr3:uid="{A5749C70-8BB1-47DD-BDEA-A66AC3D8DDA8}" name="10中河内東大阪" dataDxfId="17"/>
    <tableColumn id="12" xr3:uid="{DE26637A-F4C8-4DEF-AC13-2644C9E31119}" name="11中河内八尾" dataDxfId="16"/>
    <tableColumn id="13" xr3:uid="{F22D9419-DFE1-46DC-977E-E9B159488718}" name="12中河内南" dataDxfId="15"/>
    <tableColumn id="14" xr3:uid="{ABE753CC-6C9C-4F48-A637-99FA8F6B756B}" name="13南河内北" dataDxfId="14"/>
    <tableColumn id="15" xr3:uid="{7FF5BC44-55CC-4F85-B9A4-9BC270A4B79E}" name="14南河内南" dataDxfId="13"/>
    <tableColumn id="16" xr3:uid="{258759CD-9763-4CB1-8A00-D3D725662953}" name="15泉州北" dataDxfId="12"/>
    <tableColumn id="17" xr3:uid="{1D8C1DAD-5E85-4A06-84A7-42760ED3AC63}" name="16泉州中" dataDxfId="11"/>
    <tableColumn id="18" xr3:uid="{5F91C6B9-CB44-4946-B91B-3DA50F80E98B}" name="17泉州南" dataDxfId="10"/>
    <tableColumn id="19" xr3:uid="{DD6048D8-56C0-4F6F-8DC4-EF4801742C8C}" name="18大阪市" dataDxfId="9"/>
    <tableColumn id="20" xr3:uid="{9013D089-CFA1-4412-849C-8C9CB45BEC67}" name="19堺市" dataDxfId="8"/>
    <tableColumn id="21" xr3:uid="{EE63367E-361E-43BC-96EE-86EDB1F5A740}" name="98他府県" dataDxfId="7"/>
    <tableColumn id="22" xr3:uid="{22ABA09A-D70D-4229-85C1-891238E8DA91}" name="99不明その他" dataDxfId="6"/>
  </tableColumns>
  <tableStyleInfo name="TableStyleMedium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EE85F4C-9179-4A32-98B0-6B649C30C8CE}" name="圏域圏域＿1年以上" displayName="圏域圏域＿1年以上" ref="N27:AJ48" totalsRowShown="0" headerRowDxfId="5" headerRowBorderDxfId="4" tableBorderDxfId="3" totalsRowBorderDxfId="2">
  <autoFilter ref="N27:AJ48" xr:uid="{00000000-0009-0000-0100-000053000000}"/>
  <tableColumns count="23">
    <tableColumn id="1" xr3:uid="{0DBE5C9C-2650-425B-8771-DEFC3FC69330}" name="行ラベル" dataDxfId="1"/>
    <tableColumn id="2" xr3:uid="{820CCB48-A047-49DE-AE4D-820F9EF8B0D0}" name="01豊能北"/>
    <tableColumn id="3" xr3:uid="{F0F069D6-0B5E-4A44-A5EA-2236D601F52F}" name="02豊能豊中"/>
    <tableColumn id="4" xr3:uid="{E92400FA-A9F7-491A-98DB-C6FBC7FC8105}" name="03豊能吹田"/>
    <tableColumn id="5" xr3:uid="{D06C20AE-1316-4A57-B916-C115B121B8E5}" name="04三島"/>
    <tableColumn id="6" xr3:uid="{983FE0FD-918A-401E-87C5-38F4E8E8575C}" name="05三島高槻"/>
    <tableColumn id="7" xr3:uid="{32BD9E31-44B4-44B5-8657-0BEF3A7D0457}" name="06北河内枚方"/>
    <tableColumn id="8" xr3:uid="{D11AAFA3-7D3E-4A34-9A2D-19330CBC643D}" name="07北河内寝屋川"/>
    <tableColumn id="9" xr3:uid="{71EC9398-9E8E-4642-A89D-67DBE08D072F}" name="08北河内西"/>
    <tableColumn id="10" xr3:uid="{754C1D9E-5848-42F0-B2E1-36482AB13D98}" name="09北河内東"/>
    <tableColumn id="11" xr3:uid="{4C96DD4A-8214-45E6-95DB-FD450CACD504}" name="10中河内東大阪"/>
    <tableColumn id="12" xr3:uid="{F27A344A-FD6C-4E39-B729-90340B5D0E11}" name="11中河内八尾"/>
    <tableColumn id="13" xr3:uid="{37EBD2D7-1483-4DD6-A4F0-624055B0BD8F}" name="12中河内南"/>
    <tableColumn id="14" xr3:uid="{CFC4E4F4-4EE9-46E3-8B7E-FA29B7144817}" name="13南河内北"/>
    <tableColumn id="15" xr3:uid="{3C9547E9-508C-4880-8873-85955A097F45}" name="14南河内南"/>
    <tableColumn id="16" xr3:uid="{939CB8FF-9F75-42F6-AEA8-9218EFCA66B7}" name="15泉州北"/>
    <tableColumn id="17" xr3:uid="{A9984D31-294C-4238-82AC-33090DD40810}" name="16泉州中"/>
    <tableColumn id="18" xr3:uid="{D0846641-9D9C-413F-8A9D-701445694412}" name="17泉州南"/>
    <tableColumn id="19" xr3:uid="{B1BA53FD-5C01-410D-8E84-92BC62C627C4}" name="18大阪市"/>
    <tableColumn id="20" xr3:uid="{0DD6AB9C-0DCB-445C-BA72-67055AEAAF64}" name="19堺市"/>
    <tableColumn id="21" xr3:uid="{C800C5B7-7C4E-4684-8C13-45DD9DED4517}" name="98他府県"/>
    <tableColumn id="22" xr3:uid="{4895B621-8492-4952-A94B-AD48D9519BC0}" name="99不明その他"/>
    <tableColumn id="23" xr3:uid="{F873960B-7130-4437-B787-EF251BF908FC}" name="列23" dataDxfId="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74B5C80-8792-4200-A051-7B66E7C8D39F}" name="年齢区分＿1年以上＿寛解" displayName="年齢区分＿1年以上＿寛解" ref="N4:O13" totalsRowShown="0" tableBorderDxfId="1004">
  <autoFilter ref="N4:O13" xr:uid="{574B5C80-8792-4200-A051-7B66E7C8D39F}"/>
  <tableColumns count="2">
    <tableColumn id="1" xr3:uid="{A1364E8A-8A2A-4205-8C8F-D39472AB0BC1}" name="行ラベル" dataDxfId="1003"/>
    <tableColumn id="2" xr3:uid="{718F9E25-9B5E-425B-AF8F-85FB3A8652CE}" name="データの個数 / 年齢" dataDxfId="100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DC532FD-DF71-4FB8-833A-E0BE4A045DC1}" name="年齢区分＿1年以上＿院内寛解" displayName="年齢区分＿1年以上＿院内寛解" ref="P4:Q13" totalsRowShown="0" tableBorderDxfId="1001">
  <autoFilter ref="P4:Q13" xr:uid="{5DC532FD-DF71-4FB8-833A-E0BE4A045DC1}"/>
  <tableColumns count="2">
    <tableColumn id="1" xr3:uid="{914C38BB-DBB8-44CF-8599-7DACCA86FEED}" name="行ラベル" dataDxfId="1000"/>
    <tableColumn id="2" xr3:uid="{F630CF99-D5A7-4361-B084-6432CBEE3CB8}" name="データの個数 / 年齢" dataDxfId="999"/>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table" Target="../tables/table12.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trlProp" Target="../ctrlProps/ctrlProp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trlProp" Target="../ctrlProps/ctrlProp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ctrlProp" Target="../ctrlProps/ctrlProp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6.bin"/><Relationship Id="rId6" Type="http://schemas.openxmlformats.org/officeDocument/2006/relationships/table" Target="../tables/table16.xml"/><Relationship Id="rId5" Type="http://schemas.openxmlformats.org/officeDocument/2006/relationships/table" Target="../tables/table15.xml"/><Relationship Id="rId4" Type="http://schemas.openxmlformats.org/officeDocument/2006/relationships/ctrlProp" Target="../ctrlProps/ctrlProp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trlProp" Target="../ctrlProps/ctrlProp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trlProp" Target="../ctrlProps/ctrlProp17.xml"/></Relationships>
</file>

<file path=xl/worksheets/_rels/sheet19.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vmlDrawing" Target="../drawings/vmlDrawing18.vml"/><Relationship Id="rId7" Type="http://schemas.openxmlformats.org/officeDocument/2006/relationships/table" Target="../tables/table19.xml"/><Relationship Id="rId2" Type="http://schemas.openxmlformats.org/officeDocument/2006/relationships/drawing" Target="../drawings/drawing18.xml"/><Relationship Id="rId1" Type="http://schemas.openxmlformats.org/officeDocument/2006/relationships/printerSettings" Target="../printerSettings/printerSettings19.bin"/><Relationship Id="rId6" Type="http://schemas.openxmlformats.org/officeDocument/2006/relationships/table" Target="../tables/table18.xml"/><Relationship Id="rId5" Type="http://schemas.openxmlformats.org/officeDocument/2006/relationships/table" Target="../tables/table17.xml"/><Relationship Id="rId10" Type="http://schemas.openxmlformats.org/officeDocument/2006/relationships/table" Target="../tables/table22.xml"/><Relationship Id="rId4" Type="http://schemas.openxmlformats.org/officeDocument/2006/relationships/ctrlProp" Target="../ctrlProps/ctrlProp18.xml"/><Relationship Id="rId9" Type="http://schemas.openxmlformats.org/officeDocument/2006/relationships/table" Target="../tables/table2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8" Type="http://schemas.openxmlformats.org/officeDocument/2006/relationships/table" Target="../tables/table26.xml"/><Relationship Id="rId3" Type="http://schemas.openxmlformats.org/officeDocument/2006/relationships/vmlDrawing" Target="../drawings/vmlDrawing19.vml"/><Relationship Id="rId7" Type="http://schemas.openxmlformats.org/officeDocument/2006/relationships/table" Target="../tables/table25.xml"/><Relationship Id="rId2" Type="http://schemas.openxmlformats.org/officeDocument/2006/relationships/drawing" Target="../drawings/drawing19.xml"/><Relationship Id="rId1" Type="http://schemas.openxmlformats.org/officeDocument/2006/relationships/printerSettings" Target="../printerSettings/printerSettings20.bin"/><Relationship Id="rId6" Type="http://schemas.openxmlformats.org/officeDocument/2006/relationships/table" Target="../tables/table24.xml"/><Relationship Id="rId5" Type="http://schemas.openxmlformats.org/officeDocument/2006/relationships/table" Target="../tables/table23.xml"/><Relationship Id="rId10" Type="http://schemas.openxmlformats.org/officeDocument/2006/relationships/table" Target="../tables/table28.xml"/><Relationship Id="rId4" Type="http://schemas.openxmlformats.org/officeDocument/2006/relationships/ctrlProp" Target="../ctrlProps/ctrlProp19.xml"/><Relationship Id="rId9" Type="http://schemas.openxmlformats.org/officeDocument/2006/relationships/table" Target="../tables/table27.xml"/></Relationships>
</file>

<file path=xl/worksheets/_rels/sheet21.xml.rels><?xml version="1.0" encoding="UTF-8" standalone="yes"?>
<Relationships xmlns="http://schemas.openxmlformats.org/package/2006/relationships"><Relationship Id="rId8" Type="http://schemas.openxmlformats.org/officeDocument/2006/relationships/table" Target="../tables/table32.xml"/><Relationship Id="rId3" Type="http://schemas.openxmlformats.org/officeDocument/2006/relationships/vmlDrawing" Target="../drawings/vmlDrawing20.vml"/><Relationship Id="rId7" Type="http://schemas.openxmlformats.org/officeDocument/2006/relationships/table" Target="../tables/table31.xml"/><Relationship Id="rId2" Type="http://schemas.openxmlformats.org/officeDocument/2006/relationships/drawing" Target="../drawings/drawing20.xml"/><Relationship Id="rId1" Type="http://schemas.openxmlformats.org/officeDocument/2006/relationships/printerSettings" Target="../printerSettings/printerSettings21.bin"/><Relationship Id="rId6" Type="http://schemas.openxmlformats.org/officeDocument/2006/relationships/table" Target="../tables/table30.xml"/><Relationship Id="rId5" Type="http://schemas.openxmlformats.org/officeDocument/2006/relationships/table" Target="../tables/table29.xml"/><Relationship Id="rId10" Type="http://schemas.openxmlformats.org/officeDocument/2006/relationships/table" Target="../tables/table34.xml"/><Relationship Id="rId4" Type="http://schemas.openxmlformats.org/officeDocument/2006/relationships/ctrlProp" Target="../ctrlProps/ctrlProp20.xml"/><Relationship Id="rId9" Type="http://schemas.openxmlformats.org/officeDocument/2006/relationships/table" Target="../tables/table33.xml"/></Relationships>
</file>

<file path=xl/worksheets/_rels/sheet22.xml.rels><?xml version="1.0" encoding="UTF-8" standalone="yes"?>
<Relationships xmlns="http://schemas.openxmlformats.org/package/2006/relationships"><Relationship Id="rId8" Type="http://schemas.openxmlformats.org/officeDocument/2006/relationships/table" Target="../tables/table38.xml"/><Relationship Id="rId3" Type="http://schemas.openxmlformats.org/officeDocument/2006/relationships/vmlDrawing" Target="../drawings/vmlDrawing21.vml"/><Relationship Id="rId7" Type="http://schemas.openxmlformats.org/officeDocument/2006/relationships/table" Target="../tables/table37.xml"/><Relationship Id="rId2" Type="http://schemas.openxmlformats.org/officeDocument/2006/relationships/drawing" Target="../drawings/drawing21.xml"/><Relationship Id="rId1" Type="http://schemas.openxmlformats.org/officeDocument/2006/relationships/printerSettings" Target="../printerSettings/printerSettings22.bin"/><Relationship Id="rId6" Type="http://schemas.openxmlformats.org/officeDocument/2006/relationships/table" Target="../tables/table36.xml"/><Relationship Id="rId5" Type="http://schemas.openxmlformats.org/officeDocument/2006/relationships/table" Target="../tables/table35.xml"/><Relationship Id="rId4" Type="http://schemas.openxmlformats.org/officeDocument/2006/relationships/ctrlProp" Target="../ctrlProps/ctrlProp21.xml"/></Relationships>
</file>

<file path=xl/worksheets/_rels/sheet23.xml.rels><?xml version="1.0" encoding="UTF-8" standalone="yes"?>
<Relationships xmlns="http://schemas.openxmlformats.org/package/2006/relationships"><Relationship Id="rId8" Type="http://schemas.openxmlformats.org/officeDocument/2006/relationships/table" Target="../tables/table42.xml"/><Relationship Id="rId3" Type="http://schemas.openxmlformats.org/officeDocument/2006/relationships/vmlDrawing" Target="../drawings/vmlDrawing22.vml"/><Relationship Id="rId7" Type="http://schemas.openxmlformats.org/officeDocument/2006/relationships/table" Target="../tables/table41.xml"/><Relationship Id="rId2" Type="http://schemas.openxmlformats.org/officeDocument/2006/relationships/drawing" Target="../drawings/drawing22.xml"/><Relationship Id="rId1" Type="http://schemas.openxmlformats.org/officeDocument/2006/relationships/printerSettings" Target="../printerSettings/printerSettings23.bin"/><Relationship Id="rId6" Type="http://schemas.openxmlformats.org/officeDocument/2006/relationships/table" Target="../tables/table40.xml"/><Relationship Id="rId5" Type="http://schemas.openxmlformats.org/officeDocument/2006/relationships/table" Target="../tables/table39.xml"/><Relationship Id="rId4" Type="http://schemas.openxmlformats.org/officeDocument/2006/relationships/ctrlProp" Target="../ctrlProps/ctrlProp22.xml"/></Relationships>
</file>

<file path=xl/worksheets/_rels/sheet24.xml.rels><?xml version="1.0" encoding="UTF-8" standalone="yes"?>
<Relationships xmlns="http://schemas.openxmlformats.org/package/2006/relationships"><Relationship Id="rId8" Type="http://schemas.openxmlformats.org/officeDocument/2006/relationships/table" Target="../tables/table46.xml"/><Relationship Id="rId3" Type="http://schemas.openxmlformats.org/officeDocument/2006/relationships/vmlDrawing" Target="../drawings/vmlDrawing23.vml"/><Relationship Id="rId7" Type="http://schemas.openxmlformats.org/officeDocument/2006/relationships/table" Target="../tables/table45.xml"/><Relationship Id="rId2" Type="http://schemas.openxmlformats.org/officeDocument/2006/relationships/drawing" Target="../drawings/drawing23.xml"/><Relationship Id="rId1" Type="http://schemas.openxmlformats.org/officeDocument/2006/relationships/printerSettings" Target="../printerSettings/printerSettings24.bin"/><Relationship Id="rId6" Type="http://schemas.openxmlformats.org/officeDocument/2006/relationships/table" Target="../tables/table44.xml"/><Relationship Id="rId5" Type="http://schemas.openxmlformats.org/officeDocument/2006/relationships/table" Target="../tables/table43.xml"/><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8" Type="http://schemas.openxmlformats.org/officeDocument/2006/relationships/table" Target="../tables/table50.xml"/><Relationship Id="rId3" Type="http://schemas.openxmlformats.org/officeDocument/2006/relationships/vmlDrawing" Target="../drawings/vmlDrawing24.vml"/><Relationship Id="rId7" Type="http://schemas.openxmlformats.org/officeDocument/2006/relationships/table" Target="../tables/table49.xml"/><Relationship Id="rId2" Type="http://schemas.openxmlformats.org/officeDocument/2006/relationships/drawing" Target="../drawings/drawing24.xml"/><Relationship Id="rId1" Type="http://schemas.openxmlformats.org/officeDocument/2006/relationships/printerSettings" Target="../printerSettings/printerSettings25.bin"/><Relationship Id="rId6" Type="http://schemas.openxmlformats.org/officeDocument/2006/relationships/table" Target="../tables/table48.xml"/><Relationship Id="rId5" Type="http://schemas.openxmlformats.org/officeDocument/2006/relationships/table" Target="../tables/table47.xml"/><Relationship Id="rId4" Type="http://schemas.openxmlformats.org/officeDocument/2006/relationships/ctrlProp" Target="../ctrlProps/ctrlProp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5.xml"/><Relationship Id="rId1" Type="http://schemas.openxmlformats.org/officeDocument/2006/relationships/printerSettings" Target="../printerSettings/printerSettings26.bin"/><Relationship Id="rId6" Type="http://schemas.openxmlformats.org/officeDocument/2006/relationships/table" Target="../tables/table52.xml"/><Relationship Id="rId5" Type="http://schemas.openxmlformats.org/officeDocument/2006/relationships/table" Target="../tables/table51.xml"/><Relationship Id="rId4" Type="http://schemas.openxmlformats.org/officeDocument/2006/relationships/ctrlProp" Target="../ctrlProps/ctrlProp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6.xml"/><Relationship Id="rId1" Type="http://schemas.openxmlformats.org/officeDocument/2006/relationships/printerSettings" Target="../printerSettings/printerSettings27.bin"/><Relationship Id="rId5" Type="http://schemas.openxmlformats.org/officeDocument/2006/relationships/table" Target="../tables/table53.xml"/><Relationship Id="rId4" Type="http://schemas.openxmlformats.org/officeDocument/2006/relationships/ctrlProp" Target="../ctrlProps/ctrlProp2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7.xml"/><Relationship Id="rId1" Type="http://schemas.openxmlformats.org/officeDocument/2006/relationships/printerSettings" Target="../printerSettings/printerSettings28.bin"/><Relationship Id="rId5" Type="http://schemas.openxmlformats.org/officeDocument/2006/relationships/table" Target="../tables/table54.xml"/><Relationship Id="rId4" Type="http://schemas.openxmlformats.org/officeDocument/2006/relationships/ctrlProp" Target="../ctrlProps/ctrlProp2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8.xml"/><Relationship Id="rId1" Type="http://schemas.openxmlformats.org/officeDocument/2006/relationships/printerSettings" Target="../printerSettings/printerSettings29.bin"/><Relationship Id="rId5" Type="http://schemas.openxmlformats.org/officeDocument/2006/relationships/table" Target="../tables/table55.xml"/><Relationship Id="rId4" Type="http://schemas.openxmlformats.org/officeDocument/2006/relationships/ctrlProp" Target="../ctrlProps/ctrlProp2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9.xml"/><Relationship Id="rId1" Type="http://schemas.openxmlformats.org/officeDocument/2006/relationships/printerSettings" Target="../printerSettings/printerSettings30.bin"/><Relationship Id="rId6" Type="http://schemas.openxmlformats.org/officeDocument/2006/relationships/table" Target="../tables/table57.xml"/><Relationship Id="rId5" Type="http://schemas.openxmlformats.org/officeDocument/2006/relationships/table" Target="../tables/table56.xml"/><Relationship Id="rId4" Type="http://schemas.openxmlformats.org/officeDocument/2006/relationships/ctrlProp" Target="../ctrlProps/ctrlProp29.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0.vml"/><Relationship Id="rId7" Type="http://schemas.openxmlformats.org/officeDocument/2006/relationships/table" Target="../tables/table60.xml"/><Relationship Id="rId2" Type="http://schemas.openxmlformats.org/officeDocument/2006/relationships/drawing" Target="../drawings/drawing30.xml"/><Relationship Id="rId1" Type="http://schemas.openxmlformats.org/officeDocument/2006/relationships/printerSettings" Target="../printerSettings/printerSettings31.bin"/><Relationship Id="rId6" Type="http://schemas.openxmlformats.org/officeDocument/2006/relationships/table" Target="../tables/table59.xml"/><Relationship Id="rId5" Type="http://schemas.openxmlformats.org/officeDocument/2006/relationships/table" Target="../tables/table58.xml"/><Relationship Id="rId4" Type="http://schemas.openxmlformats.org/officeDocument/2006/relationships/ctrlProp" Target="../ctrlProps/ctrlProp30.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1.xml"/><Relationship Id="rId1" Type="http://schemas.openxmlformats.org/officeDocument/2006/relationships/printerSettings" Target="../printerSettings/printerSettings32.bin"/><Relationship Id="rId6" Type="http://schemas.openxmlformats.org/officeDocument/2006/relationships/table" Target="../tables/table62.xml"/><Relationship Id="rId5" Type="http://schemas.openxmlformats.org/officeDocument/2006/relationships/table" Target="../tables/table61.xml"/><Relationship Id="rId4" Type="http://schemas.openxmlformats.org/officeDocument/2006/relationships/ctrlProp" Target="../ctrlProps/ctrlProp31.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2.xml"/><Relationship Id="rId1" Type="http://schemas.openxmlformats.org/officeDocument/2006/relationships/printerSettings" Target="../printerSettings/printerSettings33.bin"/><Relationship Id="rId5" Type="http://schemas.openxmlformats.org/officeDocument/2006/relationships/table" Target="../tables/table63.xml"/><Relationship Id="rId4" Type="http://schemas.openxmlformats.org/officeDocument/2006/relationships/ctrlProp" Target="../ctrlProps/ctrlProp32.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3.xml"/><Relationship Id="rId1" Type="http://schemas.openxmlformats.org/officeDocument/2006/relationships/printerSettings" Target="../printerSettings/printerSettings34.bin"/><Relationship Id="rId5" Type="http://schemas.openxmlformats.org/officeDocument/2006/relationships/table" Target="../tables/table64.xml"/><Relationship Id="rId4" Type="http://schemas.openxmlformats.org/officeDocument/2006/relationships/ctrlProp" Target="../ctrlProps/ctrlProp33.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4.xml"/><Relationship Id="rId1" Type="http://schemas.openxmlformats.org/officeDocument/2006/relationships/printerSettings" Target="../printerSettings/printerSettings35.bin"/><Relationship Id="rId5" Type="http://schemas.openxmlformats.org/officeDocument/2006/relationships/table" Target="../tables/table65.xml"/><Relationship Id="rId4" Type="http://schemas.openxmlformats.org/officeDocument/2006/relationships/ctrlProp" Target="../ctrlProps/ctrlProp34.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5.xml"/><Relationship Id="rId1" Type="http://schemas.openxmlformats.org/officeDocument/2006/relationships/printerSettings" Target="../printerSettings/printerSettings36.bin"/><Relationship Id="rId6" Type="http://schemas.openxmlformats.org/officeDocument/2006/relationships/table" Target="../tables/table67.xml"/><Relationship Id="rId5" Type="http://schemas.openxmlformats.org/officeDocument/2006/relationships/table" Target="../tables/table66.xml"/><Relationship Id="rId4" Type="http://schemas.openxmlformats.org/officeDocument/2006/relationships/ctrlProp" Target="../ctrlProps/ctrlProp35.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6.vml"/><Relationship Id="rId7" Type="http://schemas.openxmlformats.org/officeDocument/2006/relationships/table" Target="../tables/table70.xml"/><Relationship Id="rId2" Type="http://schemas.openxmlformats.org/officeDocument/2006/relationships/drawing" Target="../drawings/drawing36.xml"/><Relationship Id="rId1" Type="http://schemas.openxmlformats.org/officeDocument/2006/relationships/printerSettings" Target="../printerSettings/printerSettings37.bin"/><Relationship Id="rId6" Type="http://schemas.openxmlformats.org/officeDocument/2006/relationships/table" Target="../tables/table69.xml"/><Relationship Id="rId5" Type="http://schemas.openxmlformats.org/officeDocument/2006/relationships/table" Target="../tables/table68.xml"/><Relationship Id="rId4" Type="http://schemas.openxmlformats.org/officeDocument/2006/relationships/ctrlProp" Target="../ctrlProps/ctrlProp36.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7.xml"/><Relationship Id="rId1" Type="http://schemas.openxmlformats.org/officeDocument/2006/relationships/printerSettings" Target="../printerSettings/printerSettings38.bin"/><Relationship Id="rId6" Type="http://schemas.openxmlformats.org/officeDocument/2006/relationships/table" Target="../tables/table72.xml"/><Relationship Id="rId5" Type="http://schemas.openxmlformats.org/officeDocument/2006/relationships/table" Target="../tables/table71.xml"/><Relationship Id="rId4" Type="http://schemas.openxmlformats.org/officeDocument/2006/relationships/ctrlProp" Target="../ctrlProps/ctrlProp37.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38.xml"/><Relationship Id="rId1" Type="http://schemas.openxmlformats.org/officeDocument/2006/relationships/printerSettings" Target="../printerSettings/printerSettings39.bin"/><Relationship Id="rId4" Type="http://schemas.openxmlformats.org/officeDocument/2006/relationships/ctrlProp" Target="../ctrlProps/ctrlProp3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table" Target="../tables/table6.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ctrlProp" Target="../ctrlProps/ctrlProp3.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table" Target="../tables/table9.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dimension ref="A1:A3"/>
  <sheetViews>
    <sheetView tabSelected="1" view="pageBreakPreview" zoomScaleNormal="100" zoomScaleSheetLayoutView="100" workbookViewId="0">
      <selection activeCell="A4" sqref="A4"/>
    </sheetView>
  </sheetViews>
  <sheetFormatPr defaultColWidth="9" defaultRowHeight="17.399999999999999" x14ac:dyDescent="0.2"/>
  <cols>
    <col min="1" max="1" width="56.33203125" style="352" customWidth="1"/>
    <col min="2" max="16384" width="9" style="352"/>
  </cols>
  <sheetData>
    <row r="1" spans="1:1" ht="151.19999999999999" x14ac:dyDescent="0.2">
      <c r="A1" s="380" t="s">
        <v>750</v>
      </c>
    </row>
    <row r="2" spans="1:1" s="364" customFormat="1" ht="17.25" customHeight="1" x14ac:dyDescent="0.2">
      <c r="A2" s="381" t="s">
        <v>399</v>
      </c>
    </row>
    <row r="3" spans="1:1" s="364" customFormat="1" ht="17.25" customHeight="1" x14ac:dyDescent="0.2">
      <c r="A3" s="381" t="s">
        <v>751</v>
      </c>
    </row>
  </sheetData>
  <phoneticPr fontId="2"/>
  <printOptions horizontalCentered="1" verticalCentered="1"/>
  <pageMargins left="0.70866141732283472" right="0.70866141732283472" top="0.74803149606299213" bottom="1.5354330708661419"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B0F0"/>
    <pageSetUpPr fitToPage="1"/>
  </sheetPr>
  <dimension ref="A1:X63"/>
  <sheetViews>
    <sheetView showGridLines="0" view="pageBreakPreview" zoomScale="80" zoomScaleNormal="100" zoomScaleSheetLayoutView="80" zoomScalePageLayoutView="50" workbookViewId="0"/>
  </sheetViews>
  <sheetFormatPr defaultColWidth="9" defaultRowHeight="17.399999999999999" customHeight="1" x14ac:dyDescent="0.2"/>
  <cols>
    <col min="1" max="1" width="3.109375" style="1" customWidth="1"/>
    <col min="2" max="2" width="52.44140625" style="1" customWidth="1"/>
    <col min="3" max="3" width="9.33203125" style="1" customWidth="1"/>
    <col min="4" max="4" width="10.5546875" style="1" bestFit="1" customWidth="1"/>
    <col min="5" max="5" width="4.109375" style="1" customWidth="1"/>
    <col min="6" max="6" width="3.109375" style="1" customWidth="1"/>
    <col min="7" max="7" width="52.44140625" style="1" customWidth="1"/>
    <col min="8" max="10" width="9.33203125" style="1" customWidth="1"/>
    <col min="11" max="11" width="10.5546875" style="1" bestFit="1" customWidth="1"/>
    <col min="12" max="12" width="10.88671875" style="1" customWidth="1"/>
    <col min="13" max="21" width="10.88671875" style="1" hidden="1" customWidth="1"/>
    <col min="22" max="22" width="9" style="1" customWidth="1"/>
    <col min="23" max="24" width="0" style="1" hidden="1" customWidth="1"/>
    <col min="25" max="16384" width="9" style="1"/>
  </cols>
  <sheetData>
    <row r="1" spans="1:24" s="3" customFormat="1" ht="17.399999999999999" customHeight="1" x14ac:dyDescent="0.2">
      <c r="A1" s="2" t="s">
        <v>142</v>
      </c>
      <c r="B1" s="2"/>
      <c r="C1" s="677"/>
      <c r="D1" s="677"/>
      <c r="E1" s="677"/>
      <c r="F1" s="677"/>
      <c r="G1" s="677"/>
      <c r="H1" s="677"/>
      <c r="I1" s="677"/>
      <c r="J1" s="677"/>
      <c r="K1" s="677"/>
    </row>
    <row r="2" spans="1:24" ht="17.399999999999999" customHeight="1" x14ac:dyDescent="0.2">
      <c r="A2" s="4"/>
      <c r="B2" s="4"/>
      <c r="C2" s="676"/>
      <c r="D2" s="676"/>
      <c r="E2" s="676"/>
      <c r="F2" s="676"/>
      <c r="G2" s="676"/>
      <c r="H2" s="676"/>
      <c r="I2" s="676"/>
      <c r="J2" s="676"/>
      <c r="K2" s="676"/>
      <c r="M2" s="678" t="s">
        <v>62</v>
      </c>
      <c r="N2" s="32"/>
      <c r="P2" s="678"/>
      <c r="Q2" s="676"/>
    </row>
    <row r="3" spans="1:24" s="3" customFormat="1" ht="17.399999999999999" customHeight="1" thickBot="1" x14ac:dyDescent="0.25">
      <c r="A3" s="4" t="s">
        <v>13</v>
      </c>
      <c r="B3" s="4"/>
      <c r="C3" s="677"/>
      <c r="D3" s="677"/>
      <c r="E3" s="677"/>
      <c r="F3" s="4" t="s">
        <v>143</v>
      </c>
      <c r="G3" s="4"/>
      <c r="H3" s="677"/>
      <c r="I3" s="677"/>
      <c r="J3" s="677"/>
      <c r="K3" s="677"/>
      <c r="M3" s="303" t="s">
        <v>261</v>
      </c>
      <c r="N3" s="681" t="s">
        <v>0</v>
      </c>
      <c r="P3" s="799" t="s">
        <v>261</v>
      </c>
      <c r="Q3" s="681" t="s">
        <v>28</v>
      </c>
      <c r="S3" s="236" t="s">
        <v>261</v>
      </c>
      <c r="T3" s="681" t="s">
        <v>29</v>
      </c>
    </row>
    <row r="4" spans="1:24" ht="17.399999999999999" customHeight="1" thickTop="1" thickBot="1" x14ac:dyDescent="0.25">
      <c r="A4" s="205"/>
      <c r="B4" s="206"/>
      <c r="C4" s="201" t="s">
        <v>0</v>
      </c>
      <c r="D4" s="201" t="s">
        <v>1</v>
      </c>
      <c r="E4" s="676"/>
      <c r="F4" s="207"/>
      <c r="G4" s="208"/>
      <c r="H4" s="501" t="s">
        <v>106</v>
      </c>
      <c r="I4" s="501" t="s">
        <v>107</v>
      </c>
      <c r="J4" s="501" t="s">
        <v>12</v>
      </c>
      <c r="K4" s="501" t="s">
        <v>1</v>
      </c>
      <c r="M4" s="258" t="s">
        <v>655</v>
      </c>
      <c r="N4" s="22" t="s">
        <v>672</v>
      </c>
      <c r="P4" s="801" t="s">
        <v>655</v>
      </c>
      <c r="Q4" s="22" t="s">
        <v>672</v>
      </c>
      <c r="R4" s="676"/>
      <c r="S4" s="801" t="s">
        <v>655</v>
      </c>
      <c r="T4" s="22" t="s">
        <v>672</v>
      </c>
      <c r="W4" s="42" t="s">
        <v>273</v>
      </c>
      <c r="X4" s="250" t="s">
        <v>302</v>
      </c>
    </row>
    <row r="5" spans="1:24" ht="17.399999999999999" customHeight="1" thickTop="1" x14ac:dyDescent="0.2">
      <c r="A5" s="973" t="s">
        <v>110</v>
      </c>
      <c r="B5" s="985"/>
      <c r="C5" s="177">
        <f>SUM(C6:C8)</f>
        <v>1889</v>
      </c>
      <c r="D5" s="194">
        <f>SUM(D6:D8)</f>
        <v>0.25413695681420689</v>
      </c>
      <c r="E5" s="676"/>
      <c r="F5" s="970" t="s">
        <v>110</v>
      </c>
      <c r="G5" s="995"/>
      <c r="H5" s="476">
        <f>SUM(H6:H8)</f>
        <v>4</v>
      </c>
      <c r="I5" s="470">
        <f>SUM(I6:I8)</f>
        <v>82</v>
      </c>
      <c r="J5" s="470">
        <f t="shared" ref="J5:J20" si="0">SUM(H5:I5)</f>
        <v>86</v>
      </c>
      <c r="K5" s="469">
        <f t="shared" ref="K5:K20" si="1">IFERROR(J5/J$21,"-")</f>
        <v>0.16380952380952382</v>
      </c>
      <c r="M5" s="688" t="s">
        <v>273</v>
      </c>
      <c r="N5" s="101">
        <v>997</v>
      </c>
      <c r="P5" s="688" t="s">
        <v>273</v>
      </c>
      <c r="Q5" s="101">
        <v>3</v>
      </c>
      <c r="R5" s="676"/>
      <c r="S5" s="688" t="s">
        <v>273</v>
      </c>
      <c r="T5" s="101">
        <v>32</v>
      </c>
      <c r="W5" s="42" t="s">
        <v>262</v>
      </c>
      <c r="X5" s="250" t="s">
        <v>291</v>
      </c>
    </row>
    <row r="6" spans="1:24" ht="17.399999999999999" customHeight="1" x14ac:dyDescent="0.2">
      <c r="A6" s="171"/>
      <c r="B6" s="378" t="s">
        <v>111</v>
      </c>
      <c r="C6" s="179">
        <f>IFERROR(VLOOKUP($W4,疾患別＿1年以上[#All],2,FALSE),0)</f>
        <v>997</v>
      </c>
      <c r="D6" s="180">
        <f t="shared" ref="D6:D20" si="2">IFERROR(C6/C$21,"-")</f>
        <v>0.13413157540696893</v>
      </c>
      <c r="E6" s="676"/>
      <c r="F6" s="171"/>
      <c r="G6" s="378" t="s">
        <v>111</v>
      </c>
      <c r="H6" s="507">
        <f>IFERROR(VLOOKUP($W4,疾患別＿1年以上＿寛解[#All],2,FALSE),0)</f>
        <v>3</v>
      </c>
      <c r="I6" s="507">
        <f>IFERROR(VLOOKUP($W4,疾患別＿1年以上＿院内寛解[#All],2,FALSE),0)</f>
        <v>32</v>
      </c>
      <c r="J6" s="488">
        <f t="shared" si="0"/>
        <v>35</v>
      </c>
      <c r="K6" s="489">
        <f t="shared" si="1"/>
        <v>6.6666666666666666E-2</v>
      </c>
      <c r="M6" s="688" t="s">
        <v>262</v>
      </c>
      <c r="N6" s="101">
        <v>123</v>
      </c>
      <c r="P6" s="233" t="s">
        <v>262</v>
      </c>
      <c r="Q6" s="234">
        <v>0</v>
      </c>
      <c r="R6" s="677"/>
      <c r="S6" s="688" t="s">
        <v>262</v>
      </c>
      <c r="T6" s="292">
        <v>4</v>
      </c>
      <c r="W6" s="42" t="s">
        <v>263</v>
      </c>
      <c r="X6" s="250" t="s">
        <v>292</v>
      </c>
    </row>
    <row r="7" spans="1:24" ht="17.399999999999999" customHeight="1" x14ac:dyDescent="0.2">
      <c r="A7" s="171"/>
      <c r="B7" s="174" t="s">
        <v>98</v>
      </c>
      <c r="C7" s="181">
        <f>IFERROR(VLOOKUP($W5,疾患別＿1年以上[#All],2,FALSE),0)</f>
        <v>123</v>
      </c>
      <c r="D7" s="182">
        <f t="shared" si="2"/>
        <v>1.6547827256827661E-2</v>
      </c>
      <c r="E7" s="676"/>
      <c r="F7" s="171"/>
      <c r="G7" s="174" t="s">
        <v>98</v>
      </c>
      <c r="H7" s="490">
        <f>IFERROR(VLOOKUP($W5,疾患別＿1年以上＿寛解[#All],2,FALSE),0)</f>
        <v>0</v>
      </c>
      <c r="I7" s="490">
        <f>IFERROR(VLOOKUP($W5,疾患別＿1年以上＿院内寛解[#All],2,FALSE),0)</f>
        <v>4</v>
      </c>
      <c r="J7" s="491">
        <f t="shared" si="0"/>
        <v>4</v>
      </c>
      <c r="K7" s="492">
        <f t="shared" si="1"/>
        <v>7.619047619047619E-3</v>
      </c>
      <c r="M7" s="688" t="s">
        <v>263</v>
      </c>
      <c r="N7" s="101">
        <v>769</v>
      </c>
      <c r="P7" s="231" t="s">
        <v>263</v>
      </c>
      <c r="Q7" s="232">
        <v>1</v>
      </c>
      <c r="R7" s="676"/>
      <c r="S7" s="688" t="s">
        <v>263</v>
      </c>
      <c r="T7" s="292">
        <v>46</v>
      </c>
      <c r="W7" s="42" t="s">
        <v>264</v>
      </c>
      <c r="X7" s="250" t="s">
        <v>293</v>
      </c>
    </row>
    <row r="8" spans="1:24" ht="17.399999999999999" customHeight="1" x14ac:dyDescent="0.2">
      <c r="A8" s="172"/>
      <c r="B8" s="175" t="s">
        <v>19</v>
      </c>
      <c r="C8" s="183">
        <f>IFERROR(VLOOKUP($W6,疾患別＿1年以上[#All],2,FALSE),0)</f>
        <v>769</v>
      </c>
      <c r="D8" s="184">
        <f t="shared" si="2"/>
        <v>0.10345755415041033</v>
      </c>
      <c r="E8" s="676"/>
      <c r="F8" s="189"/>
      <c r="G8" s="379" t="s">
        <v>19</v>
      </c>
      <c r="H8" s="493">
        <f>IFERROR(VLOOKUP($W6,疾患別＿1年以上＿寛解[#All],2,FALSE),0)</f>
        <v>1</v>
      </c>
      <c r="I8" s="493">
        <f>IFERROR(VLOOKUP($W6,疾患別＿1年以上＿院内寛解[#All],2,FALSE),0)</f>
        <v>46</v>
      </c>
      <c r="J8" s="494">
        <f t="shared" si="0"/>
        <v>47</v>
      </c>
      <c r="K8" s="495">
        <f t="shared" si="1"/>
        <v>8.9523809523809519E-2</v>
      </c>
      <c r="M8" s="688" t="s">
        <v>264</v>
      </c>
      <c r="N8" s="101">
        <v>224</v>
      </c>
      <c r="P8" s="233" t="s">
        <v>264</v>
      </c>
      <c r="Q8" s="234">
        <v>2</v>
      </c>
      <c r="R8" s="676"/>
      <c r="S8" s="688" t="s">
        <v>264</v>
      </c>
      <c r="T8" s="292">
        <v>24</v>
      </c>
      <c r="W8" s="42" t="s">
        <v>289</v>
      </c>
      <c r="X8" s="250" t="s">
        <v>294</v>
      </c>
    </row>
    <row r="9" spans="1:24" ht="17.399999999999999" customHeight="1" x14ac:dyDescent="0.2">
      <c r="A9" s="968" t="s">
        <v>20</v>
      </c>
      <c r="B9" s="986"/>
      <c r="C9" s="178">
        <f>IFERROR(VLOOKUP($W7,疾患別＿1年以上[#All],2,FALSE),0)+IFERROR(VLOOKUP($W8,疾患別＿1年以上[#All],2,FALSE),0)+IFERROR(VLOOKUP($W9,疾患別＿1年以上[#All],2,FALSE),0)</f>
        <v>277</v>
      </c>
      <c r="D9" s="294">
        <f t="shared" si="2"/>
        <v>3.7266245123099694E-2</v>
      </c>
      <c r="E9" s="676"/>
      <c r="F9" s="996" t="s">
        <v>20</v>
      </c>
      <c r="G9" s="997"/>
      <c r="H9" s="476">
        <f>IFERROR(VLOOKUP($W7,疾患別＿1年以上＿寛解[#All],2,FALSE),0)+IFERROR(VLOOKUP($W8,疾患別＿1年以上＿寛解[#All],2,FALSE),0)+IFERROR(VLOOKUP($W9,疾患別＿1年以上＿寛解[#All],2,FALSE),0)</f>
        <v>2</v>
      </c>
      <c r="I9" s="476">
        <f>IFERROR(VLOOKUP($W7,疾患別＿1年以上＿院内寛解[#All],2,FALSE),0)+IFERROR(VLOOKUP($W8,疾患別＿1年以上＿院内寛解[#All],2,FALSE),0)+IFERROR(VLOOKUP($W9,疾患別＿1年以上＿院内寛解[#All],2,FALSE),0)</f>
        <v>29</v>
      </c>
      <c r="J9" s="470">
        <f t="shared" si="0"/>
        <v>31</v>
      </c>
      <c r="K9" s="475">
        <f t="shared" si="1"/>
        <v>5.904761904761905E-2</v>
      </c>
      <c r="M9" s="59" t="s">
        <v>188</v>
      </c>
      <c r="N9" s="101">
        <v>19</v>
      </c>
      <c r="P9" s="231" t="s">
        <v>188</v>
      </c>
      <c r="Q9" s="232">
        <v>0</v>
      </c>
      <c r="R9" s="676"/>
      <c r="S9" s="688" t="s">
        <v>188</v>
      </c>
      <c r="T9" s="292">
        <v>0</v>
      </c>
      <c r="W9" s="42" t="s">
        <v>290</v>
      </c>
      <c r="X9" s="250" t="s">
        <v>295</v>
      </c>
    </row>
    <row r="10" spans="1:24" ht="17.399999999999999" customHeight="1" x14ac:dyDescent="0.2">
      <c r="A10" s="968" t="s">
        <v>253</v>
      </c>
      <c r="B10" s="986"/>
      <c r="C10" s="178">
        <f>IFERROR(VLOOKUP($W10,疾患別＿1年以上[#All],2,FALSE),0)</f>
        <v>4321</v>
      </c>
      <c r="D10" s="294">
        <f t="shared" si="2"/>
        <v>0.58132651688416526</v>
      </c>
      <c r="E10" s="676"/>
      <c r="F10" s="996" t="s">
        <v>253</v>
      </c>
      <c r="G10" s="997"/>
      <c r="H10" s="476">
        <f>IFERROR(VLOOKUP($W10,疾患別＿1年以上＿寛解[#All],2,FALSE),0)</f>
        <v>21</v>
      </c>
      <c r="I10" s="476">
        <f>IFERROR(VLOOKUP($W10,疾患別＿1年以上＿院内寛解[#All],2,FALSE),0)</f>
        <v>290</v>
      </c>
      <c r="J10" s="470">
        <f t="shared" si="0"/>
        <v>311</v>
      </c>
      <c r="K10" s="475">
        <f t="shared" si="1"/>
        <v>0.59238095238095234</v>
      </c>
      <c r="M10" s="688" t="s">
        <v>189</v>
      </c>
      <c r="N10" s="101">
        <v>34</v>
      </c>
      <c r="P10" s="233" t="s">
        <v>189</v>
      </c>
      <c r="Q10" s="234">
        <v>0</v>
      </c>
      <c r="R10" s="676"/>
      <c r="S10" s="688" t="s">
        <v>189</v>
      </c>
      <c r="T10" s="292">
        <v>5</v>
      </c>
      <c r="W10" s="42" t="s">
        <v>265</v>
      </c>
      <c r="X10" s="250" t="s">
        <v>296</v>
      </c>
    </row>
    <row r="11" spans="1:24" ht="17.399999999999999" customHeight="1" x14ac:dyDescent="0.2">
      <c r="A11" s="968" t="s">
        <v>22</v>
      </c>
      <c r="B11" s="986"/>
      <c r="C11" s="178">
        <f>IFERROR(VLOOKUP($W11,疾患別＿1年以上[#All],2,FALSE),0)+IFERROR(VLOOKUP($W12,疾患別＿1年以上[#All],2,FALSE),0)</f>
        <v>596</v>
      </c>
      <c r="D11" s="294">
        <f t="shared" si="2"/>
        <v>8.0182967846091746E-2</v>
      </c>
      <c r="E11" s="676"/>
      <c r="F11" s="972" t="s">
        <v>22</v>
      </c>
      <c r="G11" s="998"/>
      <c r="H11" s="476">
        <f>IFERROR(VLOOKUP($W11,疾患別＿1年以上＿寛解[#All],2,FALSE),0)+IFERROR(VLOOKUP($W12,疾患別＿1年以上＿寛解[#All],2,FALSE),0)</f>
        <v>10</v>
      </c>
      <c r="I11" s="476">
        <f>IFERROR(VLOOKUP($W11,疾患別＿1年以上＿院内寛解[#All],2,FALSE),0)+IFERROR(VLOOKUP($W12,疾患別＿1年以上＿院内寛解[#All],2,FALSE),0)</f>
        <v>53</v>
      </c>
      <c r="J11" s="470">
        <f t="shared" si="0"/>
        <v>63</v>
      </c>
      <c r="K11" s="475">
        <f t="shared" si="1"/>
        <v>0.12</v>
      </c>
      <c r="M11" s="688" t="s">
        <v>265</v>
      </c>
      <c r="N11" s="101">
        <v>4321</v>
      </c>
      <c r="P11" s="231" t="s">
        <v>265</v>
      </c>
      <c r="Q11" s="232">
        <v>21</v>
      </c>
      <c r="R11" s="676"/>
      <c r="S11" s="688" t="s">
        <v>265</v>
      </c>
      <c r="T11" s="292">
        <v>290</v>
      </c>
      <c r="W11" s="42" t="s">
        <v>266</v>
      </c>
      <c r="X11" s="250" t="s">
        <v>297</v>
      </c>
    </row>
    <row r="12" spans="1:24" ht="17.399999999999999" customHeight="1" x14ac:dyDescent="0.2">
      <c r="A12" s="987" t="s">
        <v>24</v>
      </c>
      <c r="B12" s="988"/>
      <c r="C12" s="178">
        <f>IFERROR(VLOOKUP($W13,疾患別＿1年以上[#All],2,FALSE),0)</f>
        <v>81</v>
      </c>
      <c r="D12" s="294">
        <f t="shared" si="2"/>
        <v>1.0897349656935288E-2</v>
      </c>
      <c r="E12" s="676"/>
      <c r="F12" s="996" t="s">
        <v>24</v>
      </c>
      <c r="G12" s="997"/>
      <c r="H12" s="476">
        <f>IFERROR(VLOOKUP($W13,疾患別＿1年以上＿寛解[#All],2,FALSE),0)</f>
        <v>2</v>
      </c>
      <c r="I12" s="476">
        <f>IFERROR(VLOOKUP($W13,疾患別＿1年以上＿院内寛解[#All],2,FALSE),0)</f>
        <v>7</v>
      </c>
      <c r="J12" s="470">
        <f t="shared" si="0"/>
        <v>9</v>
      </c>
      <c r="K12" s="475">
        <f t="shared" si="1"/>
        <v>1.7142857142857144E-2</v>
      </c>
      <c r="M12" s="688" t="s">
        <v>266</v>
      </c>
      <c r="N12" s="101">
        <v>267</v>
      </c>
      <c r="P12" s="233" t="s">
        <v>266</v>
      </c>
      <c r="Q12" s="234">
        <v>2</v>
      </c>
      <c r="R12" s="676"/>
      <c r="S12" s="688" t="s">
        <v>266</v>
      </c>
      <c r="T12" s="292">
        <v>19</v>
      </c>
      <c r="W12" s="42" t="s">
        <v>267</v>
      </c>
      <c r="X12" s="250" t="s">
        <v>298</v>
      </c>
    </row>
    <row r="13" spans="1:24" ht="17.399999999999999" customHeight="1" x14ac:dyDescent="0.2">
      <c r="A13" s="987" t="s">
        <v>25</v>
      </c>
      <c r="B13" s="988"/>
      <c r="C13" s="178">
        <f>IFERROR(VLOOKUP($W14,疾患別＿1年以上[#All],2,FALSE),0)</f>
        <v>6</v>
      </c>
      <c r="D13" s="294">
        <f t="shared" si="2"/>
        <v>8.0721108569891027E-4</v>
      </c>
      <c r="E13" s="676"/>
      <c r="F13" s="996" t="s">
        <v>25</v>
      </c>
      <c r="G13" s="997"/>
      <c r="H13" s="476">
        <f>IFERROR(VLOOKUP($W14,疾患別＿1年以上＿寛解[#All],2,FALSE),0)</f>
        <v>0</v>
      </c>
      <c r="I13" s="476">
        <f>IFERROR(VLOOKUP($W14,疾患別＿1年以上＿院内寛解[#All],2,FALSE),0)</f>
        <v>0</v>
      </c>
      <c r="J13" s="470">
        <f t="shared" si="0"/>
        <v>0</v>
      </c>
      <c r="K13" s="475">
        <f t="shared" si="1"/>
        <v>0</v>
      </c>
      <c r="M13" s="688" t="s">
        <v>267</v>
      </c>
      <c r="N13" s="101">
        <v>329</v>
      </c>
      <c r="P13" s="231" t="s">
        <v>267</v>
      </c>
      <c r="Q13" s="232">
        <v>8</v>
      </c>
      <c r="R13" s="676"/>
      <c r="S13" s="688" t="s">
        <v>267</v>
      </c>
      <c r="T13" s="292">
        <v>34</v>
      </c>
      <c r="W13" s="42" t="s">
        <v>268</v>
      </c>
      <c r="X13" s="250" t="s">
        <v>299</v>
      </c>
    </row>
    <row r="14" spans="1:24" ht="17.399999999999999" customHeight="1" x14ac:dyDescent="0.2">
      <c r="A14" s="968" t="s">
        <v>238</v>
      </c>
      <c r="B14" s="986"/>
      <c r="C14" s="178">
        <f>IFERROR(VLOOKUP($W15,疾患別＿1年以上[#All],2,FALSE),0)</f>
        <v>11</v>
      </c>
      <c r="D14" s="294">
        <f t="shared" si="2"/>
        <v>1.4798869904480022E-3</v>
      </c>
      <c r="E14" s="676"/>
      <c r="F14" s="972" t="s">
        <v>238</v>
      </c>
      <c r="G14" s="998"/>
      <c r="H14" s="476">
        <f>IFERROR(VLOOKUP($W15,疾患別＿1年以上＿寛解[#All],2,FALSE),0)</f>
        <v>0</v>
      </c>
      <c r="I14" s="476">
        <f>IFERROR(VLOOKUP($W15,疾患別＿1年以上＿院内寛解[#All],2,FALSE),0)</f>
        <v>2</v>
      </c>
      <c r="J14" s="470">
        <f t="shared" si="0"/>
        <v>2</v>
      </c>
      <c r="K14" s="475">
        <f t="shared" si="1"/>
        <v>3.8095238095238095E-3</v>
      </c>
      <c r="M14" s="688" t="s">
        <v>268</v>
      </c>
      <c r="N14" s="101">
        <v>81</v>
      </c>
      <c r="P14" s="233" t="s">
        <v>268</v>
      </c>
      <c r="Q14" s="234">
        <v>2</v>
      </c>
      <c r="R14" s="676"/>
      <c r="S14" s="688" t="s">
        <v>268</v>
      </c>
      <c r="T14" s="292">
        <v>7</v>
      </c>
      <c r="W14" s="42" t="s">
        <v>269</v>
      </c>
      <c r="X14" s="250" t="s">
        <v>300</v>
      </c>
    </row>
    <row r="15" spans="1:24" ht="17.399999999999999" customHeight="1" x14ac:dyDescent="0.2">
      <c r="A15" s="968" t="s">
        <v>239</v>
      </c>
      <c r="B15" s="986"/>
      <c r="C15" s="178">
        <f>IFERROR(VLOOKUP($W16,疾患別＿1年以上[#All],2,FALSE),0)</f>
        <v>134</v>
      </c>
      <c r="D15" s="294">
        <f t="shared" si="2"/>
        <v>1.8027714247275662E-2</v>
      </c>
      <c r="E15" s="676"/>
      <c r="F15" s="972" t="s">
        <v>239</v>
      </c>
      <c r="G15" s="998"/>
      <c r="H15" s="476">
        <f>IFERROR(VLOOKUP($W16,疾患別＿1年以上＿寛解[#All],2,FALSE),0)</f>
        <v>0</v>
      </c>
      <c r="I15" s="476">
        <f>IFERROR(VLOOKUP($W16,疾患別＿1年以上＿院内寛解[#All],2,FALSE),0)</f>
        <v>8</v>
      </c>
      <c r="J15" s="470">
        <f t="shared" si="0"/>
        <v>8</v>
      </c>
      <c r="K15" s="475">
        <f t="shared" si="1"/>
        <v>1.5238095238095238E-2</v>
      </c>
      <c r="M15" s="688" t="s">
        <v>269</v>
      </c>
      <c r="N15" s="101">
        <v>6</v>
      </c>
      <c r="P15" s="231" t="s">
        <v>269</v>
      </c>
      <c r="Q15" s="232">
        <v>0</v>
      </c>
      <c r="R15" s="676"/>
      <c r="S15" s="688" t="s">
        <v>269</v>
      </c>
      <c r="T15" s="292">
        <v>0</v>
      </c>
      <c r="W15" s="42" t="s">
        <v>274</v>
      </c>
      <c r="X15" s="250" t="s">
        <v>301</v>
      </c>
    </row>
    <row r="16" spans="1:24" ht="17.399999999999999" customHeight="1" x14ac:dyDescent="0.2">
      <c r="A16" s="989" t="s">
        <v>23</v>
      </c>
      <c r="B16" s="990"/>
      <c r="C16" s="178">
        <f>IFERROR(VLOOKUP($W17,疾患別＿1年以上[#All],2,FALSE),0)</f>
        <v>49</v>
      </c>
      <c r="D16" s="294">
        <f t="shared" si="2"/>
        <v>6.5922238665411005E-3</v>
      </c>
      <c r="E16" s="92"/>
      <c r="F16" s="972" t="s">
        <v>23</v>
      </c>
      <c r="G16" s="998"/>
      <c r="H16" s="476">
        <f>IFERROR(VLOOKUP($W17,疾患別＿1年以上＿寛解[#All],2,FALSE),0)</f>
        <v>0</v>
      </c>
      <c r="I16" s="476">
        <f>IFERROR(VLOOKUP($W17,疾患別＿1年以上＿院内寛解[#All],2,FALSE),0)</f>
        <v>5</v>
      </c>
      <c r="J16" s="470">
        <f t="shared" si="0"/>
        <v>5</v>
      </c>
      <c r="K16" s="475">
        <f t="shared" si="1"/>
        <v>9.5238095238095247E-3</v>
      </c>
      <c r="M16" s="688" t="s">
        <v>274</v>
      </c>
      <c r="N16" s="101">
        <v>11</v>
      </c>
      <c r="P16" s="233" t="s">
        <v>274</v>
      </c>
      <c r="Q16" s="234">
        <v>0</v>
      </c>
      <c r="R16" s="676"/>
      <c r="S16" s="688" t="s">
        <v>274</v>
      </c>
      <c r="T16" s="292">
        <v>2</v>
      </c>
      <c r="W16" s="42" t="s">
        <v>270</v>
      </c>
      <c r="X16" s="113"/>
    </row>
    <row r="17" spans="1:24" ht="17.399999999999999" customHeight="1" x14ac:dyDescent="0.2">
      <c r="A17" s="991" t="s">
        <v>240</v>
      </c>
      <c r="B17" s="992"/>
      <c r="C17" s="178">
        <f>IFERROR(VLOOKUP($W18,疾患別＿1年以上[#All],2,FALSE),0)</f>
        <v>13</v>
      </c>
      <c r="D17" s="294">
        <f t="shared" si="2"/>
        <v>1.7489573523476389E-3</v>
      </c>
      <c r="E17" s="26"/>
      <c r="F17" s="991" t="s">
        <v>240</v>
      </c>
      <c r="G17" s="992"/>
      <c r="H17" s="476">
        <f>IFERROR(VLOOKUP($W18,疾患別＿1年以上＿寛解[#All],2,FALSE),0)</f>
        <v>0</v>
      </c>
      <c r="I17" s="476">
        <f>IFERROR(VLOOKUP($W18,疾患別＿1年以上＿院内寛解[#All],2,FALSE),0)</f>
        <v>2</v>
      </c>
      <c r="J17" s="470">
        <f t="shared" si="0"/>
        <v>2</v>
      </c>
      <c r="K17" s="475">
        <f t="shared" si="1"/>
        <v>3.8095238095238095E-3</v>
      </c>
      <c r="M17" s="688" t="s">
        <v>270</v>
      </c>
      <c r="N17" s="101">
        <v>134</v>
      </c>
      <c r="P17" s="231" t="s">
        <v>270</v>
      </c>
      <c r="Q17" s="232">
        <v>0</v>
      </c>
      <c r="R17" s="676"/>
      <c r="S17" s="688" t="s">
        <v>270</v>
      </c>
      <c r="T17" s="292">
        <v>8</v>
      </c>
      <c r="W17" s="42" t="s">
        <v>271</v>
      </c>
      <c r="X17" s="98"/>
    </row>
    <row r="18" spans="1:24" ht="17.399999999999999" customHeight="1" x14ac:dyDescent="0.2">
      <c r="A18" s="993" t="s">
        <v>113</v>
      </c>
      <c r="B18" s="994"/>
      <c r="C18" s="178">
        <f>IFERROR(VLOOKUP($W19,疾患別＿1年以上[#All],2,FALSE),0)</f>
        <v>20</v>
      </c>
      <c r="D18" s="294">
        <f t="shared" si="2"/>
        <v>2.6907036189963676E-3</v>
      </c>
      <c r="E18" s="92"/>
      <c r="F18" s="977" t="s">
        <v>113</v>
      </c>
      <c r="G18" s="999"/>
      <c r="H18" s="476">
        <f>IFERROR(VLOOKUP($W19,疾患別＿1年以上＿寛解[#All],2,FALSE),0)</f>
        <v>0</v>
      </c>
      <c r="I18" s="476">
        <f>IFERROR(VLOOKUP($W19,疾患別＿1年以上＿院内寛解[#All],2,FALSE),0)</f>
        <v>1</v>
      </c>
      <c r="J18" s="470">
        <f t="shared" si="0"/>
        <v>1</v>
      </c>
      <c r="K18" s="475">
        <f t="shared" si="1"/>
        <v>1.9047619047619048E-3</v>
      </c>
      <c r="M18" s="688" t="s">
        <v>271</v>
      </c>
      <c r="N18" s="101">
        <v>49</v>
      </c>
      <c r="P18" s="233" t="s">
        <v>271</v>
      </c>
      <c r="Q18" s="234">
        <v>0</v>
      </c>
      <c r="R18" s="676"/>
      <c r="S18" s="688" t="s">
        <v>271</v>
      </c>
      <c r="T18" s="292">
        <v>5</v>
      </c>
      <c r="W18" s="42" t="s">
        <v>275</v>
      </c>
    </row>
    <row r="19" spans="1:24" ht="17.399999999999999" customHeight="1" x14ac:dyDescent="0.2">
      <c r="A19" s="964" t="s">
        <v>18</v>
      </c>
      <c r="B19" s="983"/>
      <c r="C19" s="178">
        <f>IFERROR(VLOOKUP($W20,疾患別＿1年以上[#All],2,FALSE),0)</f>
        <v>36</v>
      </c>
      <c r="D19" s="294">
        <f t="shared" si="2"/>
        <v>4.8432665141934618E-3</v>
      </c>
      <c r="E19" s="26"/>
      <c r="F19" s="975" t="s">
        <v>18</v>
      </c>
      <c r="G19" s="984"/>
      <c r="H19" s="476">
        <f>IFERROR(VLOOKUP($W20,疾患別＿1年以上＿寛解[#All],2,FALSE),0)</f>
        <v>1</v>
      </c>
      <c r="I19" s="476">
        <f>IFERROR(VLOOKUP($W20,疾患別＿1年以上＿院内寛解[#All],2,FALSE),0)</f>
        <v>6</v>
      </c>
      <c r="J19" s="470">
        <f t="shared" si="0"/>
        <v>7</v>
      </c>
      <c r="K19" s="475">
        <f t="shared" si="1"/>
        <v>1.3333333333333334E-2</v>
      </c>
      <c r="M19" s="59" t="s">
        <v>275</v>
      </c>
      <c r="N19" s="101">
        <v>13</v>
      </c>
      <c r="P19" s="231" t="s">
        <v>275</v>
      </c>
      <c r="Q19" s="232">
        <v>0</v>
      </c>
      <c r="R19" s="676"/>
      <c r="S19" s="688" t="s">
        <v>275</v>
      </c>
      <c r="T19" s="292">
        <v>2</v>
      </c>
      <c r="W19" s="42" t="s">
        <v>272</v>
      </c>
    </row>
    <row r="20" spans="1:24" ht="17.399999999999999" customHeight="1" x14ac:dyDescent="0.2">
      <c r="A20" s="964" t="s">
        <v>347</v>
      </c>
      <c r="B20" s="983"/>
      <c r="C20" s="178">
        <f>IFERROR(VLOOKUP(#REF!,疾患別＿1年以上[#All],2,FALSE),0)</f>
        <v>0</v>
      </c>
      <c r="D20" s="294">
        <f t="shared" si="2"/>
        <v>0</v>
      </c>
      <c r="E20" s="26"/>
      <c r="F20" s="975" t="s">
        <v>347</v>
      </c>
      <c r="G20" s="984"/>
      <c r="H20" s="476">
        <f>IFERROR(VLOOKUP(#REF!,疾患別＿1年以上＿寛解[#All],2,FALSE),0)</f>
        <v>0</v>
      </c>
      <c r="I20" s="476">
        <f>IFERROR(VLOOKUP(#REF!,疾患別＿1年以上＿院内寛解[#All],2,FALSE),0)</f>
        <v>0</v>
      </c>
      <c r="J20" s="470">
        <f t="shared" si="0"/>
        <v>0</v>
      </c>
      <c r="K20" s="475">
        <f t="shared" si="1"/>
        <v>0</v>
      </c>
      <c r="M20" s="688" t="s">
        <v>18</v>
      </c>
      <c r="N20" s="101">
        <v>36</v>
      </c>
      <c r="P20" s="235" t="s">
        <v>18</v>
      </c>
      <c r="Q20" s="234">
        <v>1</v>
      </c>
      <c r="R20" s="676"/>
      <c r="S20" s="688" t="s">
        <v>18</v>
      </c>
      <c r="T20" s="292">
        <v>6</v>
      </c>
      <c r="W20" s="42" t="s">
        <v>18</v>
      </c>
    </row>
    <row r="21" spans="1:24" ht="17.399999999999999" customHeight="1" x14ac:dyDescent="0.2">
      <c r="A21" s="209" t="s">
        <v>11</v>
      </c>
      <c r="B21" s="210"/>
      <c r="C21" s="203">
        <f>SUM(C6:C20)</f>
        <v>7433</v>
      </c>
      <c r="D21" s="204">
        <f>SUM(D6:D20)</f>
        <v>0.99999999999999989</v>
      </c>
      <c r="E21" s="676"/>
      <c r="F21" s="211" t="s">
        <v>11</v>
      </c>
      <c r="G21" s="212"/>
      <c r="H21" s="504">
        <f>SUM(H6:H20)</f>
        <v>40</v>
      </c>
      <c r="I21" s="504">
        <f>SUM(I6:I20)</f>
        <v>485</v>
      </c>
      <c r="J21" s="504">
        <f>SUM(J6:J20)</f>
        <v>525</v>
      </c>
      <c r="K21" s="505">
        <f>SUM(K6:K20)</f>
        <v>0.99999999999999989</v>
      </c>
      <c r="M21" s="688" t="s">
        <v>272</v>
      </c>
      <c r="N21" s="101">
        <v>20</v>
      </c>
      <c r="P21" s="230" t="s">
        <v>272</v>
      </c>
      <c r="Q21" s="229">
        <v>0</v>
      </c>
      <c r="R21" s="676"/>
      <c r="S21" s="688" t="s">
        <v>272</v>
      </c>
      <c r="T21" s="292">
        <v>1</v>
      </c>
    </row>
    <row r="22" spans="1:24" ht="17.399999999999999" customHeight="1" x14ac:dyDescent="0.2">
      <c r="A22" s="25"/>
      <c r="M22" s="688" t="s">
        <v>346</v>
      </c>
      <c r="N22" s="101">
        <v>0</v>
      </c>
      <c r="P22" s="230" t="s">
        <v>346</v>
      </c>
      <c r="Q22" s="232">
        <v>0</v>
      </c>
      <c r="R22" s="676"/>
      <c r="S22" s="688" t="s">
        <v>346</v>
      </c>
      <c r="T22" s="292">
        <v>0</v>
      </c>
    </row>
    <row r="23" spans="1:24" s="3" customFormat="1" ht="17.399999999999999" hidden="1" customHeight="1" x14ac:dyDescent="0.2">
      <c r="B23" s="224"/>
      <c r="C23" s="781"/>
      <c r="D23" s="16"/>
      <c r="E23" s="16"/>
      <c r="F23" s="16"/>
      <c r="G23" s="16"/>
      <c r="H23" s="16"/>
      <c r="N23" s="111"/>
      <c r="Q23" s="676"/>
      <c r="R23" s="676"/>
      <c r="S23" s="237"/>
    </row>
    <row r="24" spans="1:24" ht="17.399999999999999" hidden="1" customHeight="1" x14ac:dyDescent="0.2">
      <c r="A24" s="224"/>
      <c r="B24" s="236"/>
      <c r="C24" s="782"/>
      <c r="D24" s="16"/>
      <c r="E24" s="16"/>
      <c r="F24" s="16"/>
      <c r="G24" s="236"/>
      <c r="H24" s="782"/>
      <c r="I24" s="213"/>
      <c r="J24" s="242"/>
      <c r="M24" s="111"/>
      <c r="N24" s="25"/>
      <c r="Q24" s="676"/>
      <c r="R24" s="676"/>
      <c r="S24" s="676"/>
    </row>
    <row r="25" spans="1:24" ht="17.399999999999999" hidden="1" customHeight="1" x14ac:dyDescent="0.2">
      <c r="A25" s="238"/>
      <c r="B25" s="789"/>
      <c r="C25" s="782"/>
      <c r="D25" s="6"/>
      <c r="E25" s="6"/>
      <c r="F25" s="236"/>
      <c r="G25" s="789"/>
      <c r="H25" s="782"/>
      <c r="I25" s="243"/>
      <c r="J25" s="242"/>
      <c r="M25" s="111"/>
      <c r="N25" s="25"/>
      <c r="O25" s="676"/>
      <c r="P25" s="676"/>
      <c r="Q25" s="676"/>
      <c r="R25" s="676"/>
      <c r="S25" s="676"/>
    </row>
    <row r="26" spans="1:24" ht="17.399999999999999" hidden="1" customHeight="1" x14ac:dyDescent="0.2">
      <c r="A26" s="238"/>
      <c r="B26" s="248"/>
      <c r="C26" s="784"/>
      <c r="D26" s="16"/>
      <c r="E26" s="16"/>
      <c r="F26" s="237"/>
      <c r="G26" s="248"/>
      <c r="H26" s="784"/>
      <c r="I26" s="243"/>
      <c r="J26" s="242"/>
      <c r="M26" s="111"/>
      <c r="N26" s="25"/>
      <c r="O26" s="676"/>
      <c r="P26" s="676"/>
      <c r="Q26" s="676"/>
      <c r="R26" s="676"/>
      <c r="S26" s="676"/>
    </row>
    <row r="27" spans="1:24" ht="17.399999999999999" customHeight="1" x14ac:dyDescent="0.2">
      <c r="A27" s="238"/>
      <c r="B27" s="247"/>
      <c r="C27" s="785"/>
      <c r="D27" s="16"/>
      <c r="E27" s="16"/>
      <c r="F27" s="238"/>
      <c r="G27" s="261"/>
      <c r="H27" s="785"/>
      <c r="I27" s="243"/>
      <c r="J27" s="242"/>
      <c r="M27" s="111"/>
      <c r="N27" s="25"/>
      <c r="O27" s="676"/>
      <c r="P27" s="676"/>
      <c r="Q27" s="676"/>
      <c r="R27" s="676"/>
      <c r="S27" s="676"/>
    </row>
    <row r="28" spans="1:24" ht="17.399999999999999" customHeight="1" x14ac:dyDescent="0.2">
      <c r="A28" s="238"/>
      <c r="B28" s="248"/>
      <c r="C28" s="784"/>
      <c r="D28" s="16"/>
      <c r="E28" s="16"/>
      <c r="F28" s="237"/>
      <c r="G28" s="786"/>
      <c r="H28" s="784"/>
      <c r="I28" s="243"/>
      <c r="J28" s="242"/>
      <c r="M28" s="111"/>
      <c r="N28" s="25"/>
      <c r="O28" s="676"/>
      <c r="P28" s="676"/>
      <c r="Q28" s="676"/>
      <c r="R28" s="676"/>
      <c r="S28" s="676"/>
    </row>
    <row r="29" spans="1:24" ht="17.399999999999999" customHeight="1" x14ac:dyDescent="0.2">
      <c r="A29" s="238"/>
      <c r="B29" s="247"/>
      <c r="C29" s="785"/>
      <c r="D29" s="16"/>
      <c r="E29" s="16"/>
      <c r="F29" s="238"/>
      <c r="G29" s="261"/>
      <c r="H29" s="785"/>
      <c r="I29" s="243"/>
      <c r="M29" s="111"/>
      <c r="N29" s="25"/>
      <c r="O29" s="676"/>
      <c r="P29" s="676"/>
      <c r="Q29" s="676"/>
      <c r="R29" s="676"/>
      <c r="S29" s="676"/>
    </row>
    <row r="30" spans="1:24" ht="17.399999999999999" customHeight="1" x14ac:dyDescent="0.2">
      <c r="A30" s="238"/>
      <c r="B30" s="786"/>
      <c r="C30" s="784"/>
      <c r="D30" s="16"/>
      <c r="E30" s="16"/>
      <c r="F30" s="237"/>
      <c r="G30" s="786"/>
      <c r="H30" s="784"/>
      <c r="I30" s="243"/>
      <c r="M30" s="111"/>
      <c r="N30" s="25"/>
      <c r="O30" s="676"/>
      <c r="P30" s="676"/>
      <c r="Q30" s="676"/>
      <c r="R30" s="676"/>
      <c r="S30" s="676"/>
    </row>
    <row r="31" spans="1:24" ht="17.399999999999999" customHeight="1" x14ac:dyDescent="0.2">
      <c r="A31" s="238"/>
      <c r="B31" s="247"/>
      <c r="C31" s="785"/>
      <c r="D31" s="16"/>
      <c r="E31" s="16"/>
      <c r="F31" s="238"/>
      <c r="G31" s="261"/>
      <c r="H31" s="785"/>
      <c r="I31" s="243"/>
      <c r="J31" s="242"/>
      <c r="M31" s="111"/>
      <c r="N31" s="25"/>
      <c r="O31" s="676"/>
      <c r="P31" s="676"/>
      <c r="Q31" s="676"/>
      <c r="R31" s="676"/>
      <c r="S31" s="676"/>
    </row>
    <row r="32" spans="1:24" ht="17.399999999999999" customHeight="1" x14ac:dyDescent="0.2">
      <c r="A32" s="238"/>
      <c r="B32" s="248"/>
      <c r="C32" s="784"/>
      <c r="D32" s="16"/>
      <c r="E32" s="16"/>
      <c r="F32" s="237"/>
      <c r="G32" s="786"/>
      <c r="H32" s="784"/>
      <c r="I32" s="243"/>
      <c r="J32" s="242"/>
      <c r="M32" s="112"/>
      <c r="N32" s="25"/>
      <c r="O32" s="676"/>
      <c r="P32" s="676"/>
      <c r="Q32" s="676"/>
      <c r="R32" s="676"/>
      <c r="S32" s="676"/>
    </row>
    <row r="33" spans="1:19" ht="17.399999999999999" customHeight="1" x14ac:dyDescent="0.2">
      <c r="A33" s="238"/>
      <c r="B33" s="247"/>
      <c r="C33" s="785"/>
      <c r="D33" s="16"/>
      <c r="E33" s="16"/>
      <c r="F33" s="238"/>
      <c r="G33" s="261"/>
      <c r="H33" s="785"/>
      <c r="I33" s="243"/>
      <c r="J33" s="242"/>
      <c r="M33" s="112"/>
      <c r="N33" s="25"/>
      <c r="O33" s="676"/>
      <c r="P33" s="676"/>
      <c r="Q33" s="676"/>
      <c r="R33" s="676"/>
      <c r="S33" s="676"/>
    </row>
    <row r="34" spans="1:19" ht="17.399999999999999" customHeight="1" x14ac:dyDescent="0.2">
      <c r="A34" s="238"/>
      <c r="B34" s="248"/>
      <c r="C34" s="784"/>
      <c r="D34" s="16"/>
      <c r="E34" s="16"/>
      <c r="F34" s="237"/>
      <c r="G34" s="786"/>
      <c r="H34" s="784"/>
      <c r="I34" s="243"/>
      <c r="J34" s="242"/>
      <c r="M34" s="112"/>
      <c r="N34" s="25"/>
      <c r="O34" s="676"/>
      <c r="P34" s="676"/>
      <c r="Q34" s="676"/>
      <c r="R34" s="676"/>
      <c r="S34" s="676"/>
    </row>
    <row r="35" spans="1:19" ht="17.399999999999999" customHeight="1" x14ac:dyDescent="0.2">
      <c r="A35" s="238"/>
      <c r="B35" s="247"/>
      <c r="C35" s="785"/>
      <c r="D35" s="16"/>
      <c r="E35" s="16"/>
      <c r="F35" s="238"/>
      <c r="G35" s="261"/>
      <c r="H35" s="785"/>
      <c r="I35" s="243"/>
      <c r="J35" s="242"/>
      <c r="M35" s="111"/>
      <c r="N35" s="25"/>
      <c r="O35" s="676"/>
      <c r="P35" s="676"/>
      <c r="Q35" s="676"/>
      <c r="R35" s="676"/>
      <c r="S35" s="676"/>
    </row>
    <row r="36" spans="1:19" ht="17.399999999999999" customHeight="1" x14ac:dyDescent="0.2">
      <c r="A36" s="238"/>
      <c r="B36" s="248"/>
      <c r="C36" s="784"/>
      <c r="D36" s="16"/>
      <c r="E36" s="16"/>
      <c r="F36" s="237"/>
      <c r="G36" s="786"/>
      <c r="H36" s="784"/>
      <c r="I36" s="243"/>
      <c r="J36" s="242"/>
      <c r="M36" s="113"/>
      <c r="N36" s="25"/>
      <c r="O36" s="676"/>
      <c r="P36" s="676"/>
      <c r="Q36" s="676"/>
      <c r="R36" s="676"/>
      <c r="S36" s="676"/>
    </row>
    <row r="37" spans="1:19" ht="17.399999999999999" customHeight="1" x14ac:dyDescent="0.2">
      <c r="A37" s="238"/>
      <c r="B37" s="247"/>
      <c r="C37" s="785"/>
      <c r="D37" s="16"/>
      <c r="E37" s="16"/>
      <c r="F37" s="238"/>
      <c r="G37" s="261"/>
      <c r="H37" s="785"/>
      <c r="I37" s="243"/>
      <c r="J37" s="242"/>
      <c r="M37" s="98"/>
      <c r="N37" s="25"/>
      <c r="O37" s="676"/>
      <c r="P37" s="676"/>
      <c r="Q37" s="676"/>
      <c r="R37" s="676"/>
      <c r="S37" s="676"/>
    </row>
    <row r="38" spans="1:19" ht="17.399999999999999" customHeight="1" x14ac:dyDescent="0.2">
      <c r="A38" s="238"/>
      <c r="B38" s="248"/>
      <c r="C38" s="784"/>
      <c r="D38" s="16"/>
      <c r="E38" s="16"/>
      <c r="F38" s="237"/>
      <c r="G38" s="786"/>
      <c r="H38" s="784"/>
      <c r="I38" s="243"/>
      <c r="J38" s="242"/>
      <c r="O38" s="688"/>
      <c r="P38" s="676"/>
      <c r="Q38" s="676"/>
      <c r="R38" s="676"/>
      <c r="S38" s="676"/>
    </row>
    <row r="39" spans="1:19" ht="17.399999999999999" customHeight="1" x14ac:dyDescent="0.2">
      <c r="A39" s="238"/>
      <c r="B39" s="247"/>
      <c r="C39" s="785"/>
      <c r="D39" s="16"/>
      <c r="E39" s="16"/>
      <c r="F39" s="238"/>
      <c r="G39" s="261"/>
      <c r="H39" s="785"/>
      <c r="I39" s="243"/>
      <c r="J39" s="242"/>
      <c r="O39" s="676"/>
      <c r="P39" s="676"/>
      <c r="Q39" s="676"/>
      <c r="R39" s="676"/>
      <c r="S39" s="676"/>
    </row>
    <row r="40" spans="1:19" ht="17.399999999999999" customHeight="1" x14ac:dyDescent="0.2">
      <c r="A40" s="238"/>
      <c r="B40" s="786"/>
      <c r="C40" s="784"/>
      <c r="D40" s="16"/>
      <c r="E40" s="16"/>
      <c r="F40" s="237"/>
      <c r="G40" s="786"/>
      <c r="H40" s="784"/>
      <c r="I40" s="243"/>
      <c r="J40" s="242"/>
      <c r="O40" s="676"/>
      <c r="P40" s="676"/>
      <c r="Q40" s="676"/>
      <c r="R40" s="676"/>
      <c r="S40" s="676"/>
    </row>
    <row r="41" spans="1:19" ht="17.399999999999999" customHeight="1" x14ac:dyDescent="0.2">
      <c r="A41" s="238"/>
      <c r="B41" s="247"/>
      <c r="C41" s="785"/>
      <c r="D41" s="16"/>
      <c r="E41" s="16"/>
      <c r="F41" s="238"/>
      <c r="G41" s="247"/>
      <c r="H41" s="785"/>
      <c r="I41" s="243"/>
      <c r="J41" s="242"/>
      <c r="O41" s="676"/>
      <c r="P41" s="676"/>
      <c r="Q41" s="676"/>
      <c r="R41" s="676"/>
      <c r="S41" s="676"/>
    </row>
    <row r="42" spans="1:19" ht="17.399999999999999" customHeight="1" x14ac:dyDescent="0.2">
      <c r="A42" s="238"/>
      <c r="B42" s="248"/>
      <c r="C42" s="784"/>
      <c r="D42" s="16"/>
      <c r="E42" s="16"/>
      <c r="F42" s="237"/>
      <c r="G42" s="248"/>
      <c r="H42" s="784"/>
      <c r="I42" s="243"/>
      <c r="J42" s="242"/>
      <c r="O42" s="676"/>
      <c r="P42" s="676"/>
      <c r="Q42" s="676"/>
      <c r="R42" s="676"/>
      <c r="S42" s="676"/>
    </row>
    <row r="43" spans="1:19" ht="17.399999999999999" customHeight="1" x14ac:dyDescent="0.2">
      <c r="A43" s="16"/>
      <c r="B43" s="247"/>
      <c r="C43" s="785"/>
      <c r="D43" s="16"/>
      <c r="E43" s="16"/>
      <c r="F43" s="237"/>
      <c r="G43" s="248"/>
      <c r="H43" s="784"/>
      <c r="I43" s="16"/>
      <c r="J43" s="16"/>
      <c r="O43" s="676"/>
      <c r="P43" s="676"/>
      <c r="Q43" s="676"/>
      <c r="R43" s="676"/>
      <c r="S43" s="676"/>
    </row>
    <row r="44" spans="1:19" ht="17.399999999999999" customHeight="1" x14ac:dyDescent="0.2">
      <c r="A44" s="16"/>
      <c r="B44" s="16"/>
      <c r="C44" s="16"/>
      <c r="D44" s="16"/>
      <c r="E44" s="16"/>
      <c r="F44" s="16"/>
      <c r="G44" s="236"/>
      <c r="H44" s="782"/>
      <c r="I44" s="16"/>
      <c r="J44" s="16"/>
      <c r="O44" s="676"/>
      <c r="P44" s="676"/>
      <c r="Q44" s="676"/>
      <c r="R44" s="676"/>
      <c r="S44" s="676"/>
    </row>
    <row r="45" spans="1:19" ht="17.399999999999999" customHeight="1" x14ac:dyDescent="0.2">
      <c r="A45" s="16"/>
      <c r="B45" s="16"/>
      <c r="C45" s="16"/>
      <c r="D45" s="16"/>
      <c r="E45" s="16"/>
      <c r="F45" s="16"/>
      <c r="G45" s="789"/>
      <c r="H45" s="782"/>
      <c r="I45" s="16"/>
      <c r="J45" s="16"/>
      <c r="N45" s="111"/>
      <c r="O45" s="23"/>
    </row>
    <row r="46" spans="1:19" ht="17.399999999999999" customHeight="1" x14ac:dyDescent="0.2">
      <c r="A46" s="16"/>
      <c r="B46" s="16"/>
      <c r="C46" s="16"/>
      <c r="D46" s="16"/>
      <c r="E46" s="16"/>
      <c r="F46" s="16"/>
      <c r="G46" s="786"/>
      <c r="H46" s="784"/>
      <c r="I46" s="16"/>
      <c r="J46" s="16"/>
      <c r="N46" s="111"/>
      <c r="O46" s="23"/>
    </row>
    <row r="47" spans="1:19" ht="17.399999999999999" customHeight="1" x14ac:dyDescent="0.2">
      <c r="A47" s="16"/>
      <c r="B47" s="16"/>
      <c r="C47" s="16"/>
      <c r="D47" s="16"/>
      <c r="E47" s="16"/>
      <c r="F47" s="16"/>
      <c r="G47" s="261"/>
      <c r="H47" s="785"/>
      <c r="I47" s="16"/>
      <c r="J47" s="16"/>
      <c r="N47" s="111"/>
      <c r="O47" s="23"/>
    </row>
    <row r="48" spans="1:19" ht="17.399999999999999" customHeight="1" x14ac:dyDescent="0.2">
      <c r="A48" s="16"/>
      <c r="B48" s="16"/>
      <c r="C48" s="16"/>
      <c r="D48" s="16"/>
      <c r="E48" s="16"/>
      <c r="F48" s="16"/>
      <c r="G48" s="786"/>
      <c r="H48" s="784"/>
      <c r="I48" s="16"/>
      <c r="J48" s="16"/>
      <c r="N48" s="111"/>
      <c r="O48" s="23"/>
    </row>
    <row r="49" spans="1:15" ht="17.399999999999999" customHeight="1" x14ac:dyDescent="0.2">
      <c r="A49" s="16"/>
      <c r="B49" s="16"/>
      <c r="C49" s="16"/>
      <c r="D49" s="16"/>
      <c r="E49" s="16"/>
      <c r="F49" s="16"/>
      <c r="G49" s="261"/>
      <c r="H49" s="785"/>
      <c r="I49" s="16"/>
      <c r="J49" s="16"/>
      <c r="N49" s="111"/>
      <c r="O49" s="23"/>
    </row>
    <row r="50" spans="1:15" ht="17.399999999999999" customHeight="1" x14ac:dyDescent="0.2">
      <c r="A50" s="16"/>
      <c r="B50" s="16"/>
      <c r="C50" s="16"/>
      <c r="D50" s="16"/>
      <c r="E50" s="16"/>
      <c r="F50" s="16"/>
      <c r="G50" s="786"/>
      <c r="H50" s="784"/>
      <c r="I50" s="16"/>
      <c r="J50" s="16"/>
      <c r="N50" s="111"/>
      <c r="O50" s="23"/>
    </row>
    <row r="51" spans="1:15" ht="17.399999999999999" customHeight="1" x14ac:dyDescent="0.2">
      <c r="A51" s="16"/>
      <c r="B51" s="16"/>
      <c r="C51" s="16"/>
      <c r="D51" s="16"/>
      <c r="E51" s="16"/>
      <c r="F51" s="16"/>
      <c r="G51" s="261"/>
      <c r="H51" s="785"/>
      <c r="I51" s="16"/>
      <c r="J51" s="16"/>
      <c r="N51" s="112"/>
      <c r="O51" s="23"/>
    </row>
    <row r="52" spans="1:15" ht="17.399999999999999" customHeight="1" x14ac:dyDescent="0.2">
      <c r="B52" s="16"/>
      <c r="C52" s="16"/>
      <c r="D52" s="16"/>
      <c r="E52" s="16"/>
      <c r="F52" s="16"/>
      <c r="G52" s="786"/>
      <c r="H52" s="784"/>
      <c r="N52" s="112"/>
      <c r="O52" s="23"/>
    </row>
    <row r="53" spans="1:15" ht="17.399999999999999" customHeight="1" x14ac:dyDescent="0.2">
      <c r="B53" s="16"/>
      <c r="C53" s="16"/>
      <c r="D53" s="16"/>
      <c r="E53" s="16"/>
      <c r="F53" s="16"/>
      <c r="G53" s="261"/>
      <c r="H53" s="785"/>
      <c r="N53" s="112"/>
      <c r="O53" s="23"/>
    </row>
    <row r="54" spans="1:15" ht="17.399999999999999" customHeight="1" x14ac:dyDescent="0.2">
      <c r="B54" s="16"/>
      <c r="C54" s="16"/>
      <c r="D54" s="16"/>
      <c r="E54" s="16"/>
      <c r="F54" s="16"/>
      <c r="G54" s="786"/>
      <c r="H54" s="784"/>
      <c r="N54" s="111"/>
      <c r="O54" s="23"/>
    </row>
    <row r="55" spans="1:15" ht="17.399999999999999" customHeight="1" x14ac:dyDescent="0.2">
      <c r="B55" s="16"/>
      <c r="C55" s="16"/>
      <c r="D55" s="16"/>
      <c r="E55" s="16"/>
      <c r="F55" s="16"/>
      <c r="G55" s="261"/>
      <c r="H55" s="785"/>
      <c r="N55" s="113"/>
      <c r="O55" s="23"/>
    </row>
    <row r="56" spans="1:15" ht="17.399999999999999" customHeight="1" x14ac:dyDescent="0.2">
      <c r="B56" s="16"/>
      <c r="C56" s="16"/>
      <c r="D56" s="16"/>
      <c r="E56" s="16"/>
      <c r="F56" s="16"/>
      <c r="G56" s="786"/>
      <c r="H56" s="784"/>
      <c r="O56" s="114"/>
    </row>
    <row r="57" spans="1:15" ht="17.399999999999999" customHeight="1" x14ac:dyDescent="0.2">
      <c r="B57" s="16"/>
      <c r="C57" s="16"/>
      <c r="D57" s="16"/>
      <c r="E57" s="16"/>
      <c r="F57" s="16"/>
      <c r="G57" s="261"/>
      <c r="H57" s="785"/>
    </row>
    <row r="58" spans="1:15" ht="17.399999999999999" customHeight="1" x14ac:dyDescent="0.2">
      <c r="B58" s="247"/>
      <c r="C58" s="16"/>
      <c r="D58" s="16"/>
      <c r="E58" s="16"/>
      <c r="F58" s="16"/>
      <c r="G58" s="786"/>
      <c r="H58" s="784"/>
      <c r="N58" s="111"/>
      <c r="O58" s="23"/>
    </row>
    <row r="59" spans="1:15" ht="17.399999999999999" customHeight="1" x14ac:dyDescent="0.2">
      <c r="B59" s="16"/>
      <c r="C59" s="16"/>
      <c r="D59" s="16"/>
      <c r="E59" s="16"/>
      <c r="F59" s="16"/>
      <c r="G59" s="261"/>
      <c r="H59" s="785"/>
    </row>
    <row r="60" spans="1:15" ht="17.399999999999999" customHeight="1" x14ac:dyDescent="0.2">
      <c r="B60" s="16"/>
      <c r="C60" s="16"/>
      <c r="D60" s="16"/>
      <c r="E60" s="16"/>
      <c r="F60" s="16"/>
      <c r="G60" s="786"/>
      <c r="H60" s="784"/>
    </row>
    <row r="61" spans="1:15" ht="17.399999999999999" customHeight="1" x14ac:dyDescent="0.2">
      <c r="B61" s="16"/>
      <c r="C61" s="16"/>
      <c r="D61" s="16"/>
      <c r="E61" s="16"/>
      <c r="F61" s="16"/>
      <c r="G61" s="261"/>
      <c r="H61" s="785"/>
      <c r="N61" s="111"/>
      <c r="O61" s="23"/>
    </row>
    <row r="62" spans="1:15" ht="17.399999999999999" customHeight="1" x14ac:dyDescent="0.2">
      <c r="B62" s="16"/>
      <c r="C62" s="16"/>
      <c r="D62" s="16"/>
      <c r="E62" s="16"/>
      <c r="F62" s="16"/>
      <c r="G62" s="786"/>
      <c r="H62" s="784"/>
    </row>
    <row r="63" spans="1:15" ht="17.399999999999999" customHeight="1" x14ac:dyDescent="0.2">
      <c r="B63" s="16"/>
      <c r="C63" s="16"/>
      <c r="D63" s="16"/>
      <c r="E63" s="16"/>
      <c r="F63" s="16"/>
      <c r="G63" s="261"/>
      <c r="H63" s="785"/>
    </row>
  </sheetData>
  <mergeCells count="26">
    <mergeCell ref="F14:G14"/>
    <mergeCell ref="F15:G15"/>
    <mergeCell ref="F16:G16"/>
    <mergeCell ref="F17:G17"/>
    <mergeCell ref="F18:G18"/>
    <mergeCell ref="F9:G9"/>
    <mergeCell ref="F10:G10"/>
    <mergeCell ref="F11:G11"/>
    <mergeCell ref="F12:G12"/>
    <mergeCell ref="F13:G13"/>
    <mergeCell ref="A20:B20"/>
    <mergeCell ref="F20:G20"/>
    <mergeCell ref="A19:B19"/>
    <mergeCell ref="A5:B5"/>
    <mergeCell ref="A9:B9"/>
    <mergeCell ref="A10:B10"/>
    <mergeCell ref="A11:B11"/>
    <mergeCell ref="A12:B12"/>
    <mergeCell ref="A13:B13"/>
    <mergeCell ref="A14:B14"/>
    <mergeCell ref="A15:B15"/>
    <mergeCell ref="A16:B16"/>
    <mergeCell ref="A17:B17"/>
    <mergeCell ref="A18:B18"/>
    <mergeCell ref="F19:G19"/>
    <mergeCell ref="F5:G5"/>
  </mergeCells>
  <phoneticPr fontId="2"/>
  <pageMargins left="0.70866141732283472" right="0.70866141732283472" top="0.74803149606299213" bottom="0.74803149606299213" header="0.31496062992125984" footer="0.31496062992125984"/>
  <pageSetup paperSize="9" scale="7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Button 1">
              <controlPr defaultSize="0" print="0" autoFill="0" autoPict="0" macro="[0]!データ削除_疾患別_1年以上">
                <anchor moveWithCells="1" sizeWithCells="1">
                  <from>
                    <xdr:col>8</xdr:col>
                    <xdr:colOff>472440</xdr:colOff>
                    <xdr:row>22</xdr:row>
                    <xdr:rowOff>99060</xdr:rowOff>
                  </from>
                  <to>
                    <xdr:col>11</xdr:col>
                    <xdr:colOff>38100</xdr:colOff>
                    <xdr:row>24</xdr:row>
                    <xdr:rowOff>175260</xdr:rowOff>
                  </to>
                </anchor>
              </controlPr>
            </control>
          </mc:Choice>
        </mc:AlternateContent>
      </controls>
    </mc:Choice>
  </mc:AlternateContent>
  <tableParts count="3">
    <tablePart r:id="rId5"/>
    <tablePart r:id="rId6"/>
    <tablePart r:id="rId7"/>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B0F0"/>
  </sheetPr>
  <dimension ref="A1:G13"/>
  <sheetViews>
    <sheetView showGridLines="0" view="pageBreakPreview" zoomScale="120" zoomScaleNormal="100" zoomScaleSheetLayoutView="120" workbookViewId="0"/>
  </sheetViews>
  <sheetFormatPr defaultColWidth="9" defaultRowHeight="17.399999999999999" x14ac:dyDescent="0.2"/>
  <cols>
    <col min="1" max="1" width="13.6640625" style="1" customWidth="1"/>
    <col min="2" max="2" width="9.33203125" style="1" customWidth="1"/>
    <col min="3" max="3" width="18" style="1" customWidth="1"/>
    <col min="4" max="4" width="10.77734375" style="1" hidden="1" customWidth="1"/>
    <col min="5" max="5" width="7.21875" style="1" hidden="1" customWidth="1"/>
    <col min="6" max="6" width="11.6640625" style="1" hidden="1" customWidth="1"/>
    <col min="7" max="7" width="12.88671875" style="1" customWidth="1"/>
    <col min="8" max="8" width="6.6640625" style="1" customWidth="1"/>
    <col min="9" max="9" width="7.33203125" style="1" customWidth="1"/>
    <col min="10" max="10" width="5" style="1" customWidth="1"/>
    <col min="11" max="11" width="6.6640625" style="1" customWidth="1"/>
    <col min="12" max="12" width="7.33203125" style="1" customWidth="1"/>
    <col min="13" max="16384" width="9" style="1"/>
  </cols>
  <sheetData>
    <row r="1" spans="1:7" s="3" customFormat="1" ht="19.2" x14ac:dyDescent="0.2">
      <c r="A1" s="2" t="s">
        <v>144</v>
      </c>
    </row>
    <row r="2" spans="1:7" x14ac:dyDescent="0.2">
      <c r="A2" s="4"/>
    </row>
    <row r="3" spans="1:7" s="3" customFormat="1" ht="19.2" x14ac:dyDescent="0.2">
      <c r="A3" s="4" t="s">
        <v>13</v>
      </c>
      <c r="D3" s="6"/>
      <c r="E3" s="33"/>
      <c r="F3" s="34"/>
      <c r="G3" s="34"/>
    </row>
    <row r="4" spans="1:7" x14ac:dyDescent="0.2">
      <c r="A4" s="501"/>
      <c r="B4" s="501" t="s">
        <v>0</v>
      </c>
      <c r="C4" s="501" t="s">
        <v>1</v>
      </c>
      <c r="D4" s="16"/>
      <c r="E4" s="7"/>
      <c r="F4" s="8"/>
      <c r="G4" s="36"/>
    </row>
    <row r="5" spans="1:7" x14ac:dyDescent="0.2">
      <c r="A5" s="467" t="s">
        <v>28</v>
      </c>
      <c r="B5" s="476">
        <v>40</v>
      </c>
      <c r="C5" s="469">
        <f>IFERROR(B5/B$11,"-")</f>
        <v>5.3814072379927353E-3</v>
      </c>
      <c r="D5" s="16"/>
      <c r="F5" s="8"/>
      <c r="G5" s="36"/>
    </row>
    <row r="6" spans="1:7" x14ac:dyDescent="0.2">
      <c r="A6" s="467" t="s">
        <v>29</v>
      </c>
      <c r="B6" s="476">
        <v>485</v>
      </c>
      <c r="C6" s="469">
        <f t="shared" ref="C6:C10" si="0">IFERROR(B6/B$11,"-")</f>
        <v>6.5249562760661919E-2</v>
      </c>
      <c r="D6" s="16"/>
      <c r="E6" s="7"/>
      <c r="F6" s="8"/>
      <c r="G6" s="36"/>
    </row>
    <row r="7" spans="1:7" x14ac:dyDescent="0.2">
      <c r="A7" s="467" t="s">
        <v>30</v>
      </c>
      <c r="B7" s="476">
        <v>1276</v>
      </c>
      <c r="C7" s="469">
        <f t="shared" si="0"/>
        <v>0.17166689089196824</v>
      </c>
      <c r="D7" s="16"/>
      <c r="E7" s="7"/>
      <c r="F7" s="8"/>
      <c r="G7" s="36"/>
    </row>
    <row r="8" spans="1:7" x14ac:dyDescent="0.2">
      <c r="A8" s="467" t="s">
        <v>31</v>
      </c>
      <c r="B8" s="476">
        <v>3292</v>
      </c>
      <c r="C8" s="469">
        <f t="shared" si="0"/>
        <v>0.44288981568680208</v>
      </c>
      <c r="D8" s="16"/>
      <c r="E8" s="7"/>
      <c r="F8" s="8"/>
      <c r="G8" s="36"/>
    </row>
    <row r="9" spans="1:7" x14ac:dyDescent="0.2">
      <c r="A9" s="467" t="s">
        <v>32</v>
      </c>
      <c r="B9" s="476">
        <v>2039</v>
      </c>
      <c r="C9" s="469">
        <f t="shared" si="0"/>
        <v>0.27431723395667967</v>
      </c>
      <c r="D9" s="16"/>
      <c r="E9" s="7"/>
      <c r="F9" s="8"/>
      <c r="G9" s="36"/>
    </row>
    <row r="10" spans="1:7" x14ac:dyDescent="0.2">
      <c r="A10" s="467" t="s">
        <v>33</v>
      </c>
      <c r="B10" s="476">
        <v>301</v>
      </c>
      <c r="C10" s="469">
        <f t="shared" si="0"/>
        <v>4.0495089465895334E-2</v>
      </c>
      <c r="D10" s="16"/>
      <c r="E10" s="37"/>
      <c r="F10" s="38"/>
      <c r="G10" s="39"/>
    </row>
    <row r="11" spans="1:7" x14ac:dyDescent="0.2">
      <c r="A11" s="503" t="s">
        <v>11</v>
      </c>
      <c r="B11" s="504">
        <f>SUM(B5:B10)</f>
        <v>7433</v>
      </c>
      <c r="C11" s="508">
        <f>SUM(C5:C10)</f>
        <v>1</v>
      </c>
      <c r="D11" s="16"/>
      <c r="E11" s="16"/>
      <c r="F11" s="16"/>
      <c r="G11" s="16"/>
    </row>
    <row r="13" spans="1:7" hidden="1" x14ac:dyDescent="0.2">
      <c r="B13" s="307" t="s">
        <v>339</v>
      </c>
    </row>
  </sheetData>
  <phoneticPr fontId="2"/>
  <pageMargins left="0.70866141732283472" right="0.70866141732283472" top="0.74803149606299213" bottom="0.74803149606299213" header="0.31496062992125984" footer="0.31496062992125984"/>
  <pageSetup paperSize="1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Button 1">
              <controlPr defaultSize="0" print="0" autoFill="0" autoPict="0" macro="[0]!データ削除_状態像区分">
                <anchor moveWithCells="1" sizeWithCells="1">
                  <from>
                    <xdr:col>3</xdr:col>
                    <xdr:colOff>373380</xdr:colOff>
                    <xdr:row>1</xdr:row>
                    <xdr:rowOff>114300</xdr:rowOff>
                  </from>
                  <to>
                    <xdr:col>5</xdr:col>
                    <xdr:colOff>60960</xdr:colOff>
                    <xdr:row>3</xdr:row>
                    <xdr:rowOff>22860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00B0F0"/>
    <pageSetUpPr fitToPage="1"/>
  </sheetPr>
  <dimension ref="A1:AJ64"/>
  <sheetViews>
    <sheetView showGridLines="0" view="pageBreakPreview" zoomScale="70" zoomScaleNormal="85" zoomScaleSheetLayoutView="70" workbookViewId="0"/>
  </sheetViews>
  <sheetFormatPr defaultColWidth="9" defaultRowHeight="17.399999999999999" x14ac:dyDescent="0.2"/>
  <cols>
    <col min="1" max="1" width="62.44140625" style="1" customWidth="1"/>
    <col min="2" max="2" width="9.33203125" style="1" customWidth="1"/>
    <col min="3" max="3" width="11.109375" style="1" bestFit="1" customWidth="1"/>
    <col min="4" max="4" width="4.109375" style="1" customWidth="1"/>
    <col min="5" max="5" width="62.33203125" style="1" customWidth="1"/>
    <col min="6" max="8" width="9.33203125" style="1" customWidth="1"/>
    <col min="9" max="9" width="11.109375" style="1" bestFit="1" customWidth="1"/>
    <col min="10" max="10" width="6.21875" style="1" customWidth="1"/>
    <col min="11" max="11" width="3.109375" style="1" hidden="1" customWidth="1"/>
    <col min="12" max="12" width="49.6640625" style="1" hidden="1" customWidth="1"/>
    <col min="13" max="13" width="8.109375" style="1" customWidth="1"/>
    <col min="14" max="14" width="2.6640625" style="1" customWidth="1"/>
    <col min="15" max="15" width="4.44140625" style="1" customWidth="1"/>
    <col min="16" max="16" width="57.109375" style="1" customWidth="1"/>
    <col min="17" max="17" width="6.33203125" style="1" customWidth="1"/>
    <col min="18" max="18" width="25.21875" style="1" customWidth="1"/>
    <col min="19" max="19" width="47.88671875" style="1" bestFit="1" customWidth="1"/>
    <col min="20" max="20" width="34" style="1" customWidth="1"/>
    <col min="21" max="21" width="25.21875" style="1" customWidth="1"/>
    <col min="22" max="22" width="55.21875" style="1" customWidth="1"/>
    <col min="23" max="23" width="41.44140625" style="1" customWidth="1"/>
    <col min="24" max="24" width="32.77734375" style="1" customWidth="1"/>
    <col min="25" max="26" width="47.88671875" style="1" bestFit="1" customWidth="1"/>
    <col min="27" max="27" width="29" style="1" bestFit="1" customWidth="1"/>
    <col min="28" max="28" width="55.21875" style="1" bestFit="1" customWidth="1"/>
    <col min="29" max="29" width="41.44140625" style="1" bestFit="1" customWidth="1"/>
    <col min="30" max="30" width="32.77734375" style="1" bestFit="1" customWidth="1"/>
    <col min="31" max="16384" width="9" style="1"/>
  </cols>
  <sheetData>
    <row r="1" spans="1:17" s="3" customFormat="1" ht="19.2" x14ac:dyDescent="0.2">
      <c r="A1" s="791" t="s">
        <v>440</v>
      </c>
    </row>
    <row r="2" spans="1:17" x14ac:dyDescent="0.2">
      <c r="A2" s="4"/>
    </row>
    <row r="3" spans="1:17" x14ac:dyDescent="0.2">
      <c r="A3" s="4" t="s">
        <v>441</v>
      </c>
      <c r="E3" s="4" t="s">
        <v>105</v>
      </c>
    </row>
    <row r="4" spans="1:17" x14ac:dyDescent="0.2">
      <c r="A4" s="215"/>
      <c r="B4" s="501" t="s">
        <v>442</v>
      </c>
      <c r="C4" s="501" t="s">
        <v>443</v>
      </c>
      <c r="E4" s="215"/>
      <c r="F4" s="501" t="s">
        <v>106</v>
      </c>
      <c r="G4" s="509" t="s">
        <v>107</v>
      </c>
      <c r="H4" s="501" t="s">
        <v>444</v>
      </c>
      <c r="I4" s="501" t="s">
        <v>443</v>
      </c>
      <c r="L4" s="92"/>
      <c r="M4" s="92"/>
      <c r="P4" s="92"/>
      <c r="Q4" s="92"/>
    </row>
    <row r="5" spans="1:17" ht="34.799999999999997" x14ac:dyDescent="0.2">
      <c r="A5" s="198" t="s">
        <v>445</v>
      </c>
      <c r="B5" s="511">
        <v>1090</v>
      </c>
      <c r="C5" s="469">
        <f>IFERROR(B5/B$8,"-")</f>
        <v>0.14664334723530204</v>
      </c>
      <c r="E5" s="198" t="s">
        <v>445</v>
      </c>
      <c r="F5" s="510">
        <v>31</v>
      </c>
      <c r="G5" s="511">
        <v>285</v>
      </c>
      <c r="H5" s="470">
        <f>SUM(F5:G5)</f>
        <v>316</v>
      </c>
      <c r="I5" s="469">
        <f>IFERROR(H5/H$8,"-")</f>
        <v>0.60190476190476194</v>
      </c>
      <c r="L5" s="25"/>
      <c r="M5" s="17"/>
      <c r="P5" s="25"/>
      <c r="Q5" s="17"/>
    </row>
    <row r="6" spans="1:17" x14ac:dyDescent="0.2">
      <c r="A6" s="196" t="s">
        <v>320</v>
      </c>
      <c r="B6" s="500">
        <v>6221</v>
      </c>
      <c r="C6" s="469">
        <f>IFERROR(B6/B$8,"-")</f>
        <v>0.83694336068882014</v>
      </c>
      <c r="E6" s="196" t="s">
        <v>320</v>
      </c>
      <c r="F6" s="500">
        <v>1</v>
      </c>
      <c r="G6" s="500">
        <v>163</v>
      </c>
      <c r="H6" s="470">
        <f>SUM(F6:G6)</f>
        <v>164</v>
      </c>
      <c r="I6" s="469">
        <f>IFERROR(H6/H$8,"-")</f>
        <v>0.31238095238095237</v>
      </c>
      <c r="L6" s="25"/>
      <c r="M6" s="17"/>
      <c r="P6" s="25"/>
      <c r="Q6" s="17"/>
    </row>
    <row r="7" spans="1:17" x14ac:dyDescent="0.2">
      <c r="A7" s="196" t="s">
        <v>321</v>
      </c>
      <c r="B7" s="500">
        <v>122</v>
      </c>
      <c r="C7" s="469">
        <f>IFERROR(B7/B$8,"-")</f>
        <v>1.6413292075877842E-2</v>
      </c>
      <c r="E7" s="196" t="s">
        <v>321</v>
      </c>
      <c r="F7" s="500">
        <v>8</v>
      </c>
      <c r="G7" s="500">
        <v>37</v>
      </c>
      <c r="H7" s="470">
        <f>SUM(F7:G7)</f>
        <v>45</v>
      </c>
      <c r="I7" s="469">
        <f>IFERROR(H7/H$8,"-")</f>
        <v>8.5714285714285715E-2</v>
      </c>
      <c r="L7" s="25"/>
      <c r="M7" s="17"/>
      <c r="P7" s="25"/>
      <c r="Q7" s="17"/>
    </row>
    <row r="8" spans="1:17" x14ac:dyDescent="0.2">
      <c r="A8" s="202" t="s">
        <v>446</v>
      </c>
      <c r="B8" s="504">
        <f>SUM(B5:B7)</f>
        <v>7433</v>
      </c>
      <c r="C8" s="505">
        <f>SUM(C5:C7)</f>
        <v>1</v>
      </c>
      <c r="E8" s="202" t="s">
        <v>446</v>
      </c>
      <c r="F8" s="504">
        <f>SUM(F5:F7)</f>
        <v>40</v>
      </c>
      <c r="G8" s="504">
        <f>SUM(G5:G7)</f>
        <v>485</v>
      </c>
      <c r="H8" s="504">
        <f>SUM(H5:H7)</f>
        <v>525</v>
      </c>
      <c r="I8" s="505">
        <f>SUM(I5:I7)</f>
        <v>1</v>
      </c>
      <c r="L8" s="307" t="s">
        <v>460</v>
      </c>
      <c r="M8" s="17"/>
      <c r="P8" s="25"/>
      <c r="Q8" s="17"/>
    </row>
    <row r="9" spans="1:17" s="89" customFormat="1" ht="11.25" customHeight="1" x14ac:dyDescent="0.2">
      <c r="A9" s="44"/>
      <c r="B9" s="512"/>
      <c r="C9" s="513"/>
      <c r="E9" s="44"/>
      <c r="F9" s="512"/>
      <c r="G9" s="512"/>
      <c r="H9" s="512"/>
      <c r="I9" s="513"/>
      <c r="L9" s="106"/>
      <c r="M9" s="107"/>
      <c r="P9" s="106"/>
      <c r="Q9" s="107"/>
    </row>
    <row r="10" spans="1:17" s="3" customFormat="1" ht="19.2" x14ac:dyDescent="0.2">
      <c r="A10" s="2" t="s">
        <v>53</v>
      </c>
      <c r="B10" s="481"/>
      <c r="C10" s="481"/>
      <c r="F10" s="481"/>
      <c r="G10" s="481"/>
      <c r="H10" s="481"/>
      <c r="I10" s="481"/>
    </row>
    <row r="11" spans="1:17" x14ac:dyDescent="0.2">
      <c r="A11" s="4"/>
      <c r="B11" s="145"/>
      <c r="C11" s="145"/>
      <c r="F11" s="145"/>
      <c r="G11" s="145"/>
      <c r="H11" s="145"/>
      <c r="I11" s="145"/>
    </row>
    <row r="12" spans="1:17" x14ac:dyDescent="0.2">
      <c r="A12" s="4" t="s">
        <v>441</v>
      </c>
      <c r="B12" s="145"/>
      <c r="C12" s="145"/>
      <c r="E12" s="4" t="s">
        <v>105</v>
      </c>
      <c r="F12" s="145"/>
      <c r="G12" s="145"/>
      <c r="H12" s="145"/>
      <c r="I12" s="145"/>
    </row>
    <row r="13" spans="1:17" x14ac:dyDescent="0.2">
      <c r="A13" s="215"/>
      <c r="B13" s="501" t="s">
        <v>442</v>
      </c>
      <c r="C13" s="501" t="s">
        <v>443</v>
      </c>
      <c r="E13" s="215"/>
      <c r="F13" s="501" t="s">
        <v>106</v>
      </c>
      <c r="G13" s="509" t="s">
        <v>107</v>
      </c>
      <c r="H13" s="501" t="s">
        <v>444</v>
      </c>
      <c r="I13" s="501" t="s">
        <v>443</v>
      </c>
      <c r="L13" s="92"/>
      <c r="M13" s="92"/>
      <c r="P13" s="92"/>
      <c r="Q13" s="92"/>
    </row>
    <row r="14" spans="1:17" x14ac:dyDescent="0.5">
      <c r="A14" s="196" t="s">
        <v>447</v>
      </c>
      <c r="B14" s="514">
        <v>1040</v>
      </c>
      <c r="C14" s="469">
        <f>IFERROR(B14/B$16,"-")</f>
        <v>0.95412844036697253</v>
      </c>
      <c r="E14" s="196" t="s">
        <v>447</v>
      </c>
      <c r="F14" s="510">
        <v>28</v>
      </c>
      <c r="G14" s="514">
        <v>264</v>
      </c>
      <c r="H14" s="470">
        <f>SUM(F14:G14)</f>
        <v>292</v>
      </c>
      <c r="I14" s="469">
        <f>IFERROR(H14/H$16,"-")</f>
        <v>0.92405063291139244</v>
      </c>
      <c r="L14" s="25"/>
      <c r="M14" s="17"/>
      <c r="P14" s="25"/>
      <c r="Q14" s="17"/>
    </row>
    <row r="15" spans="1:17" x14ac:dyDescent="0.2">
      <c r="A15" s="196" t="s">
        <v>103</v>
      </c>
      <c r="B15" s="500">
        <v>50</v>
      </c>
      <c r="C15" s="469">
        <f>IFERROR(B15/B$16,"-")</f>
        <v>4.5871559633027525E-2</v>
      </c>
      <c r="E15" s="196" t="s">
        <v>103</v>
      </c>
      <c r="F15" s="500">
        <v>3</v>
      </c>
      <c r="G15" s="500">
        <v>21</v>
      </c>
      <c r="H15" s="470">
        <f>SUM(F15:G15)</f>
        <v>24</v>
      </c>
      <c r="I15" s="469">
        <f>IFERROR(H15/H$16,"-")</f>
        <v>7.5949367088607597E-2</v>
      </c>
      <c r="L15" s="25"/>
      <c r="M15" s="17"/>
      <c r="P15" s="25"/>
      <c r="Q15" s="17"/>
    </row>
    <row r="16" spans="1:17" x14ac:dyDescent="0.2">
      <c r="A16" s="202" t="s">
        <v>446</v>
      </c>
      <c r="B16" s="504">
        <f>SUM(B14:B15)</f>
        <v>1090</v>
      </c>
      <c r="C16" s="505">
        <f>SUM(C14:C15)</f>
        <v>1</v>
      </c>
      <c r="E16" s="202" t="s">
        <v>446</v>
      </c>
      <c r="F16" s="504">
        <f>SUM(F14:F15)</f>
        <v>31</v>
      </c>
      <c r="G16" s="504">
        <f>SUM(G14:G15)</f>
        <v>285</v>
      </c>
      <c r="H16" s="504">
        <f>SUM(H14:H15)</f>
        <v>316</v>
      </c>
      <c r="I16" s="505">
        <f>SUM(I14:I15)</f>
        <v>1</v>
      </c>
      <c r="L16" s="25"/>
      <c r="M16" s="17"/>
      <c r="P16" s="25"/>
      <c r="Q16" s="17"/>
    </row>
    <row r="17" spans="1:36" x14ac:dyDescent="0.2">
      <c r="A17" s="4"/>
      <c r="L17" s="25"/>
      <c r="M17" s="17"/>
      <c r="P17" s="25"/>
      <c r="Q17" s="17"/>
    </row>
    <row r="18" spans="1:36" s="3" customFormat="1" ht="19.2" x14ac:dyDescent="0.2">
      <c r="A18" s="2" t="s">
        <v>54</v>
      </c>
      <c r="K18" s="1"/>
      <c r="L18" s="25"/>
      <c r="M18" s="17"/>
      <c r="O18" s="1"/>
      <c r="P18" s="25"/>
      <c r="Q18" s="17"/>
    </row>
    <row r="19" spans="1:36" x14ac:dyDescent="0.2">
      <c r="A19" s="4"/>
      <c r="L19" s="25"/>
      <c r="M19" s="17"/>
      <c r="P19" s="25"/>
      <c r="Q19" s="17"/>
    </row>
    <row r="20" spans="1:36" x14ac:dyDescent="0.2">
      <c r="A20" s="4" t="s">
        <v>441</v>
      </c>
      <c r="E20" s="4" t="s">
        <v>105</v>
      </c>
      <c r="L20" s="25"/>
      <c r="M20" s="17"/>
      <c r="P20" s="25"/>
      <c r="Q20" s="17"/>
    </row>
    <row r="21" spans="1:36" x14ac:dyDescent="0.2">
      <c r="A21" s="981">
        <f>B14</f>
        <v>1040</v>
      </c>
      <c r="B21" s="981"/>
      <c r="C21" s="981"/>
      <c r="E21" s="982">
        <f>H14</f>
        <v>292</v>
      </c>
      <c r="F21" s="982"/>
      <c r="G21" s="982"/>
      <c r="H21" s="982"/>
      <c r="I21" s="982"/>
      <c r="L21" s="25"/>
      <c r="M21" s="17"/>
      <c r="P21" s="25"/>
      <c r="Q21" s="17"/>
    </row>
    <row r="22" spans="1:36" x14ac:dyDescent="0.2">
      <c r="A22" s="215"/>
      <c r="B22" s="501" t="s">
        <v>448</v>
      </c>
      <c r="C22" s="501" t="s">
        <v>443</v>
      </c>
      <c r="E22" s="215"/>
      <c r="F22" s="501" t="s">
        <v>106</v>
      </c>
      <c r="G22" s="509" t="s">
        <v>107</v>
      </c>
      <c r="H22" s="501" t="s">
        <v>444</v>
      </c>
      <c r="I22" s="501" t="s">
        <v>443</v>
      </c>
      <c r="L22" s="25"/>
      <c r="M22" s="17"/>
      <c r="P22" s="25"/>
      <c r="Q22" s="17"/>
    </row>
    <row r="23" spans="1:36" ht="37.5" customHeight="1" x14ac:dyDescent="0.2">
      <c r="A23" s="214" t="s">
        <v>221</v>
      </c>
      <c r="B23" s="500">
        <v>372</v>
      </c>
      <c r="C23" s="469">
        <f t="shared" ref="C23:C42" si="0">IFERROR(B23/B$14,"-")</f>
        <v>0.3576923076923077</v>
      </c>
      <c r="E23" s="515" t="s">
        <v>221</v>
      </c>
      <c r="F23" s="500">
        <v>6</v>
      </c>
      <c r="G23" s="500">
        <v>74</v>
      </c>
      <c r="H23" s="470">
        <f t="shared" ref="H23:H42" si="1">SUM(F23:G23)</f>
        <v>80</v>
      </c>
      <c r="I23" s="469">
        <f t="shared" ref="I23:I42" si="2">IFERROR(H23/H$14,"-")</f>
        <v>0.27397260273972601</v>
      </c>
      <c r="L23" s="25"/>
      <c r="M23" s="17"/>
      <c r="P23" s="25"/>
      <c r="Q23" s="17"/>
    </row>
    <row r="24" spans="1:36" x14ac:dyDescent="0.2">
      <c r="A24" s="196" t="s">
        <v>65</v>
      </c>
      <c r="B24" s="500">
        <v>259</v>
      </c>
      <c r="C24" s="469">
        <f t="shared" si="0"/>
        <v>0.24903846153846154</v>
      </c>
      <c r="E24" s="196" t="s">
        <v>65</v>
      </c>
      <c r="F24" s="500">
        <v>3</v>
      </c>
      <c r="G24" s="500">
        <v>46</v>
      </c>
      <c r="H24" s="470">
        <f t="shared" si="1"/>
        <v>49</v>
      </c>
      <c r="I24" s="469">
        <f t="shared" si="2"/>
        <v>0.1678082191780822</v>
      </c>
      <c r="L24" s="25"/>
      <c r="M24" s="17"/>
      <c r="P24" s="25"/>
      <c r="Q24" s="17"/>
    </row>
    <row r="25" spans="1:36" x14ac:dyDescent="0.2">
      <c r="A25" s="196" t="s">
        <v>449</v>
      </c>
      <c r="B25" s="500">
        <v>39</v>
      </c>
      <c r="C25" s="469">
        <f t="shared" si="0"/>
        <v>3.7499999999999999E-2</v>
      </c>
      <c r="E25" s="196" t="s">
        <v>449</v>
      </c>
      <c r="F25" s="500">
        <v>0</v>
      </c>
      <c r="G25" s="500">
        <v>4</v>
      </c>
      <c r="H25" s="470">
        <f t="shared" si="1"/>
        <v>4</v>
      </c>
      <c r="I25" s="469">
        <f t="shared" si="2"/>
        <v>1.3698630136986301E-2</v>
      </c>
      <c r="L25" s="25"/>
      <c r="M25" s="17"/>
      <c r="P25" s="25"/>
      <c r="Q25" s="17"/>
    </row>
    <row r="26" spans="1:36" x14ac:dyDescent="0.2">
      <c r="A26" s="196" t="s">
        <v>450</v>
      </c>
      <c r="B26" s="500">
        <v>521</v>
      </c>
      <c r="C26" s="469">
        <f t="shared" si="0"/>
        <v>0.50096153846153846</v>
      </c>
      <c r="E26" s="196" t="s">
        <v>450</v>
      </c>
      <c r="F26" s="500">
        <v>16</v>
      </c>
      <c r="G26" s="500">
        <v>133</v>
      </c>
      <c r="H26" s="470">
        <f t="shared" si="1"/>
        <v>149</v>
      </c>
      <c r="I26" s="469">
        <f t="shared" si="2"/>
        <v>0.51027397260273977</v>
      </c>
      <c r="L26" s="25"/>
      <c r="M26" s="17"/>
      <c r="P26" s="25"/>
      <c r="Q26" s="17"/>
    </row>
    <row r="27" spans="1:36" x14ac:dyDescent="0.2">
      <c r="A27" s="196" t="s">
        <v>451</v>
      </c>
      <c r="B27" s="500">
        <v>463</v>
      </c>
      <c r="C27" s="469">
        <f t="shared" si="0"/>
        <v>0.44519230769230766</v>
      </c>
      <c r="E27" s="196" t="s">
        <v>451</v>
      </c>
      <c r="F27" s="500">
        <v>6</v>
      </c>
      <c r="G27" s="500">
        <v>90</v>
      </c>
      <c r="H27" s="470">
        <f t="shared" si="1"/>
        <v>96</v>
      </c>
      <c r="I27" s="469">
        <f t="shared" si="2"/>
        <v>0.32876712328767121</v>
      </c>
      <c r="L27" s="25"/>
      <c r="M27" s="17"/>
      <c r="P27" s="25"/>
      <c r="Q27" s="17"/>
    </row>
    <row r="28" spans="1:36" x14ac:dyDescent="0.2">
      <c r="A28" s="196" t="s">
        <v>310</v>
      </c>
      <c r="B28" s="500">
        <v>347</v>
      </c>
      <c r="C28" s="469">
        <f t="shared" si="0"/>
        <v>0.33365384615384613</v>
      </c>
      <c r="E28" s="196" t="s">
        <v>310</v>
      </c>
      <c r="F28" s="500">
        <v>9</v>
      </c>
      <c r="G28" s="500">
        <v>90</v>
      </c>
      <c r="H28" s="470">
        <f t="shared" si="1"/>
        <v>99</v>
      </c>
      <c r="I28" s="469">
        <f t="shared" si="2"/>
        <v>0.33904109589041098</v>
      </c>
      <c r="L28" s="25"/>
      <c r="M28" s="17"/>
      <c r="P28" s="25"/>
      <c r="Q28" s="17"/>
    </row>
    <row r="29" spans="1:36" x14ac:dyDescent="0.2">
      <c r="A29" s="196" t="s">
        <v>452</v>
      </c>
      <c r="B29" s="500">
        <v>85</v>
      </c>
      <c r="C29" s="469">
        <f t="shared" si="0"/>
        <v>8.1730769230769232E-2</v>
      </c>
      <c r="E29" s="196" t="s">
        <v>452</v>
      </c>
      <c r="F29" s="500">
        <v>0</v>
      </c>
      <c r="G29" s="500">
        <v>11</v>
      </c>
      <c r="H29" s="470">
        <f t="shared" si="1"/>
        <v>11</v>
      </c>
      <c r="I29" s="469">
        <f t="shared" si="2"/>
        <v>3.7671232876712327E-2</v>
      </c>
      <c r="L29" s="25"/>
      <c r="M29" s="17"/>
      <c r="P29" s="25"/>
      <c r="Q29" s="17"/>
    </row>
    <row r="30" spans="1:36" x14ac:dyDescent="0.2">
      <c r="A30" s="196" t="s">
        <v>311</v>
      </c>
      <c r="B30" s="500">
        <v>353</v>
      </c>
      <c r="C30" s="469">
        <f t="shared" si="0"/>
        <v>0.33942307692307694</v>
      </c>
      <c r="E30" s="196" t="s">
        <v>311</v>
      </c>
      <c r="F30" s="500">
        <v>5</v>
      </c>
      <c r="G30" s="500">
        <v>79</v>
      </c>
      <c r="H30" s="470">
        <f t="shared" si="1"/>
        <v>84</v>
      </c>
      <c r="I30" s="469">
        <f t="shared" si="2"/>
        <v>0.28767123287671231</v>
      </c>
      <c r="L30" s="25"/>
      <c r="M30" s="17"/>
      <c r="P30" s="25"/>
      <c r="Q30" s="17"/>
    </row>
    <row r="31" spans="1:36" x14ac:dyDescent="0.2">
      <c r="A31" s="196" t="s">
        <v>312</v>
      </c>
      <c r="B31" s="500">
        <v>216</v>
      </c>
      <c r="C31" s="469">
        <f t="shared" si="0"/>
        <v>0.2076923076923077</v>
      </c>
      <c r="E31" s="196" t="s">
        <v>312</v>
      </c>
      <c r="F31" s="500">
        <v>4</v>
      </c>
      <c r="G31" s="500">
        <v>40</v>
      </c>
      <c r="H31" s="470">
        <f t="shared" si="1"/>
        <v>44</v>
      </c>
      <c r="I31" s="469">
        <f t="shared" si="2"/>
        <v>0.15068493150684931</v>
      </c>
      <c r="K31" s="16"/>
      <c r="L31" s="7"/>
      <c r="M31" s="58"/>
      <c r="N31" s="16"/>
      <c r="O31" s="16"/>
      <c r="P31" s="7"/>
      <c r="Q31" s="58"/>
      <c r="R31" s="16"/>
      <c r="S31" s="16"/>
      <c r="T31" s="16"/>
      <c r="U31" s="16"/>
      <c r="V31" s="16"/>
      <c r="W31" s="16"/>
      <c r="X31" s="16"/>
      <c r="Y31" s="16"/>
      <c r="Z31" s="16"/>
      <c r="AA31" s="16"/>
      <c r="AB31" s="16"/>
      <c r="AC31" s="16"/>
      <c r="AD31" s="16"/>
      <c r="AE31" s="16"/>
      <c r="AF31" s="16"/>
      <c r="AG31" s="16"/>
      <c r="AH31" s="16"/>
      <c r="AI31" s="16"/>
      <c r="AJ31" s="16"/>
    </row>
    <row r="32" spans="1:36" x14ac:dyDescent="0.2">
      <c r="A32" s="196" t="s">
        <v>229</v>
      </c>
      <c r="B32" s="500">
        <v>197</v>
      </c>
      <c r="C32" s="469">
        <f t="shared" si="0"/>
        <v>0.18942307692307692</v>
      </c>
      <c r="E32" s="196" t="s">
        <v>229</v>
      </c>
      <c r="F32" s="500">
        <v>5</v>
      </c>
      <c r="G32" s="500">
        <v>52</v>
      </c>
      <c r="H32" s="470">
        <f t="shared" si="1"/>
        <v>57</v>
      </c>
      <c r="I32" s="469">
        <f t="shared" si="2"/>
        <v>0.1952054794520548</v>
      </c>
      <c r="K32" s="16"/>
      <c r="L32" s="7"/>
      <c r="M32" s="58"/>
      <c r="N32" s="16"/>
      <c r="O32" s="16"/>
      <c r="P32" s="7"/>
      <c r="Q32" s="58"/>
      <c r="R32" s="16"/>
      <c r="S32" s="16"/>
      <c r="T32" s="16"/>
      <c r="U32" s="16"/>
      <c r="V32" s="16"/>
      <c r="W32" s="16"/>
      <c r="X32" s="16"/>
      <c r="Y32" s="16"/>
      <c r="Z32" s="16"/>
      <c r="AA32" s="16"/>
      <c r="AB32" s="16"/>
      <c r="AC32" s="16"/>
      <c r="AD32" s="16"/>
      <c r="AE32" s="16"/>
      <c r="AF32" s="16"/>
      <c r="AG32" s="16"/>
      <c r="AH32" s="16"/>
      <c r="AI32" s="16"/>
      <c r="AJ32" s="16"/>
    </row>
    <row r="33" spans="1:36" x14ac:dyDescent="0.2">
      <c r="A33" s="196" t="s">
        <v>453</v>
      </c>
      <c r="B33" s="500">
        <v>300</v>
      </c>
      <c r="C33" s="469">
        <f t="shared" si="0"/>
        <v>0.28846153846153844</v>
      </c>
      <c r="E33" s="196" t="s">
        <v>453</v>
      </c>
      <c r="F33" s="500">
        <v>7</v>
      </c>
      <c r="G33" s="500">
        <v>75</v>
      </c>
      <c r="H33" s="470">
        <f t="shared" si="1"/>
        <v>82</v>
      </c>
      <c r="I33" s="469">
        <f t="shared" si="2"/>
        <v>0.28082191780821919</v>
      </c>
      <c r="K33" s="16"/>
      <c r="L33" s="7"/>
      <c r="M33" s="58"/>
      <c r="N33" s="16"/>
      <c r="O33" s="16"/>
      <c r="P33" s="7"/>
      <c r="Q33" s="58"/>
      <c r="R33" s="16"/>
      <c r="S33" s="16"/>
      <c r="T33" s="16"/>
      <c r="U33" s="16"/>
      <c r="V33" s="16"/>
      <c r="W33" s="16"/>
      <c r="X33" s="16"/>
      <c r="Y33" s="16"/>
      <c r="Z33" s="16"/>
      <c r="AA33" s="16"/>
      <c r="AB33" s="16"/>
      <c r="AC33" s="16"/>
      <c r="AD33" s="16"/>
      <c r="AE33" s="16"/>
      <c r="AF33" s="16"/>
      <c r="AG33" s="16"/>
      <c r="AH33" s="16"/>
      <c r="AI33" s="16"/>
      <c r="AJ33" s="16"/>
    </row>
    <row r="34" spans="1:36" x14ac:dyDescent="0.2">
      <c r="A34" s="196" t="s">
        <v>454</v>
      </c>
      <c r="B34" s="500">
        <v>58</v>
      </c>
      <c r="C34" s="469">
        <f t="shared" si="0"/>
        <v>5.5769230769230772E-2</v>
      </c>
      <c r="E34" s="196" t="s">
        <v>454</v>
      </c>
      <c r="F34" s="500">
        <v>1</v>
      </c>
      <c r="G34" s="500">
        <v>16</v>
      </c>
      <c r="H34" s="470">
        <f t="shared" si="1"/>
        <v>17</v>
      </c>
      <c r="I34" s="469">
        <f t="shared" si="2"/>
        <v>5.8219178082191778E-2</v>
      </c>
      <c r="K34" s="16"/>
      <c r="L34" s="7"/>
      <c r="M34" s="58"/>
      <c r="N34" s="16"/>
      <c r="O34" s="16"/>
      <c r="P34" s="7"/>
      <c r="Q34" s="58"/>
      <c r="R34" s="16"/>
      <c r="S34" s="16"/>
      <c r="T34" s="16"/>
      <c r="U34" s="16"/>
      <c r="V34" s="16"/>
      <c r="W34" s="16"/>
      <c r="X34" s="16"/>
      <c r="Y34" s="16"/>
      <c r="Z34" s="16"/>
      <c r="AA34" s="16"/>
      <c r="AB34" s="16"/>
      <c r="AC34" s="16"/>
      <c r="AD34" s="16"/>
      <c r="AE34" s="16"/>
      <c r="AF34" s="16"/>
      <c r="AG34" s="16"/>
      <c r="AH34" s="16"/>
      <c r="AI34" s="16"/>
      <c r="AJ34" s="16"/>
    </row>
    <row r="35" spans="1:36" x14ac:dyDescent="0.2">
      <c r="A35" s="196" t="s">
        <v>455</v>
      </c>
      <c r="B35" s="500">
        <v>41</v>
      </c>
      <c r="C35" s="469">
        <f t="shared" si="0"/>
        <v>3.9423076923076922E-2</v>
      </c>
      <c r="E35" s="196" t="s">
        <v>455</v>
      </c>
      <c r="F35" s="500">
        <v>1</v>
      </c>
      <c r="G35" s="500">
        <v>6</v>
      </c>
      <c r="H35" s="470">
        <f t="shared" si="1"/>
        <v>7</v>
      </c>
      <c r="I35" s="469">
        <f t="shared" si="2"/>
        <v>2.3972602739726026E-2</v>
      </c>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row>
    <row r="36" spans="1:36" x14ac:dyDescent="0.2">
      <c r="A36" s="196" t="s">
        <v>456</v>
      </c>
      <c r="B36" s="500">
        <v>4</v>
      </c>
      <c r="C36" s="469">
        <f t="shared" si="0"/>
        <v>3.8461538461538464E-3</v>
      </c>
      <c r="E36" s="196" t="s">
        <v>456</v>
      </c>
      <c r="F36" s="500">
        <v>0</v>
      </c>
      <c r="G36" s="500">
        <v>1</v>
      </c>
      <c r="H36" s="470">
        <f t="shared" si="1"/>
        <v>1</v>
      </c>
      <c r="I36" s="469">
        <f t="shared" si="2"/>
        <v>3.4246575342465752E-3</v>
      </c>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row>
    <row r="37" spans="1:36" x14ac:dyDescent="0.2">
      <c r="A37" s="196" t="s">
        <v>457</v>
      </c>
      <c r="B37" s="500">
        <v>96</v>
      </c>
      <c r="C37" s="469">
        <f t="shared" si="0"/>
        <v>9.2307692307692313E-2</v>
      </c>
      <c r="E37" s="196" t="s">
        <v>457</v>
      </c>
      <c r="F37" s="500">
        <v>3</v>
      </c>
      <c r="G37" s="500">
        <v>29</v>
      </c>
      <c r="H37" s="470">
        <f t="shared" si="1"/>
        <v>32</v>
      </c>
      <c r="I37" s="469">
        <f t="shared" si="2"/>
        <v>0.1095890410958904</v>
      </c>
      <c r="K37" s="16"/>
      <c r="L37" s="108"/>
      <c r="M37" s="108"/>
      <c r="N37" s="16"/>
      <c r="O37" s="16"/>
      <c r="P37" s="16"/>
      <c r="Q37" s="16"/>
      <c r="R37" s="16"/>
      <c r="S37" s="16"/>
      <c r="T37" s="16"/>
      <c r="U37" s="16"/>
      <c r="V37" s="16"/>
      <c r="W37" s="16"/>
      <c r="X37" s="16"/>
      <c r="Y37" s="16"/>
      <c r="Z37" s="16"/>
      <c r="AA37" s="16"/>
      <c r="AB37" s="16"/>
      <c r="AC37" s="16"/>
      <c r="AD37" s="16"/>
      <c r="AE37" s="16"/>
      <c r="AF37" s="16"/>
      <c r="AG37" s="16"/>
      <c r="AH37" s="16"/>
      <c r="AI37" s="16"/>
      <c r="AJ37" s="16"/>
    </row>
    <row r="38" spans="1:36" x14ac:dyDescent="0.2">
      <c r="A38" s="196" t="s">
        <v>458</v>
      </c>
      <c r="B38" s="500">
        <v>84</v>
      </c>
      <c r="C38" s="469">
        <f t="shared" si="0"/>
        <v>8.0769230769230774E-2</v>
      </c>
      <c r="E38" s="196" t="s">
        <v>458</v>
      </c>
      <c r="F38" s="500">
        <v>3</v>
      </c>
      <c r="G38" s="500">
        <v>19</v>
      </c>
      <c r="H38" s="470">
        <f t="shared" si="1"/>
        <v>22</v>
      </c>
      <c r="I38" s="469">
        <f t="shared" si="2"/>
        <v>7.5342465753424653E-2</v>
      </c>
      <c r="K38" s="16"/>
      <c r="L38" s="7"/>
      <c r="M38" s="58"/>
      <c r="N38" s="16"/>
      <c r="O38" s="16"/>
      <c r="P38" s="16"/>
      <c r="Q38" s="16"/>
      <c r="R38" s="16"/>
      <c r="S38" s="16"/>
      <c r="T38" s="16"/>
      <c r="U38" s="16"/>
      <c r="V38" s="16"/>
      <c r="W38" s="16"/>
      <c r="X38" s="16"/>
      <c r="Y38" s="16"/>
      <c r="Z38" s="16"/>
      <c r="AA38" s="16"/>
      <c r="AB38" s="16"/>
      <c r="AC38" s="16"/>
      <c r="AD38" s="16"/>
      <c r="AE38" s="16"/>
      <c r="AF38" s="16"/>
      <c r="AG38" s="16"/>
      <c r="AH38" s="16"/>
      <c r="AI38" s="16"/>
      <c r="AJ38" s="16"/>
    </row>
    <row r="39" spans="1:36" x14ac:dyDescent="0.2">
      <c r="A39" s="196" t="s">
        <v>230</v>
      </c>
      <c r="B39" s="500">
        <v>13</v>
      </c>
      <c r="C39" s="469">
        <f t="shared" si="0"/>
        <v>1.2500000000000001E-2</v>
      </c>
      <c r="E39" s="516" t="s">
        <v>230</v>
      </c>
      <c r="F39" s="500">
        <v>1</v>
      </c>
      <c r="G39" s="500">
        <v>7</v>
      </c>
      <c r="H39" s="470">
        <f t="shared" si="1"/>
        <v>8</v>
      </c>
      <c r="I39" s="469">
        <f t="shared" si="2"/>
        <v>2.7397260273972601E-2</v>
      </c>
      <c r="K39" s="16"/>
      <c r="L39" s="7"/>
      <c r="M39" s="58"/>
      <c r="N39" s="16"/>
      <c r="O39" s="16"/>
      <c r="P39" s="16"/>
      <c r="Q39" s="16"/>
      <c r="R39" s="16"/>
      <c r="S39" s="16"/>
      <c r="T39" s="16"/>
      <c r="U39" s="16"/>
      <c r="V39" s="16"/>
      <c r="W39" s="16"/>
      <c r="X39" s="16"/>
      <c r="Y39" s="16"/>
      <c r="Z39" s="16"/>
      <c r="AA39" s="16"/>
      <c r="AB39" s="16"/>
      <c r="AC39" s="16"/>
      <c r="AD39" s="16"/>
      <c r="AE39" s="16"/>
      <c r="AF39" s="16"/>
      <c r="AG39" s="16"/>
      <c r="AH39" s="16"/>
      <c r="AI39" s="16"/>
      <c r="AJ39" s="16"/>
    </row>
    <row r="40" spans="1:36" x14ac:dyDescent="0.2">
      <c r="A40" s="200" t="s">
        <v>349</v>
      </c>
      <c r="B40" s="498">
        <v>190</v>
      </c>
      <c r="C40" s="499">
        <f t="shared" si="0"/>
        <v>0.18269230769230768</v>
      </c>
      <c r="D40" s="89"/>
      <c r="E40" s="347" t="s">
        <v>349</v>
      </c>
      <c r="F40" s="500">
        <v>2</v>
      </c>
      <c r="G40" s="500">
        <v>49</v>
      </c>
      <c r="H40" s="470">
        <f t="shared" si="1"/>
        <v>51</v>
      </c>
      <c r="I40" s="469">
        <f t="shared" si="2"/>
        <v>0.17465753424657535</v>
      </c>
      <c r="L40" s="25"/>
      <c r="M40" s="17"/>
    </row>
    <row r="41" spans="1:36" ht="37.5" customHeight="1" x14ac:dyDescent="0.2">
      <c r="A41" s="346" t="s">
        <v>350</v>
      </c>
      <c r="B41" s="498">
        <v>66</v>
      </c>
      <c r="C41" s="499">
        <f t="shared" si="0"/>
        <v>6.3461538461538458E-2</v>
      </c>
      <c r="D41" s="89"/>
      <c r="E41" s="346" t="s">
        <v>350</v>
      </c>
      <c r="F41" s="500">
        <v>2</v>
      </c>
      <c r="G41" s="500">
        <v>24</v>
      </c>
      <c r="H41" s="470">
        <f t="shared" si="1"/>
        <v>26</v>
      </c>
      <c r="I41" s="469">
        <f t="shared" si="2"/>
        <v>8.9041095890410954E-2</v>
      </c>
      <c r="L41" s="25"/>
      <c r="M41" s="17"/>
    </row>
    <row r="42" spans="1:36" x14ac:dyDescent="0.2">
      <c r="A42" s="200" t="s">
        <v>459</v>
      </c>
      <c r="B42" s="498">
        <v>16</v>
      </c>
      <c r="C42" s="499">
        <f t="shared" si="0"/>
        <v>1.5384615384615385E-2</v>
      </c>
      <c r="D42" s="89"/>
      <c r="E42" s="347" t="s">
        <v>459</v>
      </c>
      <c r="F42" s="500">
        <v>2</v>
      </c>
      <c r="G42" s="500">
        <v>8</v>
      </c>
      <c r="H42" s="470">
        <f t="shared" si="1"/>
        <v>10</v>
      </c>
      <c r="I42" s="469">
        <f t="shared" si="2"/>
        <v>3.4246575342465752E-2</v>
      </c>
      <c r="L42" s="25"/>
      <c r="M42" s="17"/>
    </row>
    <row r="43" spans="1:36" x14ac:dyDescent="0.2">
      <c r="K43" s="16"/>
      <c r="L43" s="7"/>
      <c r="M43" s="58"/>
      <c r="N43" s="16"/>
      <c r="O43" s="16"/>
      <c r="P43" s="16"/>
      <c r="Q43" s="16"/>
      <c r="R43" s="16"/>
      <c r="S43" s="16"/>
      <c r="T43" s="16"/>
      <c r="U43" s="16"/>
      <c r="V43" s="16"/>
      <c r="W43" s="16"/>
      <c r="X43" s="16"/>
      <c r="Y43" s="16"/>
      <c r="Z43" s="16"/>
      <c r="AA43" s="16"/>
      <c r="AB43" s="16"/>
      <c r="AC43" s="16"/>
      <c r="AD43" s="16"/>
      <c r="AE43" s="16"/>
      <c r="AF43" s="16"/>
      <c r="AG43" s="16"/>
      <c r="AH43" s="16"/>
      <c r="AI43" s="16"/>
      <c r="AJ43" s="16"/>
    </row>
    <row r="44" spans="1:36" x14ac:dyDescent="0.2">
      <c r="K44" s="16"/>
      <c r="L44" s="7"/>
      <c r="M44" s="58"/>
      <c r="N44" s="16"/>
      <c r="O44" s="16"/>
      <c r="P44" s="16"/>
      <c r="Q44" s="16"/>
      <c r="R44" s="16"/>
      <c r="S44" s="16"/>
      <c r="T44" s="16"/>
      <c r="U44" s="16"/>
      <c r="V44" s="16"/>
      <c r="W44" s="16"/>
      <c r="X44" s="16"/>
      <c r="Y44" s="16"/>
      <c r="Z44" s="16"/>
      <c r="AA44" s="16"/>
      <c r="AB44" s="16"/>
      <c r="AC44" s="16"/>
      <c r="AD44" s="16"/>
      <c r="AE44" s="16"/>
      <c r="AF44" s="16"/>
      <c r="AG44" s="16"/>
      <c r="AH44" s="16"/>
      <c r="AI44" s="16"/>
      <c r="AJ44" s="16"/>
    </row>
    <row r="45" spans="1:36" x14ac:dyDescent="0.2">
      <c r="K45" s="16"/>
      <c r="L45" s="7"/>
      <c r="M45" s="58"/>
      <c r="N45" s="16"/>
      <c r="O45" s="16"/>
      <c r="P45" s="16"/>
      <c r="Q45" s="16"/>
      <c r="R45" s="16"/>
      <c r="S45" s="16"/>
      <c r="T45" s="16"/>
      <c r="U45" s="16"/>
      <c r="V45" s="16"/>
      <c r="W45" s="16"/>
      <c r="X45" s="16"/>
      <c r="Y45" s="16"/>
      <c r="Z45" s="16"/>
      <c r="AA45" s="16"/>
      <c r="AB45" s="16"/>
      <c r="AC45" s="16"/>
      <c r="AD45" s="16"/>
      <c r="AE45" s="16"/>
      <c r="AF45" s="16"/>
      <c r="AG45" s="16"/>
      <c r="AH45" s="16"/>
      <c r="AI45" s="16"/>
      <c r="AJ45" s="16"/>
    </row>
    <row r="46" spans="1:36" x14ac:dyDescent="0.2">
      <c r="K46" s="16"/>
      <c r="L46" s="7"/>
      <c r="M46" s="58"/>
      <c r="N46" s="16"/>
      <c r="O46" s="16"/>
      <c r="P46" s="16"/>
      <c r="Q46" s="16"/>
      <c r="R46" s="16"/>
      <c r="S46" s="16"/>
      <c r="T46" s="16"/>
      <c r="U46" s="16"/>
      <c r="V46" s="16"/>
      <c r="W46" s="16"/>
      <c r="X46" s="16"/>
      <c r="Y46" s="16"/>
      <c r="Z46" s="16"/>
      <c r="AA46" s="16"/>
      <c r="AB46" s="16"/>
      <c r="AC46" s="16"/>
      <c r="AD46" s="16"/>
      <c r="AE46" s="16"/>
      <c r="AF46" s="16"/>
      <c r="AG46" s="16"/>
      <c r="AH46" s="16"/>
      <c r="AI46" s="16"/>
      <c r="AJ46" s="16"/>
    </row>
    <row r="47" spans="1:36" x14ac:dyDescent="0.2">
      <c r="K47" s="16"/>
      <c r="L47" s="7"/>
      <c r="M47" s="58"/>
      <c r="N47" s="16"/>
      <c r="O47" s="16"/>
      <c r="P47" s="16"/>
      <c r="Q47" s="16"/>
      <c r="R47" s="16"/>
      <c r="S47" s="16"/>
      <c r="T47" s="16"/>
      <c r="U47" s="16"/>
      <c r="V47" s="16"/>
      <c r="W47" s="16"/>
      <c r="X47" s="16"/>
      <c r="Y47" s="16"/>
      <c r="Z47" s="16"/>
      <c r="AA47" s="16"/>
      <c r="AB47" s="16"/>
      <c r="AC47" s="16"/>
      <c r="AD47" s="16"/>
      <c r="AE47" s="16"/>
      <c r="AF47" s="16"/>
      <c r="AG47" s="16"/>
      <c r="AH47" s="16"/>
      <c r="AI47" s="16"/>
      <c r="AJ47" s="16"/>
    </row>
    <row r="48" spans="1:36" x14ac:dyDescent="0.2">
      <c r="K48" s="16"/>
      <c r="L48" s="7"/>
      <c r="M48" s="58"/>
      <c r="N48" s="16"/>
      <c r="O48" s="16"/>
      <c r="P48" s="16"/>
      <c r="Q48" s="16"/>
      <c r="R48" s="16"/>
      <c r="S48" s="16"/>
      <c r="T48" s="16"/>
      <c r="U48" s="16"/>
      <c r="V48" s="16"/>
      <c r="W48" s="16"/>
      <c r="X48" s="16"/>
      <c r="Y48" s="16"/>
      <c r="Z48" s="16"/>
      <c r="AA48" s="16"/>
      <c r="AB48" s="16"/>
      <c r="AC48" s="16"/>
      <c r="AD48" s="16"/>
      <c r="AE48" s="16"/>
      <c r="AF48" s="16"/>
      <c r="AG48" s="16"/>
      <c r="AH48" s="16"/>
      <c r="AI48" s="16"/>
      <c r="AJ48" s="16"/>
    </row>
    <row r="49" spans="11:36" x14ac:dyDescent="0.2">
      <c r="K49" s="16"/>
      <c r="L49" s="7"/>
      <c r="M49" s="58"/>
      <c r="N49" s="16"/>
      <c r="O49" s="16"/>
      <c r="P49" s="16"/>
      <c r="Q49" s="16"/>
      <c r="R49" s="16"/>
      <c r="S49" s="16"/>
      <c r="T49" s="16"/>
      <c r="U49" s="16"/>
      <c r="V49" s="16"/>
      <c r="W49" s="16"/>
      <c r="X49" s="16"/>
      <c r="Y49" s="16"/>
      <c r="Z49" s="16"/>
      <c r="AA49" s="16"/>
      <c r="AB49" s="16"/>
      <c r="AC49" s="16"/>
      <c r="AD49" s="16"/>
      <c r="AE49" s="16"/>
      <c r="AF49" s="16"/>
      <c r="AG49" s="16"/>
      <c r="AH49" s="16"/>
      <c r="AI49" s="16"/>
      <c r="AJ49" s="16"/>
    </row>
    <row r="50" spans="11:36" x14ac:dyDescent="0.2">
      <c r="K50" s="16"/>
      <c r="L50" s="7"/>
      <c r="M50" s="58"/>
      <c r="N50" s="16"/>
      <c r="O50" s="16"/>
      <c r="P50" s="16"/>
      <c r="Q50" s="16"/>
      <c r="R50" s="16"/>
      <c r="S50" s="16"/>
      <c r="T50" s="16"/>
      <c r="U50" s="16"/>
      <c r="V50" s="16"/>
      <c r="W50" s="16"/>
      <c r="X50" s="16"/>
      <c r="Y50" s="16"/>
      <c r="Z50" s="16"/>
      <c r="AA50" s="16"/>
      <c r="AB50" s="16"/>
      <c r="AC50" s="16"/>
      <c r="AD50" s="16"/>
      <c r="AE50" s="16"/>
      <c r="AF50" s="16"/>
      <c r="AG50" s="16"/>
      <c r="AH50" s="16"/>
      <c r="AI50" s="16"/>
      <c r="AJ50" s="16"/>
    </row>
    <row r="51" spans="11:36" x14ac:dyDescent="0.2">
      <c r="K51" s="16"/>
      <c r="L51" s="7"/>
      <c r="M51" s="58"/>
      <c r="N51" s="16"/>
      <c r="O51" s="16"/>
      <c r="P51" s="16"/>
      <c r="Q51" s="16"/>
      <c r="R51" s="16"/>
      <c r="S51" s="16"/>
      <c r="T51" s="16"/>
      <c r="U51" s="16"/>
      <c r="V51" s="16"/>
      <c r="W51" s="16"/>
      <c r="X51" s="16"/>
      <c r="Y51" s="16"/>
      <c r="Z51" s="16"/>
      <c r="AA51" s="16"/>
      <c r="AB51" s="16"/>
      <c r="AC51" s="16"/>
      <c r="AD51" s="16"/>
      <c r="AE51" s="16"/>
      <c r="AF51" s="16"/>
      <c r="AG51" s="16"/>
      <c r="AH51" s="16"/>
      <c r="AI51" s="16"/>
      <c r="AJ51" s="16"/>
    </row>
    <row r="52" spans="11:36" x14ac:dyDescent="0.2">
      <c r="K52" s="16"/>
      <c r="L52" s="7"/>
      <c r="M52" s="58"/>
      <c r="N52" s="16"/>
      <c r="O52" s="16"/>
      <c r="P52" s="16"/>
      <c r="Q52" s="16"/>
      <c r="R52" s="16"/>
      <c r="S52" s="16"/>
      <c r="T52" s="16"/>
      <c r="U52" s="16"/>
      <c r="V52" s="16"/>
      <c r="W52" s="16"/>
      <c r="X52" s="16"/>
      <c r="Y52" s="16"/>
      <c r="Z52" s="16"/>
      <c r="AA52" s="16"/>
      <c r="AB52" s="16"/>
      <c r="AC52" s="16"/>
      <c r="AD52" s="16"/>
      <c r="AE52" s="16"/>
      <c r="AF52" s="16"/>
      <c r="AG52" s="16"/>
      <c r="AH52" s="16"/>
      <c r="AI52" s="16"/>
      <c r="AJ52" s="16"/>
    </row>
    <row r="53" spans="11:36" x14ac:dyDescent="0.2">
      <c r="K53" s="16"/>
      <c r="L53" s="7"/>
      <c r="M53" s="58"/>
      <c r="N53" s="16"/>
      <c r="O53" s="16"/>
      <c r="P53" s="16"/>
      <c r="Q53" s="16"/>
      <c r="R53" s="16"/>
      <c r="S53" s="16"/>
      <c r="T53" s="16"/>
      <c r="U53" s="16"/>
      <c r="V53" s="16"/>
      <c r="W53" s="16"/>
      <c r="X53" s="16"/>
      <c r="Y53" s="16"/>
      <c r="Z53" s="16"/>
      <c r="AA53" s="16"/>
      <c r="AB53" s="16"/>
      <c r="AC53" s="16"/>
      <c r="AD53" s="16"/>
      <c r="AE53" s="16"/>
      <c r="AF53" s="16"/>
      <c r="AG53" s="16"/>
      <c r="AH53" s="16"/>
      <c r="AI53" s="16"/>
      <c r="AJ53" s="16"/>
    </row>
    <row r="54" spans="11:36" x14ac:dyDescent="0.2">
      <c r="K54" s="16"/>
      <c r="L54" s="7"/>
      <c r="M54" s="58"/>
      <c r="N54" s="16"/>
      <c r="O54" s="16"/>
      <c r="P54" s="16"/>
      <c r="Q54" s="16"/>
      <c r="R54" s="16"/>
      <c r="S54" s="16"/>
      <c r="T54" s="16"/>
      <c r="U54" s="16"/>
      <c r="V54" s="16"/>
      <c r="W54" s="16"/>
      <c r="X54" s="16"/>
      <c r="Y54" s="16"/>
      <c r="Z54" s="16"/>
      <c r="AA54" s="16"/>
      <c r="AB54" s="16"/>
      <c r="AC54" s="16"/>
      <c r="AD54" s="16"/>
      <c r="AE54" s="16"/>
      <c r="AF54" s="16"/>
      <c r="AG54" s="16"/>
      <c r="AH54" s="16"/>
      <c r="AI54" s="16"/>
      <c r="AJ54" s="16"/>
    </row>
    <row r="55" spans="11:36" x14ac:dyDescent="0.2">
      <c r="K55" s="16"/>
      <c r="L55" s="7"/>
      <c r="M55" s="58"/>
      <c r="N55" s="16"/>
      <c r="O55" s="16"/>
      <c r="P55" s="16"/>
      <c r="Q55" s="16"/>
      <c r="R55" s="16"/>
      <c r="S55" s="16"/>
      <c r="T55" s="16"/>
      <c r="U55" s="16"/>
      <c r="V55" s="16"/>
      <c r="W55" s="16"/>
      <c r="X55" s="16"/>
      <c r="Y55" s="16"/>
      <c r="Z55" s="16"/>
      <c r="AA55" s="16"/>
      <c r="AB55" s="16"/>
      <c r="AC55" s="16"/>
      <c r="AD55" s="16"/>
      <c r="AE55" s="16"/>
      <c r="AF55" s="16"/>
      <c r="AG55" s="16"/>
      <c r="AH55" s="16"/>
      <c r="AI55" s="16"/>
      <c r="AJ55" s="16"/>
    </row>
    <row r="56" spans="11:36" x14ac:dyDescent="0.2">
      <c r="K56" s="16"/>
      <c r="L56" s="7"/>
      <c r="M56" s="58"/>
      <c r="N56" s="16"/>
      <c r="O56" s="16"/>
      <c r="P56" s="16"/>
      <c r="Q56" s="16"/>
      <c r="R56" s="16"/>
      <c r="S56" s="16"/>
      <c r="T56" s="16"/>
      <c r="U56" s="16"/>
      <c r="V56" s="16"/>
      <c r="W56" s="16"/>
      <c r="X56" s="16"/>
      <c r="Y56" s="16"/>
      <c r="Z56" s="16"/>
      <c r="AA56" s="16"/>
      <c r="AB56" s="16"/>
      <c r="AC56" s="16"/>
      <c r="AD56" s="16"/>
      <c r="AE56" s="16"/>
      <c r="AF56" s="16"/>
      <c r="AG56" s="16"/>
      <c r="AH56" s="16"/>
      <c r="AI56" s="16"/>
      <c r="AJ56" s="16"/>
    </row>
    <row r="57" spans="11:36" x14ac:dyDescent="0.2">
      <c r="K57" s="16"/>
      <c r="L57" s="7"/>
      <c r="M57" s="58"/>
      <c r="N57" s="16"/>
      <c r="O57" s="16"/>
      <c r="P57" s="16"/>
      <c r="Q57" s="16"/>
      <c r="R57" s="16"/>
      <c r="S57" s="16"/>
      <c r="T57" s="16"/>
      <c r="U57" s="16"/>
      <c r="V57" s="16"/>
      <c r="W57" s="16"/>
      <c r="X57" s="16"/>
      <c r="Y57" s="16"/>
      <c r="Z57" s="16"/>
      <c r="AA57" s="16"/>
      <c r="AB57" s="16"/>
      <c r="AC57" s="16"/>
      <c r="AD57" s="16"/>
      <c r="AE57" s="16"/>
      <c r="AF57" s="16"/>
      <c r="AG57" s="16"/>
      <c r="AH57" s="16"/>
      <c r="AI57" s="16"/>
      <c r="AJ57" s="16"/>
    </row>
    <row r="58" spans="11:36" x14ac:dyDescent="0.2">
      <c r="K58" s="16"/>
      <c r="L58" s="7"/>
      <c r="M58" s="58"/>
      <c r="N58" s="16"/>
      <c r="O58" s="16"/>
      <c r="P58" s="16"/>
      <c r="Q58" s="16"/>
      <c r="R58" s="16"/>
      <c r="S58" s="16"/>
      <c r="T58" s="16"/>
      <c r="U58" s="16"/>
      <c r="V58" s="16"/>
      <c r="W58" s="16"/>
      <c r="X58" s="16"/>
      <c r="Y58" s="16"/>
      <c r="Z58" s="16"/>
      <c r="AA58" s="16"/>
      <c r="AB58" s="16"/>
      <c r="AC58" s="16"/>
      <c r="AD58" s="16"/>
      <c r="AE58" s="16"/>
      <c r="AF58" s="16"/>
      <c r="AG58" s="16"/>
      <c r="AH58" s="16"/>
      <c r="AI58" s="16"/>
      <c r="AJ58" s="16"/>
    </row>
    <row r="59" spans="11:36" x14ac:dyDescent="0.2">
      <c r="K59" s="16"/>
      <c r="L59" s="7"/>
      <c r="M59" s="58"/>
      <c r="N59" s="16"/>
      <c r="O59" s="16"/>
      <c r="P59" s="16"/>
      <c r="Q59" s="16"/>
      <c r="R59" s="16"/>
      <c r="S59" s="16"/>
      <c r="T59" s="16"/>
      <c r="U59" s="16"/>
      <c r="V59" s="16"/>
      <c r="W59" s="16"/>
      <c r="X59" s="16"/>
      <c r="Y59" s="16"/>
      <c r="Z59" s="16"/>
      <c r="AA59" s="16"/>
      <c r="AB59" s="16"/>
      <c r="AC59" s="16"/>
      <c r="AD59" s="16"/>
      <c r="AE59" s="16"/>
      <c r="AF59" s="16"/>
      <c r="AG59" s="16"/>
      <c r="AH59" s="16"/>
      <c r="AI59" s="16"/>
      <c r="AJ59" s="16"/>
    </row>
    <row r="60" spans="11:36" x14ac:dyDescent="0.2">
      <c r="K60" s="16"/>
      <c r="L60" s="7"/>
      <c r="M60" s="58"/>
      <c r="N60" s="16"/>
      <c r="O60" s="16"/>
      <c r="P60" s="16"/>
      <c r="Q60" s="16"/>
      <c r="R60" s="16"/>
      <c r="S60" s="16"/>
      <c r="T60" s="16"/>
      <c r="U60" s="16"/>
      <c r="V60" s="16"/>
      <c r="W60" s="16"/>
      <c r="X60" s="16"/>
      <c r="Y60" s="16"/>
      <c r="Z60" s="16"/>
      <c r="AA60" s="16"/>
      <c r="AB60" s="16"/>
      <c r="AC60" s="16"/>
      <c r="AD60" s="16"/>
      <c r="AE60" s="16"/>
      <c r="AF60" s="16"/>
      <c r="AG60" s="16"/>
      <c r="AH60" s="16"/>
      <c r="AI60" s="16"/>
      <c r="AJ60" s="16"/>
    </row>
    <row r="61" spans="11:36" x14ac:dyDescent="0.2">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row>
    <row r="62" spans="11:36" x14ac:dyDescent="0.2">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11:36" x14ac:dyDescent="0.2">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11:36" x14ac:dyDescent="0.2">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row>
  </sheetData>
  <mergeCells count="2">
    <mergeCell ref="A21:C21"/>
    <mergeCell ref="E21:I21"/>
  </mergeCells>
  <phoneticPr fontId="2"/>
  <pageMargins left="0.70866141732283472" right="0.70866141732283472" top="0.74803149606299213" bottom="0.74803149606299213" header="0.31496062992125984" footer="0.31496062992125984"/>
  <pageSetup paperSize="11" scale="4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Button 1">
              <controlPr defaultSize="0" print="0" autoFill="0" autoPict="0" macro="[0]!データ削除_退院阻害要因">
                <anchor moveWithCells="1" sizeWithCells="1">
                  <from>
                    <xdr:col>11</xdr:col>
                    <xdr:colOff>0</xdr:colOff>
                    <xdr:row>3</xdr:row>
                    <xdr:rowOff>190500</xdr:rowOff>
                  </from>
                  <to>
                    <xdr:col>11</xdr:col>
                    <xdr:colOff>2103120</xdr:colOff>
                    <xdr:row>5</xdr:row>
                    <xdr:rowOff>198120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C000"/>
  </sheetPr>
  <dimension ref="A1:O85"/>
  <sheetViews>
    <sheetView showGridLines="0" view="pageBreakPreview" zoomScaleNormal="100" zoomScaleSheetLayoutView="100" workbookViewId="0"/>
  </sheetViews>
  <sheetFormatPr defaultColWidth="9" defaultRowHeight="17.399999999999999" x14ac:dyDescent="0.2"/>
  <cols>
    <col min="1" max="1" width="18.21875" style="1" customWidth="1"/>
    <col min="2" max="3" width="9.33203125" style="1" customWidth="1"/>
    <col min="4" max="4" width="3.33203125" style="1" customWidth="1"/>
    <col min="5" max="5" width="18.21875" style="1" customWidth="1"/>
    <col min="6" max="7" width="9.33203125" style="1" customWidth="1"/>
    <col min="8" max="8" width="0" style="1" hidden="1" customWidth="1"/>
    <col min="9" max="9" width="12" style="1" hidden="1" customWidth="1"/>
    <col min="10" max="10" width="21.44140625" style="1" hidden="1" customWidth="1"/>
    <col min="11" max="12" width="12" style="1" hidden="1" customWidth="1"/>
    <col min="13" max="13" width="21.44140625" style="1" hidden="1" customWidth="1"/>
    <col min="14" max="15" width="9" style="1" hidden="1" customWidth="1"/>
    <col min="16" max="18" width="9" style="1" customWidth="1"/>
    <col min="19" max="16384" width="9" style="1"/>
  </cols>
  <sheetData>
    <row r="1" spans="1:15" s="3" customFormat="1" ht="19.2" x14ac:dyDescent="0.2">
      <c r="A1" s="2" t="s">
        <v>192</v>
      </c>
    </row>
    <row r="2" spans="1:15" s="3" customFormat="1" ht="19.2" x14ac:dyDescent="0.2">
      <c r="A2" s="2"/>
      <c r="I2" s="678" t="s">
        <v>62</v>
      </c>
    </row>
    <row r="3" spans="1:15" ht="19.8" thickBot="1" x14ac:dyDescent="0.25">
      <c r="A3" s="4" t="s">
        <v>13</v>
      </c>
      <c r="E3" s="4" t="s">
        <v>105</v>
      </c>
      <c r="I3" s="679" t="s">
        <v>276</v>
      </c>
      <c r="J3" s="680" t="s">
        <v>259</v>
      </c>
      <c r="K3" s="3"/>
      <c r="L3" s="679" t="s">
        <v>276</v>
      </c>
      <c r="M3" s="304" t="s">
        <v>256</v>
      </c>
    </row>
    <row r="4" spans="1:15" ht="18.600000000000001" thickTop="1" thickBot="1" x14ac:dyDescent="0.25">
      <c r="A4" s="517"/>
      <c r="B4" s="518" t="s">
        <v>0</v>
      </c>
      <c r="C4" s="518" t="s">
        <v>1</v>
      </c>
      <c r="D4" s="145"/>
      <c r="E4" s="517"/>
      <c r="F4" s="518" t="s">
        <v>0</v>
      </c>
      <c r="G4" s="518" t="s">
        <v>1</v>
      </c>
      <c r="I4" s="777" t="s">
        <v>436</v>
      </c>
      <c r="J4" s="727" t="s">
        <v>656</v>
      </c>
      <c r="K4" s="728"/>
      <c r="L4" s="776" t="s">
        <v>436</v>
      </c>
      <c r="M4" s="680" t="s">
        <v>656</v>
      </c>
    </row>
    <row r="5" spans="1:15" ht="18" thickTop="1" x14ac:dyDescent="0.2">
      <c r="A5" s="221" t="s">
        <v>86</v>
      </c>
      <c r="B5" s="519">
        <f>IFERROR(VLOOKUP($O5,'４-Ⅰ'!$I$4:$J$13,2,FALSE),0)</f>
        <v>1121</v>
      </c>
      <c r="C5" s="475">
        <f>IFERROR(B5/B$11,"-")</f>
        <v>0.13163457022076092</v>
      </c>
      <c r="D5" s="145"/>
      <c r="E5" s="221" t="s">
        <v>86</v>
      </c>
      <c r="F5" s="519">
        <f>IFERROR(VLOOKUP($O5,'４-Ⅰ'!$L$4:$M$13,2,FALSE),0)</f>
        <v>139</v>
      </c>
      <c r="G5" s="475">
        <f>IFERROR(F5/F$11,"-")</f>
        <v>0.17288557213930347</v>
      </c>
      <c r="I5" s="724" t="s">
        <v>278</v>
      </c>
      <c r="J5" s="729">
        <v>1121</v>
      </c>
      <c r="K5" s="730"/>
      <c r="L5" s="674" t="s">
        <v>278</v>
      </c>
      <c r="M5" s="689">
        <v>139</v>
      </c>
      <c r="O5" s="262" t="s">
        <v>278</v>
      </c>
    </row>
    <row r="6" spans="1:15" x14ac:dyDescent="0.2">
      <c r="A6" s="221" t="s">
        <v>87</v>
      </c>
      <c r="B6" s="519">
        <f>IFERROR(VLOOKUP($O6,'４-Ⅰ'!$I$4:$J$13,2,FALSE),0)</f>
        <v>1398</v>
      </c>
      <c r="C6" s="475">
        <f t="shared" ref="C6:C10" si="0">IFERROR(B6/B$11,"-")</f>
        <v>0.16416157820573038</v>
      </c>
      <c r="D6" s="145"/>
      <c r="E6" s="221" t="s">
        <v>87</v>
      </c>
      <c r="F6" s="476">
        <f>IFERROR(VLOOKUP($O6,'４-Ⅰ'!$L$4:$M$13,2,FALSE),0)</f>
        <v>161</v>
      </c>
      <c r="G6" s="475">
        <f t="shared" ref="G6:G10" si="1">IFERROR(F6/F$11,"-")</f>
        <v>0.20024875621890548</v>
      </c>
      <c r="I6" s="690" t="s">
        <v>279</v>
      </c>
      <c r="J6" s="731">
        <v>1398</v>
      </c>
      <c r="K6" s="732"/>
      <c r="L6" s="690" t="s">
        <v>279</v>
      </c>
      <c r="M6" s="691">
        <v>161</v>
      </c>
      <c r="O6" s="224" t="s">
        <v>279</v>
      </c>
    </row>
    <row r="7" spans="1:15" x14ac:dyDescent="0.2">
      <c r="A7" s="221" t="s">
        <v>88</v>
      </c>
      <c r="B7" s="519">
        <f>IFERROR(VLOOKUP($O7,'４-Ⅰ'!$I$4:$J$13,2,FALSE),0)</f>
        <v>1934</v>
      </c>
      <c r="C7" s="475">
        <f t="shared" si="0"/>
        <v>0.22710192578675434</v>
      </c>
      <c r="D7" s="145"/>
      <c r="E7" s="221" t="s">
        <v>88</v>
      </c>
      <c r="F7" s="476">
        <f>IFERROR(VLOOKUP($O7,'４-Ⅰ'!$L$4:$M$13,2,FALSE),0)</f>
        <v>204</v>
      </c>
      <c r="G7" s="475">
        <f t="shared" si="1"/>
        <v>0.2537313432835821</v>
      </c>
      <c r="I7" s="690" t="s">
        <v>280</v>
      </c>
      <c r="J7" s="729">
        <v>1934</v>
      </c>
      <c r="K7" s="733"/>
      <c r="L7" s="690" t="s">
        <v>280</v>
      </c>
      <c r="M7" s="689">
        <v>204</v>
      </c>
      <c r="O7" s="224" t="s">
        <v>280</v>
      </c>
    </row>
    <row r="8" spans="1:15" x14ac:dyDescent="0.2">
      <c r="A8" s="221" t="s">
        <v>89</v>
      </c>
      <c r="B8" s="519">
        <f>IFERROR(VLOOKUP($O8,'４-Ⅰ'!$I$4:$J$13,2,FALSE),0)</f>
        <v>1868</v>
      </c>
      <c r="C8" s="475">
        <f t="shared" si="0"/>
        <v>0.21935180836073273</v>
      </c>
      <c r="D8" s="145"/>
      <c r="E8" s="221" t="s">
        <v>89</v>
      </c>
      <c r="F8" s="476">
        <f>IFERROR(VLOOKUP($O8,'４-Ⅰ'!$L$4:$M$13,2,FALSE),0)</f>
        <v>150</v>
      </c>
      <c r="G8" s="475">
        <f t="shared" si="1"/>
        <v>0.18656716417910449</v>
      </c>
      <c r="I8" s="690" t="s">
        <v>281</v>
      </c>
      <c r="J8" s="731">
        <v>1868</v>
      </c>
      <c r="K8" s="732"/>
      <c r="L8" s="690" t="s">
        <v>281</v>
      </c>
      <c r="M8" s="691">
        <v>150</v>
      </c>
      <c r="O8" s="224" t="s">
        <v>281</v>
      </c>
    </row>
    <row r="9" spans="1:15" x14ac:dyDescent="0.2">
      <c r="A9" s="221" t="s">
        <v>90</v>
      </c>
      <c r="B9" s="519">
        <f>IFERROR(VLOOKUP($O9,'４-Ⅰ'!$I$4:$J$13,2,FALSE),0)</f>
        <v>1382</v>
      </c>
      <c r="C9" s="475">
        <f t="shared" si="0"/>
        <v>0.16228276186002819</v>
      </c>
      <c r="D9" s="145"/>
      <c r="E9" s="221" t="s">
        <v>90</v>
      </c>
      <c r="F9" s="476">
        <f>IFERROR(VLOOKUP($O9,'４-Ⅰ'!$L$4:$M$13,2,FALSE),0)</f>
        <v>89</v>
      </c>
      <c r="G9" s="475">
        <f t="shared" si="1"/>
        <v>0.11069651741293532</v>
      </c>
      <c r="I9" s="690" t="s">
        <v>282</v>
      </c>
      <c r="J9" s="729">
        <v>1382</v>
      </c>
      <c r="K9" s="733"/>
      <c r="L9" s="690" t="s">
        <v>282</v>
      </c>
      <c r="M9" s="689">
        <v>89</v>
      </c>
      <c r="O9" s="224" t="s">
        <v>282</v>
      </c>
    </row>
    <row r="10" spans="1:15" x14ac:dyDescent="0.2">
      <c r="A10" s="221" t="s">
        <v>150</v>
      </c>
      <c r="B10" s="519">
        <f>IFERROR(VLOOKUP($O10,'４-Ⅰ'!$I$4:$J$13,2,FALSE),0)</f>
        <v>813</v>
      </c>
      <c r="C10" s="475">
        <f t="shared" si="0"/>
        <v>9.5467355565993423E-2</v>
      </c>
      <c r="D10" s="145"/>
      <c r="E10" s="221" t="s">
        <v>150</v>
      </c>
      <c r="F10" s="476">
        <f>IFERROR(VLOOKUP($O10,'４-Ⅰ'!$L$4:$M$13,2,FALSE),0)</f>
        <v>61</v>
      </c>
      <c r="G10" s="475">
        <f t="shared" si="1"/>
        <v>7.5870646766169156E-2</v>
      </c>
      <c r="I10" s="690" t="s">
        <v>10</v>
      </c>
      <c r="J10" s="731">
        <v>813</v>
      </c>
      <c r="K10" s="732"/>
      <c r="L10" s="690" t="s">
        <v>10</v>
      </c>
      <c r="M10" s="691">
        <v>61</v>
      </c>
      <c r="O10" s="224" t="s">
        <v>10</v>
      </c>
    </row>
    <row r="11" spans="1:15" x14ac:dyDescent="0.2">
      <c r="A11" s="517" t="s">
        <v>148</v>
      </c>
      <c r="B11" s="520">
        <f>SUM(B5:B10)</f>
        <v>8516</v>
      </c>
      <c r="C11" s="521">
        <f>SUM(C5:C10)</f>
        <v>1</v>
      </c>
      <c r="D11" s="145"/>
      <c r="E11" s="517" t="s">
        <v>148</v>
      </c>
      <c r="F11" s="520">
        <f>SUM(F5:F10)</f>
        <v>804</v>
      </c>
      <c r="G11" s="521">
        <f>SUM(G5:G10)</f>
        <v>1</v>
      </c>
      <c r="I11" s="690" t="s">
        <v>244</v>
      </c>
      <c r="J11" s="729">
        <v>8516</v>
      </c>
      <c r="K11" s="733"/>
      <c r="L11" s="690" t="s">
        <v>244</v>
      </c>
      <c r="M11" s="689">
        <v>804</v>
      </c>
    </row>
    <row r="12" spans="1:15" x14ac:dyDescent="0.2">
      <c r="A12" s="221" t="s">
        <v>190</v>
      </c>
      <c r="B12" s="474">
        <f>B5+B6</f>
        <v>2519</v>
      </c>
      <c r="C12" s="475">
        <f>IFERROR(B12/B$11,"-")</f>
        <v>0.29579614842649132</v>
      </c>
      <c r="D12" s="145"/>
      <c r="E12" s="221" t="s">
        <v>190</v>
      </c>
      <c r="F12" s="474">
        <f>F5+F6</f>
        <v>300</v>
      </c>
      <c r="G12" s="475">
        <f>IFERROR(F12/F$11,"-")</f>
        <v>0.37313432835820898</v>
      </c>
      <c r="I12" s="690"/>
      <c r="J12" s="731"/>
      <c r="K12" s="732"/>
      <c r="L12" s="690"/>
      <c r="M12" s="691"/>
    </row>
    <row r="13" spans="1:15" x14ac:dyDescent="0.2">
      <c r="A13" s="221" t="s">
        <v>191</v>
      </c>
      <c r="B13" s="474">
        <f>B7+B8+B9+B10</f>
        <v>5997</v>
      </c>
      <c r="C13" s="475">
        <f>IFERROR(B13/B$11,"-")</f>
        <v>0.70420385157350873</v>
      </c>
      <c r="D13" s="145"/>
      <c r="E13" s="221" t="s">
        <v>191</v>
      </c>
      <c r="F13" s="474">
        <f>F7+F8+F9+F10</f>
        <v>504</v>
      </c>
      <c r="G13" s="475">
        <f>IFERROR(F13/F$11,"-")</f>
        <v>0.62686567164179108</v>
      </c>
      <c r="I13" s="692"/>
      <c r="J13" s="734"/>
      <c r="K13" s="735"/>
      <c r="L13" s="692"/>
      <c r="M13" s="693"/>
    </row>
    <row r="14" spans="1:15" ht="19.5" customHeight="1" x14ac:dyDescent="0.2">
      <c r="I14" s="11"/>
      <c r="J14" s="47"/>
      <c r="K14" s="13"/>
      <c r="L14" s="11"/>
      <c r="M14" s="47"/>
    </row>
    <row r="15" spans="1:15" ht="19.5" customHeight="1" x14ac:dyDescent="0.2">
      <c r="K15" s="93"/>
    </row>
    <row r="16" spans="1:15" x14ac:dyDescent="0.2">
      <c r="B16" s="92"/>
      <c r="C16" s="20"/>
      <c r="D16" s="20"/>
    </row>
    <row r="17" spans="1:8" x14ac:dyDescent="0.2">
      <c r="B17" s="25"/>
      <c r="C17" s="26"/>
      <c r="D17" s="23"/>
      <c r="G17" s="26"/>
      <c r="H17" s="26"/>
    </row>
    <row r="18" spans="1:8" x14ac:dyDescent="0.2">
      <c r="B18" s="25"/>
      <c r="C18" s="26"/>
      <c r="D18" s="23"/>
      <c r="G18" s="26"/>
      <c r="H18" s="26"/>
    </row>
    <row r="19" spans="1:8" x14ac:dyDescent="0.2">
      <c r="B19" s="25"/>
      <c r="C19" s="26"/>
      <c r="D19" s="23"/>
      <c r="G19" s="26"/>
      <c r="H19" s="26"/>
    </row>
    <row r="20" spans="1:8" x14ac:dyDescent="0.2">
      <c r="B20" s="25"/>
      <c r="C20" s="26"/>
      <c r="D20" s="23"/>
      <c r="G20" s="26"/>
      <c r="H20" s="26"/>
    </row>
    <row r="21" spans="1:8" x14ac:dyDescent="0.2">
      <c r="A21" s="16"/>
      <c r="B21" s="7"/>
      <c r="C21" s="8"/>
      <c r="D21" s="36"/>
      <c r="E21" s="16"/>
      <c r="G21" s="8"/>
      <c r="H21" s="8"/>
    </row>
    <row r="22" spans="1:8" x14ac:dyDescent="0.2">
      <c r="A22" s="16"/>
      <c r="B22" s="7"/>
      <c r="C22" s="8"/>
      <c r="D22" s="36"/>
      <c r="E22" s="16"/>
      <c r="F22" s="16"/>
      <c r="G22" s="8"/>
      <c r="H22" s="8"/>
    </row>
    <row r="23" spans="1:8" x14ac:dyDescent="0.2">
      <c r="A23" s="16"/>
      <c r="B23" s="7"/>
      <c r="C23" s="8"/>
      <c r="D23" s="36"/>
      <c r="E23" s="16"/>
      <c r="F23" s="16"/>
      <c r="G23" s="8"/>
      <c r="H23" s="8"/>
    </row>
    <row r="24" spans="1:8" x14ac:dyDescent="0.2">
      <c r="A24" s="16"/>
      <c r="B24" s="7"/>
      <c r="C24" s="8"/>
      <c r="D24" s="36"/>
      <c r="E24" s="16"/>
      <c r="F24" s="16"/>
      <c r="G24" s="8"/>
      <c r="H24" s="8"/>
    </row>
    <row r="25" spans="1:8" x14ac:dyDescent="0.2">
      <c r="A25" s="16"/>
      <c r="B25" s="7"/>
      <c r="C25" s="8"/>
      <c r="D25" s="36"/>
      <c r="E25" s="16"/>
      <c r="F25" s="16"/>
      <c r="G25" s="8"/>
      <c r="H25" s="8"/>
    </row>
    <row r="26" spans="1:8" x14ac:dyDescent="0.2">
      <c r="A26" s="16"/>
      <c r="B26" s="7"/>
      <c r="C26" s="8"/>
      <c r="D26" s="36"/>
      <c r="E26" s="16"/>
      <c r="F26" s="16"/>
      <c r="G26" s="8"/>
      <c r="H26" s="8"/>
    </row>
    <row r="27" spans="1:8" x14ac:dyDescent="0.2">
      <c r="A27" s="16"/>
      <c r="B27" s="7"/>
      <c r="C27" s="8"/>
      <c r="D27" s="36"/>
      <c r="E27" s="16"/>
      <c r="F27" s="16"/>
      <c r="G27" s="8"/>
      <c r="H27" s="8"/>
    </row>
    <row r="28" spans="1:8" x14ac:dyDescent="0.2">
      <c r="A28" s="16"/>
      <c r="B28" s="7"/>
      <c r="C28" s="8"/>
      <c r="D28" s="36"/>
      <c r="E28" s="16"/>
      <c r="F28" s="16"/>
      <c r="G28" s="8"/>
      <c r="H28" s="8"/>
    </row>
    <row r="29" spans="1:8" x14ac:dyDescent="0.2">
      <c r="A29" s="16"/>
      <c r="B29" s="7"/>
      <c r="C29" s="8"/>
      <c r="D29" s="36"/>
      <c r="E29" s="16"/>
      <c r="F29" s="16"/>
      <c r="G29" s="8"/>
      <c r="H29" s="8"/>
    </row>
    <row r="30" spans="1:8" x14ac:dyDescent="0.2">
      <c r="A30" s="16"/>
      <c r="B30" s="7"/>
      <c r="C30" s="8"/>
      <c r="D30" s="36"/>
      <c r="E30" s="16"/>
      <c r="F30" s="16"/>
      <c r="G30" s="8"/>
      <c r="H30" s="8"/>
    </row>
    <row r="31" spans="1:8" x14ac:dyDescent="0.2">
      <c r="A31" s="16"/>
      <c r="B31" s="7"/>
      <c r="C31" s="8"/>
      <c r="D31" s="36"/>
      <c r="E31" s="16"/>
      <c r="F31" s="16"/>
      <c r="G31" s="8"/>
      <c r="H31" s="8"/>
    </row>
    <row r="32" spans="1:8" x14ac:dyDescent="0.2">
      <c r="A32" s="16"/>
      <c r="B32" s="7"/>
      <c r="C32" s="8"/>
      <c r="D32" s="36"/>
      <c r="E32" s="16"/>
      <c r="F32" s="16"/>
      <c r="G32" s="8"/>
      <c r="H32" s="8"/>
    </row>
    <row r="33" spans="1:8" x14ac:dyDescent="0.2">
      <c r="A33" s="16"/>
      <c r="B33" s="7"/>
      <c r="C33" s="8"/>
      <c r="D33" s="36"/>
      <c r="E33" s="16"/>
      <c r="F33" s="16"/>
      <c r="G33" s="8"/>
      <c r="H33" s="8"/>
    </row>
    <row r="34" spans="1:8" x14ac:dyDescent="0.2">
      <c r="A34" s="16"/>
      <c r="B34" s="7"/>
      <c r="C34" s="8"/>
      <c r="D34" s="36"/>
      <c r="E34" s="16"/>
      <c r="F34" s="16"/>
      <c r="G34" s="8"/>
      <c r="H34" s="8"/>
    </row>
    <row r="35" spans="1:8" x14ac:dyDescent="0.2">
      <c r="A35" s="16"/>
      <c r="B35" s="7"/>
      <c r="C35" s="8"/>
      <c r="D35" s="36"/>
      <c r="E35" s="16"/>
      <c r="F35" s="16"/>
      <c r="G35" s="8"/>
      <c r="H35" s="8"/>
    </row>
    <row r="36" spans="1:8" x14ac:dyDescent="0.2">
      <c r="A36" s="16"/>
      <c r="B36" s="7"/>
      <c r="C36" s="8"/>
      <c r="D36" s="36"/>
      <c r="E36" s="16"/>
      <c r="F36" s="16"/>
      <c r="G36" s="8"/>
      <c r="H36" s="8"/>
    </row>
    <row r="37" spans="1:8" x14ac:dyDescent="0.2">
      <c r="A37" s="16"/>
      <c r="B37" s="7"/>
      <c r="C37" s="8"/>
      <c r="D37" s="36"/>
      <c r="E37" s="16"/>
      <c r="F37" s="16"/>
      <c r="G37" s="8"/>
      <c r="H37" s="8"/>
    </row>
    <row r="38" spans="1:8" x14ac:dyDescent="0.2">
      <c r="A38" s="16"/>
      <c r="B38" s="7"/>
      <c r="C38" s="8"/>
      <c r="D38" s="36"/>
      <c r="E38" s="16"/>
      <c r="F38" s="16"/>
      <c r="G38" s="8"/>
      <c r="H38" s="8"/>
    </row>
    <row r="39" spans="1:8" x14ac:dyDescent="0.2">
      <c r="A39" s="16"/>
      <c r="B39" s="7"/>
      <c r="C39" s="8"/>
      <c r="D39" s="36"/>
      <c r="E39" s="16"/>
      <c r="F39" s="16"/>
      <c r="G39" s="8"/>
      <c r="H39" s="8"/>
    </row>
    <row r="40" spans="1:8" x14ac:dyDescent="0.2">
      <c r="A40" s="16"/>
      <c r="B40" s="7"/>
      <c r="C40" s="8"/>
      <c r="D40" s="36"/>
      <c r="E40" s="16"/>
      <c r="F40" s="16"/>
      <c r="G40" s="8"/>
      <c r="H40" s="8"/>
    </row>
    <row r="41" spans="1:8" x14ac:dyDescent="0.2">
      <c r="A41" s="16"/>
      <c r="B41" s="7"/>
      <c r="C41" s="8"/>
      <c r="D41" s="36"/>
      <c r="E41" s="16"/>
      <c r="F41" s="16"/>
      <c r="G41" s="8"/>
      <c r="H41" s="8"/>
    </row>
    <row r="42" spans="1:8" x14ac:dyDescent="0.2">
      <c r="A42" s="16"/>
      <c r="B42" s="7"/>
      <c r="C42" s="8"/>
      <c r="D42" s="36"/>
      <c r="E42" s="16"/>
      <c r="F42" s="16"/>
      <c r="G42" s="8"/>
      <c r="H42" s="8"/>
    </row>
    <row r="43" spans="1:8" x14ac:dyDescent="0.2">
      <c r="A43" s="16"/>
      <c r="B43" s="7"/>
      <c r="C43" s="8"/>
      <c r="D43" s="36"/>
      <c r="E43" s="16"/>
      <c r="F43" s="16"/>
      <c r="G43" s="8"/>
      <c r="H43" s="8"/>
    </row>
    <row r="44" spans="1:8" x14ac:dyDescent="0.2">
      <c r="A44" s="16"/>
      <c r="B44" s="7"/>
      <c r="C44" s="8"/>
      <c r="D44" s="36"/>
      <c r="E44" s="16"/>
      <c r="F44" s="16"/>
      <c r="G44" s="8"/>
      <c r="H44" s="8"/>
    </row>
    <row r="45" spans="1:8" x14ac:dyDescent="0.2">
      <c r="A45" s="16"/>
      <c r="B45" s="7"/>
      <c r="C45" s="8"/>
      <c r="D45" s="36"/>
      <c r="E45" s="16"/>
      <c r="F45" s="16"/>
      <c r="G45" s="8"/>
      <c r="H45" s="8"/>
    </row>
    <row r="46" spans="1:8" x14ac:dyDescent="0.2">
      <c r="A46" s="16"/>
      <c r="B46" s="7"/>
      <c r="C46" s="8"/>
      <c r="D46" s="36"/>
      <c r="E46" s="16"/>
      <c r="F46" s="16"/>
      <c r="G46" s="8"/>
      <c r="H46" s="8"/>
    </row>
    <row r="47" spans="1:8" x14ac:dyDescent="0.2">
      <c r="A47" s="16"/>
      <c r="B47" s="7"/>
      <c r="C47" s="8"/>
      <c r="D47" s="36"/>
      <c r="E47" s="16"/>
      <c r="F47" s="16"/>
      <c r="G47" s="8"/>
      <c r="H47" s="105"/>
    </row>
    <row r="48" spans="1:8" x14ac:dyDescent="0.2">
      <c r="A48" s="16"/>
      <c r="B48" s="7"/>
      <c r="C48" s="8"/>
      <c r="D48" s="36"/>
      <c r="E48" s="16"/>
      <c r="F48" s="16"/>
      <c r="G48" s="8"/>
      <c r="H48" s="16"/>
    </row>
    <row r="49" spans="1:8" x14ac:dyDescent="0.2">
      <c r="A49" s="16"/>
      <c r="B49" s="7"/>
      <c r="C49" s="8"/>
      <c r="D49" s="36"/>
      <c r="E49" s="16"/>
      <c r="F49" s="16"/>
      <c r="G49" s="8"/>
      <c r="H49" s="105"/>
    </row>
    <row r="50" spans="1:8" x14ac:dyDescent="0.2">
      <c r="A50" s="16"/>
      <c r="B50" s="7"/>
      <c r="C50" s="8"/>
      <c r="D50" s="36"/>
      <c r="E50" s="16"/>
      <c r="F50" s="16"/>
      <c r="G50" s="8"/>
      <c r="H50" s="105"/>
    </row>
    <row r="51" spans="1:8" x14ac:dyDescent="0.2">
      <c r="A51" s="16"/>
      <c r="B51" s="7"/>
      <c r="C51" s="8"/>
      <c r="D51" s="36"/>
      <c r="E51" s="16"/>
      <c r="F51" s="16"/>
      <c r="G51" s="8"/>
      <c r="H51" s="16"/>
    </row>
    <row r="52" spans="1:8" x14ac:dyDescent="0.2">
      <c r="A52" s="16"/>
      <c r="B52" s="7"/>
      <c r="C52" s="8"/>
      <c r="D52" s="36"/>
      <c r="E52" s="16"/>
      <c r="F52" s="16"/>
      <c r="G52" s="8"/>
      <c r="H52" s="105"/>
    </row>
    <row r="53" spans="1:8" x14ac:dyDescent="0.2">
      <c r="A53" s="16"/>
      <c r="B53" s="16"/>
      <c r="C53" s="16"/>
      <c r="D53" s="16"/>
      <c r="E53" s="16"/>
      <c r="F53" s="16"/>
      <c r="G53" s="8"/>
      <c r="H53" s="105"/>
    </row>
    <row r="54" spans="1:8" x14ac:dyDescent="0.2">
      <c r="A54" s="16"/>
      <c r="B54" s="16"/>
      <c r="C54" s="16"/>
      <c r="D54" s="16"/>
      <c r="E54" s="16"/>
      <c r="F54" s="16"/>
      <c r="G54" s="8"/>
      <c r="H54" s="16"/>
    </row>
    <row r="55" spans="1:8" x14ac:dyDescent="0.2">
      <c r="A55" s="16"/>
      <c r="B55" s="16"/>
      <c r="C55" s="16"/>
      <c r="D55" s="16"/>
      <c r="E55" s="16"/>
      <c r="F55" s="16"/>
      <c r="G55" s="8"/>
      <c r="H55" s="65"/>
    </row>
    <row r="56" spans="1:8" x14ac:dyDescent="0.2">
      <c r="A56" s="16"/>
      <c r="B56" s="16"/>
      <c r="C56" s="16"/>
      <c r="D56" s="16"/>
      <c r="E56" s="16"/>
      <c r="F56" s="16"/>
      <c r="G56" s="38"/>
      <c r="H56" s="16"/>
    </row>
    <row r="57" spans="1:8" x14ac:dyDescent="0.2">
      <c r="A57" s="16"/>
      <c r="B57" s="16"/>
      <c r="C57" s="16"/>
      <c r="D57" s="16"/>
      <c r="E57" s="16"/>
      <c r="F57" s="16"/>
      <c r="G57" s="16"/>
      <c r="H57" s="16"/>
    </row>
    <row r="58" spans="1:8" x14ac:dyDescent="0.2">
      <c r="A58" s="16"/>
      <c r="B58" s="16"/>
      <c r="C58" s="16"/>
      <c r="D58" s="16"/>
      <c r="E58" s="16"/>
      <c r="F58" s="16"/>
      <c r="G58" s="16"/>
      <c r="H58" s="16"/>
    </row>
    <row r="59" spans="1:8" x14ac:dyDescent="0.2">
      <c r="A59" s="16"/>
      <c r="B59" s="16"/>
      <c r="C59" s="16"/>
      <c r="D59" s="16"/>
      <c r="E59" s="16"/>
      <c r="F59" s="16"/>
      <c r="G59" s="16"/>
      <c r="H59" s="16"/>
    </row>
    <row r="60" spans="1:8" x14ac:dyDescent="0.2">
      <c r="A60" s="16"/>
      <c r="B60" s="16"/>
      <c r="C60" s="16"/>
      <c r="D60" s="16"/>
      <c r="E60" s="16"/>
      <c r="F60" s="16"/>
      <c r="G60" s="16"/>
      <c r="H60" s="16"/>
    </row>
    <row r="61" spans="1:8" x14ac:dyDescent="0.2">
      <c r="A61" s="16"/>
      <c r="B61" s="16"/>
      <c r="C61" s="16"/>
      <c r="D61" s="16"/>
      <c r="E61" s="16"/>
      <c r="F61" s="16"/>
      <c r="G61" s="16"/>
      <c r="H61" s="16"/>
    </row>
    <row r="62" spans="1:8" x14ac:dyDescent="0.2">
      <c r="A62" s="16"/>
      <c r="B62" s="16"/>
      <c r="C62" s="16"/>
      <c r="D62" s="16"/>
      <c r="E62" s="16"/>
      <c r="F62" s="16"/>
      <c r="G62" s="16"/>
      <c r="H62" s="16"/>
    </row>
    <row r="63" spans="1:8" x14ac:dyDescent="0.2">
      <c r="A63" s="16"/>
      <c r="B63" s="16"/>
      <c r="C63" s="16"/>
      <c r="D63" s="16"/>
      <c r="E63" s="16"/>
      <c r="F63" s="16"/>
      <c r="G63" s="16"/>
      <c r="H63" s="16"/>
    </row>
    <row r="64" spans="1:8" x14ac:dyDescent="0.2">
      <c r="A64" s="16"/>
      <c r="B64" s="16"/>
      <c r="C64" s="16"/>
      <c r="D64" s="16"/>
      <c r="E64" s="16"/>
      <c r="F64" s="16"/>
      <c r="G64" s="16"/>
      <c r="H64" s="16"/>
    </row>
    <row r="65" spans="1:8" x14ac:dyDescent="0.2">
      <c r="A65" s="16"/>
      <c r="B65" s="16"/>
      <c r="C65" s="16"/>
      <c r="D65" s="16"/>
      <c r="E65" s="16"/>
      <c r="F65" s="16"/>
      <c r="G65" s="16"/>
      <c r="H65" s="16"/>
    </row>
    <row r="66" spans="1:8" x14ac:dyDescent="0.2">
      <c r="A66" s="16"/>
      <c r="B66" s="16"/>
      <c r="C66" s="16"/>
      <c r="D66" s="16"/>
      <c r="E66" s="16"/>
      <c r="F66" s="16"/>
      <c r="G66" s="16"/>
      <c r="H66" s="16"/>
    </row>
    <row r="67" spans="1:8" x14ac:dyDescent="0.2">
      <c r="A67" s="16"/>
      <c r="B67" s="16"/>
      <c r="C67" s="16"/>
      <c r="D67" s="16"/>
      <c r="E67" s="16"/>
      <c r="F67" s="16"/>
      <c r="G67" s="16"/>
      <c r="H67" s="16"/>
    </row>
    <row r="68" spans="1:8" x14ac:dyDescent="0.2">
      <c r="A68" s="16"/>
      <c r="B68" s="16"/>
      <c r="C68" s="16"/>
      <c r="D68" s="16"/>
      <c r="E68" s="16"/>
      <c r="F68" s="16"/>
      <c r="G68" s="16"/>
      <c r="H68" s="16"/>
    </row>
    <row r="69" spans="1:8" x14ac:dyDescent="0.2">
      <c r="A69" s="16"/>
      <c r="B69" s="16"/>
      <c r="C69" s="16"/>
      <c r="D69" s="16"/>
      <c r="E69" s="16"/>
      <c r="F69" s="16"/>
      <c r="G69" s="16"/>
      <c r="H69" s="16"/>
    </row>
    <row r="70" spans="1:8" x14ac:dyDescent="0.2">
      <c r="A70" s="16"/>
      <c r="B70" s="16"/>
      <c r="C70" s="16"/>
      <c r="D70" s="16"/>
      <c r="E70" s="16"/>
      <c r="F70" s="16"/>
      <c r="G70" s="16"/>
      <c r="H70" s="16"/>
    </row>
    <row r="71" spans="1:8" x14ac:dyDescent="0.2">
      <c r="A71" s="16"/>
      <c r="B71" s="16"/>
      <c r="C71" s="16"/>
      <c r="D71" s="16"/>
      <c r="E71" s="16"/>
      <c r="F71" s="16"/>
      <c r="G71" s="16"/>
      <c r="H71" s="16"/>
    </row>
    <row r="72" spans="1:8" x14ac:dyDescent="0.2">
      <c r="A72" s="16"/>
      <c r="B72" s="16"/>
      <c r="C72" s="16"/>
      <c r="D72" s="16"/>
      <c r="E72" s="16"/>
      <c r="F72" s="16"/>
      <c r="G72" s="16"/>
      <c r="H72" s="16"/>
    </row>
    <row r="73" spans="1:8" x14ac:dyDescent="0.2">
      <c r="A73" s="16"/>
      <c r="B73" s="16"/>
      <c r="C73" s="16"/>
      <c r="D73" s="16"/>
      <c r="E73" s="16"/>
      <c r="F73" s="16"/>
      <c r="G73" s="16"/>
      <c r="H73" s="16"/>
    </row>
    <row r="74" spans="1:8" x14ac:dyDescent="0.2">
      <c r="A74" s="16"/>
      <c r="B74" s="16"/>
      <c r="C74" s="16"/>
      <c r="D74" s="16"/>
      <c r="E74" s="16"/>
      <c r="F74" s="16"/>
      <c r="G74" s="16"/>
      <c r="H74" s="16"/>
    </row>
    <row r="75" spans="1:8" x14ac:dyDescent="0.2">
      <c r="A75" s="16"/>
      <c r="B75" s="16"/>
      <c r="C75" s="16"/>
      <c r="D75" s="16"/>
      <c r="E75" s="16"/>
      <c r="F75" s="16"/>
      <c r="G75" s="16"/>
      <c r="H75" s="16"/>
    </row>
    <row r="76" spans="1:8" x14ac:dyDescent="0.2">
      <c r="A76" s="16"/>
      <c r="B76" s="16"/>
      <c r="C76" s="16"/>
      <c r="D76" s="16"/>
      <c r="E76" s="16"/>
      <c r="F76" s="16"/>
      <c r="G76" s="16"/>
      <c r="H76" s="16"/>
    </row>
    <row r="77" spans="1:8" x14ac:dyDescent="0.2">
      <c r="A77" s="16"/>
      <c r="B77" s="16"/>
      <c r="C77" s="16"/>
      <c r="D77" s="16"/>
      <c r="E77" s="16"/>
      <c r="F77" s="16"/>
      <c r="G77" s="16"/>
      <c r="H77" s="16"/>
    </row>
    <row r="78" spans="1:8" x14ac:dyDescent="0.2">
      <c r="A78" s="16"/>
      <c r="B78" s="16"/>
      <c r="C78" s="16"/>
      <c r="D78" s="16"/>
      <c r="E78" s="16"/>
      <c r="F78" s="16"/>
      <c r="G78" s="16"/>
      <c r="H78" s="16"/>
    </row>
    <row r="79" spans="1:8" x14ac:dyDescent="0.2">
      <c r="A79" s="16"/>
      <c r="B79" s="16"/>
      <c r="C79" s="16"/>
      <c r="D79" s="16"/>
      <c r="E79" s="16"/>
      <c r="F79" s="16"/>
      <c r="G79" s="16"/>
      <c r="H79" s="16"/>
    </row>
    <row r="80" spans="1:8" x14ac:dyDescent="0.2">
      <c r="A80" s="16"/>
      <c r="B80" s="16"/>
      <c r="C80" s="16"/>
      <c r="D80" s="16"/>
      <c r="E80" s="16"/>
      <c r="F80" s="16"/>
      <c r="G80" s="16"/>
      <c r="H80" s="16"/>
    </row>
    <row r="81" spans="1:8" x14ac:dyDescent="0.2">
      <c r="A81" s="16"/>
      <c r="B81" s="16"/>
      <c r="C81" s="16"/>
      <c r="D81" s="16"/>
      <c r="E81" s="16"/>
      <c r="F81" s="16"/>
      <c r="G81" s="16"/>
      <c r="H81" s="16"/>
    </row>
    <row r="82" spans="1:8" x14ac:dyDescent="0.2">
      <c r="A82" s="16"/>
      <c r="B82" s="16"/>
      <c r="C82" s="16"/>
      <c r="D82" s="16"/>
      <c r="E82" s="16"/>
      <c r="F82" s="16"/>
      <c r="G82" s="16"/>
      <c r="H82" s="16"/>
    </row>
    <row r="83" spans="1:8" x14ac:dyDescent="0.2">
      <c r="A83" s="16"/>
      <c r="B83" s="16"/>
      <c r="C83" s="16"/>
      <c r="D83" s="16"/>
      <c r="E83" s="16"/>
      <c r="F83" s="16"/>
      <c r="G83" s="16"/>
      <c r="H83" s="16"/>
    </row>
    <row r="84" spans="1:8" x14ac:dyDescent="0.2">
      <c r="A84" s="16"/>
      <c r="B84" s="16"/>
      <c r="C84" s="16"/>
      <c r="D84" s="16"/>
      <c r="E84" s="16"/>
      <c r="F84" s="16"/>
      <c r="G84" s="16"/>
      <c r="H84" s="16"/>
    </row>
    <row r="85" spans="1:8" x14ac:dyDescent="0.2">
      <c r="A85" s="16"/>
      <c r="B85" s="16"/>
      <c r="C85" s="16"/>
      <c r="D85" s="16"/>
      <c r="E85" s="16"/>
      <c r="F85" s="16"/>
      <c r="G85" s="16"/>
      <c r="H85" s="16"/>
    </row>
  </sheetData>
  <phoneticPr fontId="2"/>
  <pageMargins left="0.70866141732283472" right="0.70866141732283472" top="0.74803149606299213" bottom="0.74803149606299213" header="0.31496062992125984" footer="0.31496062992125984"/>
  <pageSetup paperSize="11" scale="9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Button 1">
              <controlPr defaultSize="0" print="0" autoFill="0" autoPict="0" macro="[0]!データ削除_年齢区分_65歳以上">
                <anchor moveWithCells="1" sizeWithCells="1">
                  <from>
                    <xdr:col>7</xdr:col>
                    <xdr:colOff>601980</xdr:colOff>
                    <xdr:row>14</xdr:row>
                    <xdr:rowOff>76200</xdr:rowOff>
                  </from>
                  <to>
                    <xdr:col>9</xdr:col>
                    <xdr:colOff>1043940</xdr:colOff>
                    <xdr:row>16</xdr:row>
                    <xdr:rowOff>68580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C000"/>
    <pageSetUpPr fitToPage="1"/>
  </sheetPr>
  <dimension ref="A1:J27"/>
  <sheetViews>
    <sheetView showGridLines="0" view="pageBreakPreview" zoomScaleNormal="100" zoomScaleSheetLayoutView="100" workbookViewId="0"/>
  </sheetViews>
  <sheetFormatPr defaultColWidth="9" defaultRowHeight="17.399999999999999" x14ac:dyDescent="0.2"/>
  <cols>
    <col min="1" max="1" width="21.77734375" style="1" customWidth="1"/>
    <col min="2" max="3" width="9.33203125" style="1" customWidth="1"/>
    <col min="4" max="4" width="9" style="1" hidden="1" customWidth="1"/>
    <col min="5" max="5" width="20.6640625" style="1" hidden="1" customWidth="1"/>
    <col min="6" max="6" width="21.44140625" style="1" hidden="1" customWidth="1"/>
    <col min="7" max="7" width="8.77734375" style="1" hidden="1" customWidth="1"/>
    <col min="8" max="10" width="9" style="1" hidden="1" customWidth="1"/>
    <col min="11" max="16384" width="9" style="1"/>
  </cols>
  <sheetData>
    <row r="1" spans="1:6" ht="19.2" x14ac:dyDescent="0.2">
      <c r="A1" s="2" t="s">
        <v>193</v>
      </c>
    </row>
    <row r="2" spans="1:6" ht="19.2" x14ac:dyDescent="0.2">
      <c r="A2" s="2"/>
      <c r="E2" s="43" t="s">
        <v>62</v>
      </c>
    </row>
    <row r="3" spans="1:6" ht="19.8" thickBot="1" x14ac:dyDescent="0.25">
      <c r="A3" s="4" t="s">
        <v>13</v>
      </c>
      <c r="B3" s="2"/>
      <c r="E3" s="679" t="s">
        <v>260</v>
      </c>
      <c r="F3" s="680" t="s">
        <v>0</v>
      </c>
    </row>
    <row r="4" spans="1:6" ht="18.600000000000001" thickTop="1" thickBot="1" x14ac:dyDescent="0.25">
      <c r="A4" s="517"/>
      <c r="B4" s="518" t="s">
        <v>213</v>
      </c>
      <c r="C4" s="518" t="s">
        <v>214</v>
      </c>
      <c r="E4" s="263" t="s">
        <v>436</v>
      </c>
      <c r="F4" s="225" t="s">
        <v>658</v>
      </c>
    </row>
    <row r="5" spans="1:6" ht="18" thickTop="1" x14ac:dyDescent="0.2">
      <c r="A5" s="221" t="s">
        <v>91</v>
      </c>
      <c r="B5" s="476">
        <f>IFERROR(VLOOKUP("措置入院",$E$4:$F$12,2,FALSE),0)+IFERROR(VLOOKUP("緊急措置入院",$E$4:$F$12,2,FALSE),0)</f>
        <v>7</v>
      </c>
      <c r="C5" s="475">
        <f>IFERROR(B5/B$10,"-")</f>
        <v>8.2198215124471583E-4</v>
      </c>
      <c r="E5" s="27" t="s">
        <v>16</v>
      </c>
      <c r="F5" s="35">
        <v>4600</v>
      </c>
    </row>
    <row r="6" spans="1:6" x14ac:dyDescent="0.2">
      <c r="A6" s="221" t="s">
        <v>92</v>
      </c>
      <c r="B6" s="476">
        <f>IFERROR(VLOOKUP(A6,$E$4:$F$12,2,FALSE),0)</f>
        <v>3906</v>
      </c>
      <c r="C6" s="475">
        <f t="shared" ref="C6:C9" si="0">IFERROR(B6/B$10,"-")</f>
        <v>0.45866604039455144</v>
      </c>
      <c r="E6" s="27" t="s">
        <v>659</v>
      </c>
      <c r="F6" s="28">
        <v>7</v>
      </c>
    </row>
    <row r="7" spans="1:6" x14ac:dyDescent="0.2">
      <c r="A7" s="221" t="s">
        <v>93</v>
      </c>
      <c r="B7" s="476">
        <f>IFERROR(VLOOKUP(A7,$E$4:$F$12,2,FALSE),0)</f>
        <v>4600</v>
      </c>
      <c r="C7" s="475">
        <f t="shared" si="0"/>
        <v>0.54015969938938468</v>
      </c>
      <c r="E7" s="27" t="s">
        <v>660</v>
      </c>
      <c r="F7" s="28">
        <v>1</v>
      </c>
    </row>
    <row r="8" spans="1:6" x14ac:dyDescent="0.2">
      <c r="A8" s="221" t="s">
        <v>94</v>
      </c>
      <c r="B8" s="476">
        <f>IFERROR(VLOOKUP(A8,$E$4:$F$12,2,FALSE),0)</f>
        <v>0</v>
      </c>
      <c r="C8" s="475">
        <f t="shared" si="0"/>
        <v>0</v>
      </c>
      <c r="E8" s="27" t="s">
        <v>17</v>
      </c>
      <c r="F8" s="28">
        <v>0</v>
      </c>
    </row>
    <row r="9" spans="1:6" x14ac:dyDescent="0.2">
      <c r="A9" s="221" t="s">
        <v>95</v>
      </c>
      <c r="B9" s="476">
        <f>IFERROR(VLOOKUP("鑑定入院",$E$4:$F$12,2,FALSE),0)+IFERROR(VLOOKUP("医療観察法による入院",$E$4:$F$12,2,FALSE),0)+IFERROR(VLOOKUP("不明",$E$4:$F$12,2,FALSE),0)</f>
        <v>3</v>
      </c>
      <c r="C9" s="475">
        <f t="shared" si="0"/>
        <v>3.522780648191639E-4</v>
      </c>
      <c r="E9" s="27" t="s">
        <v>15</v>
      </c>
      <c r="F9" s="28">
        <v>3906</v>
      </c>
    </row>
    <row r="10" spans="1:6" x14ac:dyDescent="0.2">
      <c r="A10" s="517" t="s">
        <v>148</v>
      </c>
      <c r="B10" s="520">
        <f>SUM(B5:B9)</f>
        <v>8516</v>
      </c>
      <c r="C10" s="521">
        <f>SUM(C5:C9)</f>
        <v>1</v>
      </c>
      <c r="E10" s="30" t="s">
        <v>661</v>
      </c>
      <c r="F10" s="28">
        <v>2</v>
      </c>
    </row>
    <row r="11" spans="1:6" x14ac:dyDescent="0.2">
      <c r="E11" s="30" t="s">
        <v>506</v>
      </c>
      <c r="F11" s="28">
        <v>0</v>
      </c>
    </row>
    <row r="12" spans="1:6" x14ac:dyDescent="0.2">
      <c r="E12" s="27" t="s">
        <v>346</v>
      </c>
      <c r="F12" s="28">
        <v>0</v>
      </c>
    </row>
    <row r="13" spans="1:6" x14ac:dyDescent="0.2">
      <c r="E13" s="43"/>
      <c r="F13" s="227"/>
    </row>
    <row r="14" spans="1:6" ht="18" thickBot="1" x14ac:dyDescent="0.25">
      <c r="A14" s="4" t="s">
        <v>215</v>
      </c>
      <c r="E14" s="711" t="s">
        <v>475</v>
      </c>
      <c r="F14" s="725" t="s">
        <v>476</v>
      </c>
    </row>
    <row r="15" spans="1:6" ht="18.600000000000001" thickTop="1" thickBot="1" x14ac:dyDescent="0.25">
      <c r="A15" s="517"/>
      <c r="B15" s="518" t="s">
        <v>213</v>
      </c>
      <c r="C15" s="518" t="s">
        <v>214</v>
      </c>
      <c r="E15" s="778" t="s">
        <v>436</v>
      </c>
      <c r="F15" s="225" t="s">
        <v>658</v>
      </c>
    </row>
    <row r="16" spans="1:6" ht="18" thickTop="1" x14ac:dyDescent="0.2">
      <c r="A16" s="221" t="s">
        <v>91</v>
      </c>
      <c r="B16" s="476">
        <f>IFERROR(VLOOKUP("措置入院",$E$15:$F$23,2,FALSE),0)+IFERROR(VLOOKUP("緊急措置入院",$E$15:$F$23,2,FALSE),0)</f>
        <v>0</v>
      </c>
      <c r="C16" s="475">
        <f>IFERROR(B16/B$21,"-")</f>
        <v>0</v>
      </c>
      <c r="E16" s="27" t="s">
        <v>16</v>
      </c>
      <c r="F16" s="35">
        <v>571</v>
      </c>
    </row>
    <row r="17" spans="1:7" x14ac:dyDescent="0.2">
      <c r="A17" s="221" t="s">
        <v>92</v>
      </c>
      <c r="B17" s="476">
        <f>IFERROR(VLOOKUP(A17,$E$15:$F$23,2,FALSE),0)</f>
        <v>231</v>
      </c>
      <c r="C17" s="475">
        <f t="shared" ref="C17:C20" si="1">IFERROR(B17/B$21,"-")</f>
        <v>0.28731343283582089</v>
      </c>
      <c r="E17" s="27" t="s">
        <v>659</v>
      </c>
      <c r="F17" s="35">
        <v>0</v>
      </c>
    </row>
    <row r="18" spans="1:7" ht="19.2" x14ac:dyDescent="0.2">
      <c r="A18" s="221" t="s">
        <v>93</v>
      </c>
      <c r="B18" s="476">
        <f>IFERROR(VLOOKUP(A18,$E$15:$F$23,2,FALSE),0)</f>
        <v>571</v>
      </c>
      <c r="C18" s="475">
        <f t="shared" si="1"/>
        <v>0.71019900497512434</v>
      </c>
      <c r="E18" s="27" t="s">
        <v>660</v>
      </c>
      <c r="F18" s="35">
        <v>1</v>
      </c>
      <c r="G18" s="3"/>
    </row>
    <row r="19" spans="1:7" x14ac:dyDescent="0.2">
      <c r="A19" s="221" t="s">
        <v>94</v>
      </c>
      <c r="B19" s="476">
        <f>IFERROR(VLOOKUP(A19,$E$15:$F$23,2,FALSE),0)</f>
        <v>0</v>
      </c>
      <c r="C19" s="475">
        <f t="shared" si="1"/>
        <v>0</v>
      </c>
      <c r="E19" s="27" t="s">
        <v>17</v>
      </c>
      <c r="F19" s="35">
        <v>0</v>
      </c>
    </row>
    <row r="20" spans="1:7" x14ac:dyDescent="0.2">
      <c r="A20" s="221" t="s">
        <v>95</v>
      </c>
      <c r="B20" s="476">
        <f>IFERROR(VLOOKUP("鑑定入院",$E$15:$F$23,2,FALSE),0)+IFERROR(VLOOKUP("医療観察法による入院",$E$15:$F$23,2,FALSE),0)+IFERROR(VLOOKUP("不明",$E$15:$F$23,2,FALSE),0)</f>
        <v>2</v>
      </c>
      <c r="C20" s="475">
        <f t="shared" si="1"/>
        <v>2.4875621890547263E-3</v>
      </c>
      <c r="E20" s="27" t="s">
        <v>15</v>
      </c>
      <c r="F20" s="35">
        <v>231</v>
      </c>
      <c r="G20" s="16"/>
    </row>
    <row r="21" spans="1:7" x14ac:dyDescent="0.2">
      <c r="A21" s="517" t="s">
        <v>148</v>
      </c>
      <c r="B21" s="520">
        <f>SUM(B16:B20)</f>
        <v>804</v>
      </c>
      <c r="C21" s="521">
        <f>SUM(C16:C20)</f>
        <v>1</v>
      </c>
      <c r="E21" s="30" t="s">
        <v>661</v>
      </c>
      <c r="F21" s="35">
        <v>1</v>
      </c>
      <c r="G21" s="16"/>
    </row>
    <row r="22" spans="1:7" x14ac:dyDescent="0.2">
      <c r="E22" s="30" t="s">
        <v>506</v>
      </c>
      <c r="F22" s="35">
        <v>0</v>
      </c>
      <c r="G22" s="16"/>
    </row>
    <row r="23" spans="1:7" x14ac:dyDescent="0.2">
      <c r="E23" s="27" t="s">
        <v>346</v>
      </c>
      <c r="F23" s="35">
        <v>0</v>
      </c>
      <c r="G23" s="16"/>
    </row>
    <row r="26" spans="1:7" x14ac:dyDescent="0.2">
      <c r="C26" s="4"/>
    </row>
    <row r="27" spans="1:7" x14ac:dyDescent="0.2">
      <c r="C27" s="4"/>
    </row>
  </sheetData>
  <phoneticPr fontId="2"/>
  <printOptions horizontalCentered="1"/>
  <pageMargins left="0.70866141732283472" right="0.70866141732283472" top="1.1417322834645669" bottom="0.74803149606299213" header="0.70866141732283472" footer="0.31496062992125984"/>
  <pageSetup paperSize="11" scale="8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Button 1">
              <controlPr defaultSize="0" print="0" autoFill="0" autoPict="0" macro="[0]!データ削除_入院形態_65歳以上">
                <anchor moveWithCells="1" sizeWithCells="1">
                  <from>
                    <xdr:col>6</xdr:col>
                    <xdr:colOff>632460</xdr:colOff>
                    <xdr:row>3</xdr:row>
                    <xdr:rowOff>45720</xdr:rowOff>
                  </from>
                  <to>
                    <xdr:col>9</xdr:col>
                    <xdr:colOff>411480</xdr:colOff>
                    <xdr:row>5</xdr:row>
                    <xdr:rowOff>45720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C000"/>
    <pageSetUpPr fitToPage="1"/>
  </sheetPr>
  <dimension ref="A1:X45"/>
  <sheetViews>
    <sheetView showGridLines="0" view="pageBreakPreview" topLeftCell="B1" zoomScale="90" zoomScaleNormal="100" zoomScaleSheetLayoutView="90" workbookViewId="0">
      <selection sqref="A1:A1048576"/>
    </sheetView>
  </sheetViews>
  <sheetFormatPr defaultColWidth="9" defaultRowHeight="17.399999999999999" x14ac:dyDescent="0.2"/>
  <cols>
    <col min="1" max="1" width="3.33203125" style="1" hidden="1" customWidth="1"/>
    <col min="2" max="2" width="2.109375" style="1" customWidth="1"/>
    <col min="3" max="3" width="43.77734375" style="1" customWidth="1"/>
    <col min="4" max="4" width="9.33203125" style="1" customWidth="1"/>
    <col min="5" max="5" width="10.77734375" style="1" bestFit="1" customWidth="1"/>
    <col min="6" max="6" width="0.88671875" style="1" customWidth="1"/>
    <col min="7" max="7" width="10.5546875" style="1" bestFit="1" customWidth="1"/>
    <col min="8" max="8" width="10.77734375" style="1" bestFit="1" customWidth="1"/>
    <col min="9" max="11" width="10.77734375" style="676" hidden="1" customWidth="1"/>
    <col min="12" max="12" width="13.109375" style="25" hidden="1" customWidth="1"/>
    <col min="13" max="14" width="13.109375" style="1" hidden="1" customWidth="1"/>
    <col min="15" max="24" width="9" style="1" hidden="1" customWidth="1"/>
    <col min="25" max="16384" width="9" style="1"/>
  </cols>
  <sheetData>
    <row r="1" spans="1:23" ht="19.2" x14ac:dyDescent="0.2">
      <c r="B1" s="2" t="s">
        <v>216</v>
      </c>
    </row>
    <row r="3" spans="1:23" x14ac:dyDescent="0.2">
      <c r="B3" s="4" t="s">
        <v>13</v>
      </c>
      <c r="C3" s="97"/>
      <c r="L3" s="678" t="s">
        <v>62</v>
      </c>
    </row>
    <row r="4" spans="1:23" ht="18.75" customHeight="1" thickBot="1" x14ac:dyDescent="0.5">
      <c r="G4" s="1008" t="s">
        <v>97</v>
      </c>
      <c r="H4" s="1008"/>
      <c r="I4" s="726"/>
      <c r="J4" s="726"/>
      <c r="K4" s="726"/>
      <c r="L4" s="303" t="s">
        <v>261</v>
      </c>
      <c r="M4" s="302" t="s">
        <v>0</v>
      </c>
      <c r="O4" s="799" t="s">
        <v>261</v>
      </c>
      <c r="P4" s="304" t="s">
        <v>283</v>
      </c>
    </row>
    <row r="5" spans="1:23" ht="18.75" customHeight="1" thickTop="1" thickBot="1" x14ac:dyDescent="0.25">
      <c r="B5" s="1002"/>
      <c r="C5" s="1002"/>
      <c r="D5" s="518" t="s">
        <v>0</v>
      </c>
      <c r="E5" s="518" t="s">
        <v>1</v>
      </c>
      <c r="F5" s="522"/>
      <c r="G5" s="518" t="s">
        <v>0</v>
      </c>
      <c r="H5" s="518" t="s">
        <v>1</v>
      </c>
      <c r="I5" s="736"/>
      <c r="J5" s="736"/>
      <c r="K5" s="736"/>
      <c r="L5" s="260" t="s">
        <v>655</v>
      </c>
      <c r="M5" s="259" t="s">
        <v>672</v>
      </c>
      <c r="O5" s="800" t="s">
        <v>655</v>
      </c>
      <c r="P5" s="259" t="s">
        <v>672</v>
      </c>
      <c r="R5" s="42" t="s">
        <v>273</v>
      </c>
      <c r="W5" s="250" t="s">
        <v>302</v>
      </c>
    </row>
    <row r="6" spans="1:23" ht="18.75" customHeight="1" thickTop="1" x14ac:dyDescent="0.2">
      <c r="B6" s="1003" t="s">
        <v>374</v>
      </c>
      <c r="C6" s="1004"/>
      <c r="D6" s="523">
        <f>SUM(D7:D9)</f>
        <v>3893</v>
      </c>
      <c r="E6" s="524">
        <f>SUM(E7:E9)</f>
        <v>0.45713950211366838</v>
      </c>
      <c r="F6" s="525"/>
      <c r="G6" s="526">
        <f>'２-Ⅲ'!C5</f>
        <v>4186</v>
      </c>
      <c r="H6" s="527">
        <f>SUM(H7:H9)</f>
        <v>0.29885057471264365</v>
      </c>
      <c r="I6" s="540"/>
      <c r="J6" s="540"/>
      <c r="K6" s="540"/>
      <c r="L6" s="30" t="s">
        <v>273</v>
      </c>
      <c r="M6" s="101">
        <v>2162</v>
      </c>
      <c r="O6" s="30" t="s">
        <v>273</v>
      </c>
      <c r="P6" s="101">
        <v>120</v>
      </c>
      <c r="R6" s="42" t="s">
        <v>262</v>
      </c>
      <c r="W6" s="250" t="s">
        <v>291</v>
      </c>
    </row>
    <row r="7" spans="1:23" ht="18.75" customHeight="1" x14ac:dyDescent="0.2">
      <c r="A7" s="98"/>
      <c r="B7" s="99"/>
      <c r="C7" s="100" t="s">
        <v>250</v>
      </c>
      <c r="D7" s="528">
        <f>IFERROR(VLOOKUP($R5,疾患別＿65歳以上[#All],2,FALSE),0)</f>
        <v>2162</v>
      </c>
      <c r="E7" s="529">
        <f>IFERROR(D7/D$22,"-")</f>
        <v>0.2538750587130108</v>
      </c>
      <c r="F7" s="530"/>
      <c r="G7" s="531">
        <f>'２-Ⅲ'!C6</f>
        <v>2211</v>
      </c>
      <c r="H7" s="529">
        <f>IFERROR(G7/G$22,"-")</f>
        <v>0.15784964660526879</v>
      </c>
      <c r="I7" s="737"/>
      <c r="J7" s="737"/>
      <c r="K7" s="737"/>
      <c r="L7" s="30" t="s">
        <v>262</v>
      </c>
      <c r="M7" s="101">
        <v>234</v>
      </c>
      <c r="O7" s="261" t="s">
        <v>262</v>
      </c>
      <c r="P7" s="234">
        <v>15</v>
      </c>
      <c r="Q7" s="9"/>
      <c r="R7" s="42" t="s">
        <v>263</v>
      </c>
      <c r="W7" s="250" t="s">
        <v>292</v>
      </c>
    </row>
    <row r="8" spans="1:23" ht="18.75" customHeight="1" x14ac:dyDescent="0.2">
      <c r="A8" s="98"/>
      <c r="B8" s="99"/>
      <c r="C8" s="102" t="s">
        <v>98</v>
      </c>
      <c r="D8" s="532">
        <f>IFERROR(VLOOKUP($R6,疾患別＿65歳以上[#All],2,FALSE),0)</f>
        <v>234</v>
      </c>
      <c r="E8" s="533">
        <f t="shared" ref="E8:E20" si="0">IFERROR(D8/D$22,"-")</f>
        <v>2.7477689055894785E-2</v>
      </c>
      <c r="F8" s="530"/>
      <c r="G8" s="534">
        <f>'２-Ⅲ'!C7</f>
        <v>252</v>
      </c>
      <c r="H8" s="485">
        <f t="shared" ref="H8:H20" si="1">IFERROR(G8/G$22,"-")</f>
        <v>1.7991004497751123E-2</v>
      </c>
      <c r="I8" s="737"/>
      <c r="J8" s="737"/>
      <c r="K8" s="737"/>
      <c r="L8" s="30" t="s">
        <v>263</v>
      </c>
      <c r="M8" s="101">
        <v>1497</v>
      </c>
      <c r="O8" s="231" t="s">
        <v>263</v>
      </c>
      <c r="P8" s="232">
        <v>127</v>
      </c>
      <c r="Q8" s="9"/>
      <c r="R8" s="42" t="s">
        <v>264</v>
      </c>
      <c r="W8" s="250" t="s">
        <v>293</v>
      </c>
    </row>
    <row r="9" spans="1:23" ht="37.5" customHeight="1" x14ac:dyDescent="0.2">
      <c r="A9" s="98"/>
      <c r="B9" s="103"/>
      <c r="C9" s="104" t="s">
        <v>67</v>
      </c>
      <c r="D9" s="535">
        <f>IFERROR(VLOOKUP($R7,疾患別＿65歳以上[#All],2,FALSE),0)</f>
        <v>1497</v>
      </c>
      <c r="E9" s="486">
        <f t="shared" si="0"/>
        <v>0.17578675434476279</v>
      </c>
      <c r="F9" s="530"/>
      <c r="G9" s="536">
        <f>'２-Ⅲ'!C8</f>
        <v>1723</v>
      </c>
      <c r="H9" s="537">
        <f t="shared" si="1"/>
        <v>0.12300992360962376</v>
      </c>
      <c r="I9" s="737"/>
      <c r="J9" s="737"/>
      <c r="K9" s="737"/>
      <c r="L9" s="30" t="s">
        <v>264</v>
      </c>
      <c r="M9" s="101">
        <v>293</v>
      </c>
      <c r="O9" s="233" t="s">
        <v>264</v>
      </c>
      <c r="P9" s="234">
        <v>71</v>
      </c>
      <c r="Q9" s="9"/>
      <c r="R9" s="42" t="s">
        <v>289</v>
      </c>
      <c r="W9" s="250" t="s">
        <v>294</v>
      </c>
    </row>
    <row r="10" spans="1:23" ht="18.75" customHeight="1" x14ac:dyDescent="0.2">
      <c r="A10" s="98"/>
      <c r="B10" s="996" t="s">
        <v>233</v>
      </c>
      <c r="C10" s="997"/>
      <c r="D10" s="538">
        <f>IFERROR(VLOOKUP($R8,疾患別＿65歳以上[#All],2,FALSE),0)+IFERROR(VLOOKUP($R9,疾患別＿65歳以上[#All],2,FALSE),0)+IFERROR(VLOOKUP($R10,疾患別＿65歳以上[#All],2,FALSE),0)</f>
        <v>315</v>
      </c>
      <c r="E10" s="539">
        <f t="shared" si="0"/>
        <v>3.698919680601221E-2</v>
      </c>
      <c r="F10" s="540"/>
      <c r="G10" s="538">
        <f>'２-Ⅲ'!C9</f>
        <v>746</v>
      </c>
      <c r="H10" s="539">
        <f t="shared" si="1"/>
        <v>5.3259084743342615E-2</v>
      </c>
      <c r="I10" s="738"/>
      <c r="J10" s="738"/>
      <c r="K10" s="738"/>
      <c r="L10" s="59" t="s">
        <v>188</v>
      </c>
      <c r="M10" s="101">
        <v>8</v>
      </c>
      <c r="O10" s="231" t="s">
        <v>188</v>
      </c>
      <c r="P10" s="232">
        <v>0</v>
      </c>
      <c r="Q10" s="9"/>
      <c r="R10" s="42" t="s">
        <v>290</v>
      </c>
      <c r="W10" s="250" t="s">
        <v>295</v>
      </c>
    </row>
    <row r="11" spans="1:23" ht="18.75" customHeight="1" x14ac:dyDescent="0.2">
      <c r="A11" s="98"/>
      <c r="B11" s="996" t="s">
        <v>234</v>
      </c>
      <c r="C11" s="997"/>
      <c r="D11" s="538">
        <f>IFERROR(VLOOKUP($R11,疾患別＿65歳以上[#All],2,FALSE),0)</f>
        <v>3038</v>
      </c>
      <c r="E11" s="539">
        <f t="shared" si="0"/>
        <v>0.35674025364020667</v>
      </c>
      <c r="F11" s="540"/>
      <c r="G11" s="538">
        <f>'２-Ⅲ'!C10</f>
        <v>6451</v>
      </c>
      <c r="H11" s="539">
        <f t="shared" si="1"/>
        <v>0.46055543656743059</v>
      </c>
      <c r="I11" s="738"/>
      <c r="J11" s="738"/>
      <c r="K11" s="738"/>
      <c r="L11" s="30" t="s">
        <v>189</v>
      </c>
      <c r="M11" s="101">
        <v>14</v>
      </c>
      <c r="O11" s="233" t="s">
        <v>189</v>
      </c>
      <c r="P11" s="234">
        <v>3</v>
      </c>
      <c r="R11" s="42" t="s">
        <v>265</v>
      </c>
      <c r="W11" s="250" t="s">
        <v>296</v>
      </c>
    </row>
    <row r="12" spans="1:23" ht="18.75" customHeight="1" x14ac:dyDescent="0.2">
      <c r="A12" s="98"/>
      <c r="B12" s="996" t="s">
        <v>22</v>
      </c>
      <c r="C12" s="997"/>
      <c r="D12" s="538">
        <f>IFERROR(VLOOKUP($R12,疾患別＿65歳以上[#All],2,FALSE),0)+IFERROR(VLOOKUP($R13,疾患別＿65歳以上[#All],2,FALSE),0)</f>
        <v>1018</v>
      </c>
      <c r="E12" s="539">
        <f t="shared" si="0"/>
        <v>0.11953968999530296</v>
      </c>
      <c r="F12" s="540"/>
      <c r="G12" s="538">
        <f>'２-Ⅲ'!C11</f>
        <v>1663</v>
      </c>
      <c r="H12" s="539">
        <f t="shared" si="1"/>
        <v>0.11872635111015921</v>
      </c>
      <c r="I12" s="738"/>
      <c r="J12" s="738"/>
      <c r="K12" s="738"/>
      <c r="L12" s="30" t="s">
        <v>265</v>
      </c>
      <c r="M12" s="101">
        <v>3038</v>
      </c>
      <c r="O12" s="231" t="s">
        <v>265</v>
      </c>
      <c r="P12" s="232">
        <v>296</v>
      </c>
      <c r="R12" s="42" t="s">
        <v>266</v>
      </c>
      <c r="W12" s="250" t="s">
        <v>297</v>
      </c>
    </row>
    <row r="13" spans="1:23" ht="18.75" customHeight="1" x14ac:dyDescent="0.2">
      <c r="A13" s="98"/>
      <c r="B13" s="1000" t="s">
        <v>24</v>
      </c>
      <c r="C13" s="1001"/>
      <c r="D13" s="538">
        <f>IFERROR(VLOOKUP($R14,疾患別＿65歳以上[#All],2,FALSE),0)</f>
        <v>97</v>
      </c>
      <c r="E13" s="539">
        <f t="shared" si="0"/>
        <v>1.1390324095819634E-2</v>
      </c>
      <c r="F13" s="540"/>
      <c r="G13" s="538">
        <f>'２-Ⅲ'!C12</f>
        <v>247</v>
      </c>
      <c r="H13" s="539">
        <f t="shared" si="1"/>
        <v>1.7634040122795746E-2</v>
      </c>
      <c r="I13" s="738"/>
      <c r="J13" s="738"/>
      <c r="K13" s="738"/>
      <c r="L13" s="30" t="s">
        <v>266</v>
      </c>
      <c r="M13" s="101">
        <v>381</v>
      </c>
      <c r="O13" s="233" t="s">
        <v>266</v>
      </c>
      <c r="P13" s="234">
        <v>42</v>
      </c>
      <c r="Q13" s="9"/>
      <c r="R13" s="42" t="s">
        <v>267</v>
      </c>
      <c r="W13" s="250" t="s">
        <v>298</v>
      </c>
    </row>
    <row r="14" spans="1:23" ht="18.75" customHeight="1" x14ac:dyDescent="0.2">
      <c r="A14" s="98"/>
      <c r="B14" s="996" t="s">
        <v>25</v>
      </c>
      <c r="C14" s="997"/>
      <c r="D14" s="538">
        <f>IFERROR(VLOOKUP($R15,疾患別＿65歳以上[#All],2,FALSE),0)</f>
        <v>5</v>
      </c>
      <c r="E14" s="539">
        <f t="shared" si="0"/>
        <v>5.8713010803193989E-4</v>
      </c>
      <c r="F14" s="540"/>
      <c r="G14" s="538">
        <f>'２-Ⅲ'!C13</f>
        <v>49</v>
      </c>
      <c r="H14" s="539">
        <f t="shared" si="1"/>
        <v>3.4982508745627187E-3</v>
      </c>
      <c r="I14" s="738"/>
      <c r="J14" s="738"/>
      <c r="K14" s="738"/>
      <c r="L14" s="30" t="s">
        <v>267</v>
      </c>
      <c r="M14" s="101">
        <v>637</v>
      </c>
      <c r="O14" s="231" t="s">
        <v>267</v>
      </c>
      <c r="P14" s="232">
        <v>104</v>
      </c>
      <c r="Q14" s="9"/>
      <c r="R14" s="42" t="s">
        <v>268</v>
      </c>
      <c r="W14" s="250" t="s">
        <v>299</v>
      </c>
    </row>
    <row r="15" spans="1:23" ht="18.75" customHeight="1" x14ac:dyDescent="0.2">
      <c r="A15" s="98"/>
      <c r="B15" s="996" t="s">
        <v>243</v>
      </c>
      <c r="C15" s="997"/>
      <c r="D15" s="538">
        <f>IFERROR(VLOOKUP($R16,疾患別＿65歳以上[#All],2,FALSE),0)</f>
        <v>6</v>
      </c>
      <c r="E15" s="539">
        <f t="shared" si="0"/>
        <v>7.045561296383278E-4</v>
      </c>
      <c r="F15" s="540"/>
      <c r="G15" s="538">
        <f>'２-Ⅲ'!C14</f>
        <v>41</v>
      </c>
      <c r="H15" s="539">
        <f t="shared" si="1"/>
        <v>2.9271078746341116E-3</v>
      </c>
      <c r="I15" s="738"/>
      <c r="J15" s="738"/>
      <c r="K15" s="738"/>
      <c r="L15" s="30" t="s">
        <v>268</v>
      </c>
      <c r="M15" s="101">
        <v>97</v>
      </c>
      <c r="O15" s="233" t="s">
        <v>268</v>
      </c>
      <c r="P15" s="234">
        <v>11</v>
      </c>
      <c r="Q15" s="9"/>
      <c r="R15" s="42" t="s">
        <v>269</v>
      </c>
      <c r="W15" s="250" t="s">
        <v>300</v>
      </c>
    </row>
    <row r="16" spans="1:23" ht="18.75" customHeight="1" x14ac:dyDescent="0.2">
      <c r="A16" s="98"/>
      <c r="B16" s="996" t="s">
        <v>232</v>
      </c>
      <c r="C16" s="997"/>
      <c r="D16" s="538">
        <f>IFERROR(VLOOKUP($R17,疾患別＿65歳以上[#All],2,FALSE),0)</f>
        <v>58</v>
      </c>
      <c r="E16" s="539">
        <f t="shared" si="0"/>
        <v>6.8107092531705027E-3</v>
      </c>
      <c r="F16" s="540"/>
      <c r="G16" s="538">
        <f>'２-Ⅲ'!C15</f>
        <v>280</v>
      </c>
      <c r="H16" s="539">
        <f t="shared" si="1"/>
        <v>1.999000499750125E-2</v>
      </c>
      <c r="I16" s="738"/>
      <c r="J16" s="738"/>
      <c r="K16" s="738"/>
      <c r="L16" s="30" t="s">
        <v>269</v>
      </c>
      <c r="M16" s="101">
        <v>5</v>
      </c>
      <c r="O16" s="231" t="s">
        <v>269</v>
      </c>
      <c r="P16" s="232">
        <v>0</v>
      </c>
      <c r="Q16" s="9"/>
      <c r="R16" s="42" t="s">
        <v>274</v>
      </c>
      <c r="W16" s="250" t="s">
        <v>301</v>
      </c>
    </row>
    <row r="17" spans="1:18" ht="18.75" customHeight="1" x14ac:dyDescent="0.2">
      <c r="A17" s="98"/>
      <c r="B17" s="996" t="s">
        <v>79</v>
      </c>
      <c r="C17" s="997"/>
      <c r="D17" s="538">
        <f>IFERROR(VLOOKUP($R18,疾患別＿65歳以上[#All],2,FALSE),0)</f>
        <v>10</v>
      </c>
      <c r="E17" s="539">
        <f t="shared" si="0"/>
        <v>1.1742602160638798E-3</v>
      </c>
      <c r="F17" s="540"/>
      <c r="G17" s="538">
        <f>'２-Ⅲ'!C16</f>
        <v>188</v>
      </c>
      <c r="H17" s="539">
        <f t="shared" si="1"/>
        <v>1.3421860498322268E-2</v>
      </c>
      <c r="I17" s="738"/>
      <c r="J17" s="738"/>
      <c r="K17" s="738"/>
      <c r="L17" s="30" t="s">
        <v>274</v>
      </c>
      <c r="M17" s="101">
        <v>6</v>
      </c>
      <c r="O17" s="233" t="s">
        <v>274</v>
      </c>
      <c r="P17" s="234">
        <v>2</v>
      </c>
      <c r="Q17" s="9"/>
      <c r="R17" s="42" t="s">
        <v>270</v>
      </c>
    </row>
    <row r="18" spans="1:18" ht="37.5" customHeight="1" x14ac:dyDescent="0.2">
      <c r="A18" s="98"/>
      <c r="B18" s="996" t="s">
        <v>240</v>
      </c>
      <c r="C18" s="997"/>
      <c r="D18" s="538">
        <f>IFERROR(VLOOKUP($R19,疾患別＿65歳以上[#All],2,FALSE),0)</f>
        <v>15</v>
      </c>
      <c r="E18" s="539">
        <f t="shared" si="0"/>
        <v>1.7613903240958197E-3</v>
      </c>
      <c r="F18" s="540"/>
      <c r="G18" s="538">
        <f>'２-Ⅲ'!C17</f>
        <v>49</v>
      </c>
      <c r="H18" s="539">
        <f t="shared" si="1"/>
        <v>3.4982508745627187E-3</v>
      </c>
      <c r="I18" s="738"/>
      <c r="J18" s="738"/>
      <c r="K18" s="738"/>
      <c r="L18" s="30" t="s">
        <v>270</v>
      </c>
      <c r="M18" s="101">
        <v>58</v>
      </c>
      <c r="O18" s="231" t="s">
        <v>270</v>
      </c>
      <c r="P18" s="232">
        <v>3</v>
      </c>
      <c r="Q18" s="9"/>
      <c r="R18" s="42" t="s">
        <v>271</v>
      </c>
    </row>
    <row r="19" spans="1:18" ht="18.75" customHeight="1" x14ac:dyDescent="0.2">
      <c r="A19" s="98"/>
      <c r="B19" s="996" t="s">
        <v>66</v>
      </c>
      <c r="C19" s="997"/>
      <c r="D19" s="538">
        <f>IFERROR(VLOOKUP($R20,疾患別＿65歳以上[#All],2,FALSE),0)</f>
        <v>12</v>
      </c>
      <c r="E19" s="539">
        <f t="shared" si="0"/>
        <v>1.4091122592766556E-3</v>
      </c>
      <c r="F19" s="540"/>
      <c r="G19" s="538">
        <f>'２-Ⅲ'!C18</f>
        <v>24</v>
      </c>
      <c r="H19" s="539">
        <f t="shared" si="1"/>
        <v>1.7134289997858213E-3</v>
      </c>
      <c r="I19" s="738"/>
      <c r="J19" s="738"/>
      <c r="K19" s="738"/>
      <c r="L19" s="30" t="s">
        <v>271</v>
      </c>
      <c r="M19" s="101">
        <v>10</v>
      </c>
      <c r="O19" s="233" t="s">
        <v>271</v>
      </c>
      <c r="P19" s="234">
        <v>0</v>
      </c>
      <c r="Q19" s="9"/>
      <c r="R19" s="42" t="s">
        <v>275</v>
      </c>
    </row>
    <row r="20" spans="1:18" ht="18.75" customHeight="1" x14ac:dyDescent="0.2">
      <c r="A20" s="98"/>
      <c r="B20" s="1005" t="s">
        <v>18</v>
      </c>
      <c r="C20" s="1006"/>
      <c r="D20" s="538">
        <f>IFERROR(VLOOKUP($R21,疾患別＿65歳以上[#All],2,FALSE),0)</f>
        <v>48</v>
      </c>
      <c r="E20" s="539">
        <f t="shared" si="0"/>
        <v>5.6364490371066224E-3</v>
      </c>
      <c r="F20" s="540"/>
      <c r="G20" s="538">
        <f>'２-Ⅲ'!C19</f>
        <v>82</v>
      </c>
      <c r="H20" s="539">
        <f t="shared" si="1"/>
        <v>5.8542157492682233E-3</v>
      </c>
      <c r="I20" s="738"/>
      <c r="J20" s="738"/>
      <c r="K20" s="738"/>
      <c r="L20" s="59" t="s">
        <v>275</v>
      </c>
      <c r="M20" s="101">
        <v>15</v>
      </c>
      <c r="O20" s="231" t="s">
        <v>275</v>
      </c>
      <c r="P20" s="232">
        <v>2</v>
      </c>
      <c r="Q20" s="9"/>
      <c r="R20" s="42" t="s">
        <v>272</v>
      </c>
    </row>
    <row r="21" spans="1:18" s="349" customFormat="1" ht="18.75" customHeight="1" x14ac:dyDescent="0.2">
      <c r="A21" s="98"/>
      <c r="B21" s="1005" t="s">
        <v>351</v>
      </c>
      <c r="C21" s="1006"/>
      <c r="D21" s="538">
        <f>IFERROR(VLOOKUP($R22,疾患別＿65歳以上[#All],2,FALSE),0)</f>
        <v>1</v>
      </c>
      <c r="E21" s="539">
        <f t="shared" ref="E21" si="2">IFERROR(D21/D$22,"-")</f>
        <v>1.1742602160638798E-4</v>
      </c>
      <c r="F21" s="540"/>
      <c r="G21" s="538">
        <f>'２-Ⅲ'!C20</f>
        <v>1</v>
      </c>
      <c r="H21" s="539">
        <f t="shared" ref="H21" si="3">IFERROR(G21/G$22,"-")</f>
        <v>7.1392874991075888E-5</v>
      </c>
      <c r="I21" s="738"/>
      <c r="J21" s="738"/>
      <c r="K21" s="738"/>
      <c r="L21" s="59" t="s">
        <v>18</v>
      </c>
      <c r="M21" s="101">
        <v>48</v>
      </c>
      <c r="O21" s="231" t="s">
        <v>18</v>
      </c>
      <c r="P21" s="232">
        <v>7</v>
      </c>
      <c r="Q21" s="351"/>
      <c r="R21" s="42" t="s">
        <v>18</v>
      </c>
    </row>
    <row r="22" spans="1:18" ht="18.75" customHeight="1" x14ac:dyDescent="0.2">
      <c r="B22" s="1007" t="s">
        <v>148</v>
      </c>
      <c r="C22" s="1007"/>
      <c r="D22" s="541">
        <f>SUM(D7:D21)</f>
        <v>8516</v>
      </c>
      <c r="E22" s="521">
        <f>SUM(E7:E20)</f>
        <v>0.99988257397839364</v>
      </c>
      <c r="F22" s="542"/>
      <c r="G22" s="541">
        <f>SUM(G7:G21)</f>
        <v>14007</v>
      </c>
      <c r="H22" s="521">
        <f>SUM(H7:H20)</f>
        <v>0.99992860712500886</v>
      </c>
      <c r="I22" s="739"/>
      <c r="J22" s="739"/>
      <c r="K22" s="739"/>
      <c r="L22" s="30" t="s">
        <v>272</v>
      </c>
      <c r="M22" s="101">
        <v>12</v>
      </c>
      <c r="O22" s="235" t="s">
        <v>272</v>
      </c>
      <c r="P22" s="234">
        <v>1</v>
      </c>
      <c r="Q22" s="9"/>
      <c r="R22" s="30" t="s">
        <v>351</v>
      </c>
    </row>
    <row r="23" spans="1:18" x14ac:dyDescent="0.2">
      <c r="G23" s="50"/>
      <c r="L23" s="30" t="s">
        <v>346</v>
      </c>
      <c r="M23" s="101">
        <v>1</v>
      </c>
      <c r="O23" s="230" t="s">
        <v>346</v>
      </c>
      <c r="P23" s="229">
        <v>0</v>
      </c>
    </row>
    <row r="24" spans="1:18" x14ac:dyDescent="0.2">
      <c r="B24" s="4" t="s">
        <v>105</v>
      </c>
      <c r="C24" s="97"/>
      <c r="G24" s="50"/>
    </row>
    <row r="25" spans="1:18" x14ac:dyDescent="0.45">
      <c r="G25" s="1008" t="s">
        <v>97</v>
      </c>
      <c r="H25" s="1008"/>
      <c r="I25" s="726"/>
      <c r="J25" s="726"/>
      <c r="K25" s="726"/>
    </row>
    <row r="26" spans="1:18" ht="18.75" customHeight="1" x14ac:dyDescent="0.2">
      <c r="B26" s="1002"/>
      <c r="C26" s="1002"/>
      <c r="D26" s="518" t="s">
        <v>0</v>
      </c>
      <c r="E26" s="518" t="s">
        <v>1</v>
      </c>
      <c r="F26" s="522"/>
      <c r="G26" s="518" t="s">
        <v>0</v>
      </c>
      <c r="H26" s="518" t="s">
        <v>1</v>
      </c>
      <c r="I26" s="736"/>
      <c r="J26" s="736"/>
      <c r="K26" s="736"/>
      <c r="M26" s="348"/>
      <c r="N26" s="348"/>
    </row>
    <row r="27" spans="1:18" ht="18.75" customHeight="1" x14ac:dyDescent="0.2">
      <c r="B27" s="1003" t="s">
        <v>374</v>
      </c>
      <c r="C27" s="1004"/>
      <c r="D27" s="543">
        <f>SUM(D28:D30)</f>
        <v>262</v>
      </c>
      <c r="E27" s="544">
        <f>SUM(E28:E30)</f>
        <v>0.32587064676616917</v>
      </c>
      <c r="F27" s="545"/>
      <c r="G27" s="546">
        <f>'２-Ⅲ'!J5</f>
        <v>282</v>
      </c>
      <c r="H27" s="527">
        <f>SUM(H28:H30)</f>
        <v>0.16977724262492475</v>
      </c>
      <c r="I27" s="540"/>
      <c r="J27" s="540"/>
      <c r="K27" s="540"/>
    </row>
    <row r="28" spans="1:18" ht="18.75" customHeight="1" x14ac:dyDescent="0.2">
      <c r="A28" s="98"/>
      <c r="B28" s="99"/>
      <c r="C28" s="100" t="s">
        <v>250</v>
      </c>
      <c r="D28" s="547">
        <f>IFERROR(VLOOKUP($R5,疾患別＿65歳以上＿寛解・院内寛解[#All],2,FALSE),0)</f>
        <v>120</v>
      </c>
      <c r="E28" s="484">
        <f>IFERROR(D28/D$43,"-")</f>
        <v>0.14925373134328357</v>
      </c>
      <c r="F28" s="530"/>
      <c r="G28" s="531">
        <f>'２-Ⅲ'!J6</f>
        <v>123</v>
      </c>
      <c r="H28" s="529">
        <f>IFERROR(G28/G$43,"-")</f>
        <v>7.4051776038531011E-2</v>
      </c>
      <c r="I28" s="737"/>
      <c r="J28" s="737"/>
      <c r="K28" s="737"/>
      <c r="P28" s="9"/>
      <c r="Q28" s="9"/>
    </row>
    <row r="29" spans="1:18" ht="18.75" customHeight="1" x14ac:dyDescent="0.2">
      <c r="A29" s="98"/>
      <c r="B29" s="99"/>
      <c r="C29" s="102" t="s">
        <v>98</v>
      </c>
      <c r="D29" s="547">
        <f>IFERROR(VLOOKUP($R6,疾患別＿65歳以上＿寛解・院内寛解[#All],2,FALSE),0)</f>
        <v>15</v>
      </c>
      <c r="E29" s="548">
        <f t="shared" ref="E29:E41" si="4">IFERROR(D29/D$43,"-")</f>
        <v>1.8656716417910446E-2</v>
      </c>
      <c r="F29" s="530"/>
      <c r="G29" s="534">
        <f>'２-Ⅲ'!J7</f>
        <v>15</v>
      </c>
      <c r="H29" s="485">
        <f t="shared" ref="H29:H41" si="5">IFERROR(G29/G$43,"-")</f>
        <v>9.0307043949428064E-3</v>
      </c>
      <c r="I29" s="737"/>
      <c r="J29" s="737"/>
      <c r="K29" s="737"/>
      <c r="P29" s="9"/>
      <c r="Q29" s="9"/>
    </row>
    <row r="30" spans="1:18" ht="37.5" customHeight="1" x14ac:dyDescent="0.2">
      <c r="A30" s="98"/>
      <c r="B30" s="103"/>
      <c r="C30" s="104" t="s">
        <v>67</v>
      </c>
      <c r="D30" s="547">
        <f>IFERROR(VLOOKUP($R7,疾患別＿65歳以上＿寛解・院内寛解[#All],2,FALSE),0)</f>
        <v>127</v>
      </c>
      <c r="E30" s="486">
        <f t="shared" si="4"/>
        <v>0.15796019900497513</v>
      </c>
      <c r="F30" s="530"/>
      <c r="G30" s="536">
        <f>'２-Ⅲ'!J8</f>
        <v>144</v>
      </c>
      <c r="H30" s="537">
        <f t="shared" si="5"/>
        <v>8.6694762191450933E-2</v>
      </c>
      <c r="I30" s="737"/>
      <c r="J30" s="737"/>
      <c r="K30" s="737"/>
      <c r="P30" s="9"/>
      <c r="Q30" s="9"/>
    </row>
    <row r="31" spans="1:18" ht="18.75" customHeight="1" x14ac:dyDescent="0.2">
      <c r="A31" s="98"/>
      <c r="B31" s="996" t="s">
        <v>20</v>
      </c>
      <c r="C31" s="997"/>
      <c r="D31" s="549">
        <f>IFERROR(VLOOKUP($R8,疾患別＿65歳以上＿寛解・院内寛解[#All],2,FALSE),0)+IFERROR(VLOOKUP($R9,疾患別＿65歳以上＿寛解・院内寛解[#All],2,FALSE),0)+IFERROR(VLOOKUP($R10,疾患別＿65歳以上＿寛解・院内寛解[#All],2,FALSE),0)</f>
        <v>74</v>
      </c>
      <c r="E31" s="539">
        <f t="shared" si="4"/>
        <v>9.2039800995024873E-2</v>
      </c>
      <c r="F31" s="540"/>
      <c r="G31" s="538">
        <f>'２-Ⅲ'!J9</f>
        <v>226</v>
      </c>
      <c r="H31" s="539">
        <f t="shared" si="5"/>
        <v>0.13606261288380495</v>
      </c>
      <c r="I31" s="738"/>
      <c r="J31" s="738"/>
      <c r="K31" s="738"/>
      <c r="P31" s="9"/>
      <c r="Q31" s="9"/>
    </row>
    <row r="32" spans="1:18" ht="18.75" customHeight="1" x14ac:dyDescent="0.2">
      <c r="A32" s="98"/>
      <c r="B32" s="996" t="s">
        <v>21</v>
      </c>
      <c r="C32" s="997"/>
      <c r="D32" s="549">
        <f>IFERROR(VLOOKUP($R11,疾患別＿65歳以上＿寛解・院内寛解[#All],2,FALSE),0)</f>
        <v>296</v>
      </c>
      <c r="E32" s="539">
        <f t="shared" si="4"/>
        <v>0.36815920398009949</v>
      </c>
      <c r="F32" s="540"/>
      <c r="G32" s="538">
        <f>'２-Ⅲ'!J10</f>
        <v>706</v>
      </c>
      <c r="H32" s="539">
        <f t="shared" si="5"/>
        <v>0.42504515352197469</v>
      </c>
      <c r="I32" s="738"/>
      <c r="J32" s="738"/>
      <c r="K32" s="738"/>
    </row>
    <row r="33" spans="1:17" ht="18.75" customHeight="1" x14ac:dyDescent="0.2">
      <c r="A33" s="98"/>
      <c r="B33" s="996" t="s">
        <v>22</v>
      </c>
      <c r="C33" s="997"/>
      <c r="D33" s="549">
        <f>IFERROR(VLOOKUP($R12,疾患別＿65歳以上＿寛解・院内寛解[#All],2,FALSE),0)+IFERROR(VLOOKUP($R13,疾患別＿65歳以上＿寛解・院内寛解[#All],2,FALSE),0)</f>
        <v>146</v>
      </c>
      <c r="E33" s="539">
        <f t="shared" si="4"/>
        <v>0.18159203980099503</v>
      </c>
      <c r="F33" s="540"/>
      <c r="G33" s="538">
        <f>'２-Ⅲ'!J11</f>
        <v>302</v>
      </c>
      <c r="H33" s="539">
        <f t="shared" si="5"/>
        <v>0.18181818181818182</v>
      </c>
      <c r="I33" s="738"/>
      <c r="J33" s="738"/>
      <c r="K33" s="738"/>
    </row>
    <row r="34" spans="1:17" ht="18.75" customHeight="1" x14ac:dyDescent="0.2">
      <c r="A34" s="98"/>
      <c r="B34" s="1000" t="s">
        <v>235</v>
      </c>
      <c r="C34" s="1001"/>
      <c r="D34" s="549">
        <f>IFERROR(VLOOKUP($R14,疾患別＿65歳以上＿寛解・院内寛解[#All],2,FALSE),0)</f>
        <v>11</v>
      </c>
      <c r="E34" s="539">
        <f t="shared" si="4"/>
        <v>1.3681592039800995E-2</v>
      </c>
      <c r="F34" s="540"/>
      <c r="G34" s="538">
        <f>'２-Ⅲ'!J12</f>
        <v>50</v>
      </c>
      <c r="H34" s="539">
        <f t="shared" si="5"/>
        <v>3.0102347983142687E-2</v>
      </c>
      <c r="I34" s="738"/>
      <c r="J34" s="738"/>
      <c r="K34" s="738"/>
      <c r="P34" s="9"/>
      <c r="Q34" s="9"/>
    </row>
    <row r="35" spans="1:17" ht="18.75" customHeight="1" x14ac:dyDescent="0.2">
      <c r="A35" s="98"/>
      <c r="B35" s="996" t="s">
        <v>236</v>
      </c>
      <c r="C35" s="997"/>
      <c r="D35" s="549">
        <f>IFERROR(VLOOKUP($R15,疾患別＿65歳以上＿寛解・院内寛解[#All],2,FALSE),0)</f>
        <v>0</v>
      </c>
      <c r="E35" s="539">
        <f t="shared" si="4"/>
        <v>0</v>
      </c>
      <c r="F35" s="540"/>
      <c r="G35" s="538">
        <f>'２-Ⅲ'!J13</f>
        <v>6</v>
      </c>
      <c r="H35" s="539">
        <f t="shared" si="5"/>
        <v>3.6122817579771222E-3</v>
      </c>
      <c r="I35" s="738"/>
      <c r="J35" s="738"/>
      <c r="K35" s="738"/>
      <c r="P35" s="9"/>
      <c r="Q35" s="9"/>
    </row>
    <row r="36" spans="1:17" ht="18.75" customHeight="1" x14ac:dyDescent="0.2">
      <c r="A36" s="98"/>
      <c r="B36" s="996" t="s">
        <v>241</v>
      </c>
      <c r="C36" s="997"/>
      <c r="D36" s="549">
        <f>IFERROR(VLOOKUP($R16,疾患別＿65歳以上＿寛解・院内寛解[#All],2,FALSE),0)</f>
        <v>2</v>
      </c>
      <c r="E36" s="539">
        <f t="shared" si="4"/>
        <v>2.4875621890547263E-3</v>
      </c>
      <c r="F36" s="540"/>
      <c r="G36" s="538">
        <f>'２-Ⅲ'!J14</f>
        <v>14</v>
      </c>
      <c r="H36" s="539">
        <f t="shared" si="5"/>
        <v>8.4286574352799518E-3</v>
      </c>
      <c r="I36" s="738"/>
      <c r="J36" s="738"/>
      <c r="K36" s="738"/>
      <c r="P36" s="9"/>
      <c r="Q36" s="9"/>
    </row>
    <row r="37" spans="1:17" ht="18.75" customHeight="1" x14ac:dyDescent="0.2">
      <c r="A37" s="98"/>
      <c r="B37" s="996" t="s">
        <v>237</v>
      </c>
      <c r="C37" s="997"/>
      <c r="D37" s="549">
        <f>IFERROR(VLOOKUP($R17,疾患別＿65歳以上＿寛解・院内寛解[#All],2,FALSE),0)</f>
        <v>3</v>
      </c>
      <c r="E37" s="539">
        <f t="shared" si="4"/>
        <v>3.7313432835820895E-3</v>
      </c>
      <c r="F37" s="540"/>
      <c r="G37" s="538">
        <f>'２-Ⅲ'!J15</f>
        <v>27</v>
      </c>
      <c r="H37" s="539">
        <f t="shared" si="5"/>
        <v>1.6255267910897049E-2</v>
      </c>
      <c r="I37" s="738"/>
      <c r="J37" s="738"/>
      <c r="K37" s="738"/>
      <c r="P37" s="9"/>
      <c r="Q37" s="9"/>
    </row>
    <row r="38" spans="1:17" ht="18.75" customHeight="1" x14ac:dyDescent="0.2">
      <c r="A38" s="98"/>
      <c r="B38" s="996" t="s">
        <v>23</v>
      </c>
      <c r="C38" s="997"/>
      <c r="D38" s="549">
        <f>IFERROR(VLOOKUP($R18,疾患別＿65歳以上＿寛解・院内寛解[#All],2,FALSE),0)</f>
        <v>0</v>
      </c>
      <c r="E38" s="539">
        <f t="shared" si="4"/>
        <v>0</v>
      </c>
      <c r="F38" s="540"/>
      <c r="G38" s="538">
        <f>'２-Ⅲ'!J16</f>
        <v>26</v>
      </c>
      <c r="H38" s="539">
        <f t="shared" si="5"/>
        <v>1.5653220951234198E-2</v>
      </c>
      <c r="I38" s="738"/>
      <c r="J38" s="738"/>
      <c r="K38" s="738"/>
      <c r="P38" s="9"/>
      <c r="Q38" s="9"/>
    </row>
    <row r="39" spans="1:17" ht="37.5" customHeight="1" x14ac:dyDescent="0.2">
      <c r="A39" s="98"/>
      <c r="B39" s="996" t="s">
        <v>242</v>
      </c>
      <c r="C39" s="997"/>
      <c r="D39" s="549">
        <f>IFERROR(VLOOKUP($R19,疾患別＿65歳以上＿寛解・院内寛解[#All],2,FALSE),0)</f>
        <v>2</v>
      </c>
      <c r="E39" s="539">
        <f t="shared" si="4"/>
        <v>2.4875621890547263E-3</v>
      </c>
      <c r="F39" s="540"/>
      <c r="G39" s="538">
        <f>'２-Ⅲ'!J17</f>
        <v>7</v>
      </c>
      <c r="H39" s="539">
        <f t="shared" si="5"/>
        <v>4.2143287176399759E-3</v>
      </c>
      <c r="I39" s="738"/>
      <c r="J39" s="738"/>
      <c r="K39" s="738"/>
      <c r="P39" s="9"/>
      <c r="Q39" s="9"/>
    </row>
    <row r="40" spans="1:17" ht="18.75" customHeight="1" x14ac:dyDescent="0.2">
      <c r="A40" s="98"/>
      <c r="B40" s="996" t="s">
        <v>66</v>
      </c>
      <c r="C40" s="997"/>
      <c r="D40" s="549">
        <f>IFERROR(VLOOKUP($R20,疾患別＿65歳以上＿寛解・院内寛解[#All],2,FALSE),0)</f>
        <v>1</v>
      </c>
      <c r="E40" s="539">
        <f t="shared" si="4"/>
        <v>1.2437810945273632E-3</v>
      </c>
      <c r="F40" s="540"/>
      <c r="G40" s="538">
        <f>'２-Ⅲ'!J18</f>
        <v>1</v>
      </c>
      <c r="H40" s="539">
        <f t="shared" si="5"/>
        <v>6.020469596628537E-4</v>
      </c>
      <c r="I40" s="738"/>
      <c r="J40" s="738"/>
      <c r="K40" s="738"/>
      <c r="P40" s="9"/>
      <c r="Q40" s="9"/>
    </row>
    <row r="41" spans="1:17" ht="18.75" customHeight="1" x14ac:dyDescent="0.2">
      <c r="A41" s="98"/>
      <c r="B41" s="1005" t="s">
        <v>18</v>
      </c>
      <c r="C41" s="1006"/>
      <c r="D41" s="549">
        <f>IFERROR(VLOOKUP($R21,疾患別＿65歳以上＿寛解・院内寛解[#All],2,FALSE),0)</f>
        <v>7</v>
      </c>
      <c r="E41" s="539">
        <f t="shared" si="4"/>
        <v>8.7064676616915426E-3</v>
      </c>
      <c r="F41" s="540"/>
      <c r="G41" s="538">
        <f>'２-Ⅲ'!J19</f>
        <v>14</v>
      </c>
      <c r="H41" s="539">
        <f t="shared" si="5"/>
        <v>8.4286574352799518E-3</v>
      </c>
      <c r="I41" s="738"/>
      <c r="J41" s="738"/>
      <c r="K41" s="738"/>
      <c r="P41" s="9"/>
      <c r="Q41" s="9"/>
    </row>
    <row r="42" spans="1:17" s="349" customFormat="1" ht="18.75" customHeight="1" x14ac:dyDescent="0.2">
      <c r="A42" s="98"/>
      <c r="B42" s="1005" t="s">
        <v>351</v>
      </c>
      <c r="C42" s="1006"/>
      <c r="D42" s="538">
        <f>IFERROR(VLOOKUP($R22,疾患別＿65歳以上＿寛解・院内寛解[#All],2,FALSE),0)</f>
        <v>0</v>
      </c>
      <c r="E42" s="539">
        <f t="shared" ref="E42" si="6">IFERROR(D42/D$22,"-")</f>
        <v>0</v>
      </c>
      <c r="F42" s="540"/>
      <c r="G42" s="538">
        <f>'２-Ⅲ'!J20</f>
        <v>0</v>
      </c>
      <c r="H42" s="539">
        <f t="shared" ref="H42" si="7">IFERROR(G42/G$22,"-")</f>
        <v>0</v>
      </c>
      <c r="I42" s="738"/>
      <c r="J42" s="738"/>
      <c r="K42" s="738"/>
      <c r="L42" s="350"/>
      <c r="P42" s="351"/>
      <c r="Q42" s="351"/>
    </row>
    <row r="43" spans="1:17" ht="18.75" customHeight="1" x14ac:dyDescent="0.2">
      <c r="B43" s="1007" t="s">
        <v>148</v>
      </c>
      <c r="C43" s="1007"/>
      <c r="D43" s="541">
        <f>SUM(D28:D42)</f>
        <v>804</v>
      </c>
      <c r="E43" s="521">
        <f>SUM(E28:E41)</f>
        <v>1</v>
      </c>
      <c r="F43" s="542"/>
      <c r="G43" s="541">
        <f>SUM(G28:G42)</f>
        <v>1661</v>
      </c>
      <c r="H43" s="521">
        <f>IFERROR(G43/$G$43,0)</f>
        <v>1</v>
      </c>
      <c r="I43" s="739"/>
      <c r="J43" s="739"/>
      <c r="K43" s="739"/>
      <c r="P43" s="9"/>
      <c r="Q43" s="9"/>
    </row>
    <row r="45" spans="1:17" x14ac:dyDescent="0.2">
      <c r="C45" s="676"/>
      <c r="D45" s="676"/>
    </row>
  </sheetData>
  <mergeCells count="32">
    <mergeCell ref="G4:H4"/>
    <mergeCell ref="G25:H25"/>
    <mergeCell ref="B39:C39"/>
    <mergeCell ref="B40:C40"/>
    <mergeCell ref="B41:C41"/>
    <mergeCell ref="B32:C32"/>
    <mergeCell ref="B14:C14"/>
    <mergeCell ref="B15:C15"/>
    <mergeCell ref="B16:C16"/>
    <mergeCell ref="B17:C17"/>
    <mergeCell ref="B18:C18"/>
    <mergeCell ref="B19:C19"/>
    <mergeCell ref="B20:C20"/>
    <mergeCell ref="B22:C22"/>
    <mergeCell ref="B26:C26"/>
    <mergeCell ref="B27:C27"/>
    <mergeCell ref="B43:C43"/>
    <mergeCell ref="B33:C33"/>
    <mergeCell ref="B34:C34"/>
    <mergeCell ref="B35:C35"/>
    <mergeCell ref="B36:C36"/>
    <mergeCell ref="B37:C37"/>
    <mergeCell ref="B38:C38"/>
    <mergeCell ref="B42:C42"/>
    <mergeCell ref="B31:C31"/>
    <mergeCell ref="B13:C13"/>
    <mergeCell ref="B5:C5"/>
    <mergeCell ref="B6:C6"/>
    <mergeCell ref="B10:C10"/>
    <mergeCell ref="B11:C11"/>
    <mergeCell ref="B12:C12"/>
    <mergeCell ref="B21:C21"/>
  </mergeCells>
  <phoneticPr fontId="2"/>
  <printOptions horizontalCentered="1"/>
  <pageMargins left="0.70866141732283472" right="0.70866141732283472" top="1.1417322834645669" bottom="0.74803149606299213" header="0.70866141732283472"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データ削除_疾患別_65歳以上">
                <anchor moveWithCells="1" sizeWithCells="1">
                  <from>
                    <xdr:col>8</xdr:col>
                    <xdr:colOff>175260</xdr:colOff>
                    <xdr:row>0</xdr:row>
                    <xdr:rowOff>213360</xdr:rowOff>
                  </from>
                  <to>
                    <xdr:col>9</xdr:col>
                    <xdr:colOff>655320</xdr:colOff>
                    <xdr:row>2</xdr:row>
                    <xdr:rowOff>190500</xdr:rowOff>
                  </to>
                </anchor>
              </controlPr>
            </control>
          </mc:Choice>
        </mc:AlternateContent>
      </controls>
    </mc:Choice>
  </mc:AlternateContent>
  <tableParts count="2">
    <tablePart r:id="rId5"/>
    <tablePart r:id="rId6"/>
  </tablePar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FFC000"/>
    <pageSetUpPr fitToPage="1"/>
  </sheetPr>
  <dimension ref="A1:U31"/>
  <sheetViews>
    <sheetView showGridLines="0" view="pageBreakPreview" zoomScale="80" zoomScaleNormal="100" zoomScaleSheetLayoutView="80" workbookViewId="0"/>
  </sheetViews>
  <sheetFormatPr defaultColWidth="9" defaultRowHeight="17.399999999999999" x14ac:dyDescent="0.2"/>
  <cols>
    <col min="1" max="1" width="23.77734375" style="1" customWidth="1"/>
    <col min="2" max="2" width="9.33203125" style="1" customWidth="1"/>
    <col min="3" max="3" width="10.5546875" style="1" bestFit="1" customWidth="1"/>
    <col min="4" max="4" width="9.33203125" style="1" customWidth="1"/>
    <col min="5" max="5" width="10.5546875" style="29" bestFit="1" customWidth="1"/>
    <col min="6" max="6" width="0.6640625" style="1" customWidth="1"/>
    <col min="7" max="7" width="9.33203125" style="1" customWidth="1"/>
    <col min="8" max="8" width="10.5546875" style="1" bestFit="1" customWidth="1"/>
    <col min="9" max="11" width="10.5546875" style="676" hidden="1" customWidth="1"/>
    <col min="12" max="12" width="0" style="1" hidden="1" customWidth="1"/>
    <col min="13" max="13" width="13.6640625" style="1" hidden="1" customWidth="1"/>
    <col min="14" max="14" width="22.21875" style="1" hidden="1" customWidth="1"/>
    <col min="15" max="16" width="13.6640625" style="1" hidden="1" customWidth="1"/>
    <col min="17" max="17" width="22.21875" style="1" hidden="1" customWidth="1"/>
    <col min="18" max="18" width="9" style="1" hidden="1" customWidth="1"/>
    <col min="19" max="19" width="9" style="1" customWidth="1"/>
    <col min="20" max="21" width="9" style="1" hidden="1" customWidth="1"/>
    <col min="22" max="22" width="0" style="1" hidden="1" customWidth="1"/>
    <col min="23" max="16384" width="9" style="1"/>
  </cols>
  <sheetData>
    <row r="1" spans="1:20" ht="19.2" x14ac:dyDescent="0.2">
      <c r="A1" s="2" t="s">
        <v>194</v>
      </c>
    </row>
    <row r="3" spans="1:20" ht="18.75" customHeight="1" x14ac:dyDescent="0.2">
      <c r="A3" s="1014"/>
      <c r="B3" s="1009" t="s">
        <v>101</v>
      </c>
      <c r="C3" s="1010"/>
      <c r="D3" s="1010"/>
      <c r="E3" s="1011"/>
      <c r="F3" s="550"/>
      <c r="G3" s="1015" t="s">
        <v>97</v>
      </c>
      <c r="H3" s="1016"/>
      <c r="I3" s="736"/>
      <c r="J3" s="736"/>
      <c r="K3" s="736"/>
      <c r="M3" s="678" t="s">
        <v>62</v>
      </c>
    </row>
    <row r="4" spans="1:20" ht="18.75" customHeight="1" thickBot="1" x14ac:dyDescent="0.25">
      <c r="A4" s="1014"/>
      <c r="B4" s="1009"/>
      <c r="C4" s="1011"/>
      <c r="D4" s="1012" t="s">
        <v>96</v>
      </c>
      <c r="E4" s="1013"/>
      <c r="F4" s="550"/>
      <c r="G4" s="1017"/>
      <c r="H4" s="1018"/>
      <c r="I4" s="736"/>
      <c r="J4" s="736"/>
      <c r="K4" s="736"/>
      <c r="M4" s="679" t="s">
        <v>277</v>
      </c>
      <c r="N4" s="680" t="s">
        <v>259</v>
      </c>
      <c r="O4" s="3"/>
      <c r="P4" s="679" t="s">
        <v>277</v>
      </c>
      <c r="Q4" s="725" t="s">
        <v>283</v>
      </c>
    </row>
    <row r="5" spans="1:20" ht="18.75" customHeight="1" thickTop="1" thickBot="1" x14ac:dyDescent="0.25">
      <c r="A5" s="1014"/>
      <c r="B5" s="551" t="s">
        <v>0</v>
      </c>
      <c r="C5" s="552" t="s">
        <v>1</v>
      </c>
      <c r="D5" s="551" t="s">
        <v>0</v>
      </c>
      <c r="E5" s="552" t="s">
        <v>1</v>
      </c>
      <c r="F5" s="550"/>
      <c r="G5" s="551" t="s">
        <v>0</v>
      </c>
      <c r="H5" s="552" t="s">
        <v>1</v>
      </c>
      <c r="I5" s="736"/>
      <c r="J5" s="736"/>
      <c r="K5" s="736"/>
      <c r="M5" s="264" t="s">
        <v>655</v>
      </c>
      <c r="N5" s="740" t="s">
        <v>674</v>
      </c>
      <c r="P5" s="803" t="s">
        <v>655</v>
      </c>
      <c r="Q5" s="82" t="s">
        <v>674</v>
      </c>
    </row>
    <row r="6" spans="1:20" ht="18.75" customHeight="1" thickTop="1" x14ac:dyDescent="0.2">
      <c r="A6" s="221" t="s">
        <v>59</v>
      </c>
      <c r="B6" s="553">
        <f>IFERROR(VLOOKUP($T6,在院期間＿65歳以上[#All],2,FALSE),0)</f>
        <v>814</v>
      </c>
      <c r="C6" s="554">
        <f>IFERROR(B6/B$22,"-")</f>
        <v>9.558478158759981E-2</v>
      </c>
      <c r="D6" s="555">
        <f>IFERROR(VLOOKUP($T6,在院期間＿65歳以上＿寛解・院内寛解[#All],2,FALSE),0)</f>
        <v>118</v>
      </c>
      <c r="E6" s="556">
        <f>IFERROR(D6/D$22,"-")</f>
        <v>0.14676616915422885</v>
      </c>
      <c r="F6" s="145"/>
      <c r="G6" s="557">
        <f>'２-Ⅳ'!B5</f>
        <v>1744</v>
      </c>
      <c r="H6" s="558">
        <f>IFERROR(G6/G$22,"-")</f>
        <v>0.12450917398443635</v>
      </c>
      <c r="I6" s="742"/>
      <c r="J6" s="742"/>
      <c r="K6" s="742"/>
      <c r="M6" s="30" t="s">
        <v>170</v>
      </c>
      <c r="N6" s="240">
        <v>814</v>
      </c>
      <c r="P6" s="30" t="s">
        <v>170</v>
      </c>
      <c r="Q6" s="46">
        <v>118</v>
      </c>
      <c r="T6" s="244" t="s">
        <v>170</v>
      </c>
    </row>
    <row r="7" spans="1:20" ht="18.75" customHeight="1" x14ac:dyDescent="0.2">
      <c r="A7" s="221" t="s">
        <v>195</v>
      </c>
      <c r="B7" s="553">
        <f>IFERROR(VLOOKUP($T7,在院期間＿65歳以上[#All],2,FALSE),0)</f>
        <v>1175</v>
      </c>
      <c r="C7" s="554">
        <f t="shared" ref="C7:C26" si="0">IFERROR(B7/B$22,"-")</f>
        <v>0.13797557538750588</v>
      </c>
      <c r="D7" s="555">
        <f>IFERROR(VLOOKUP($T7,在院期間＿65歳以上＿寛解・院内寛解[#All],2,FALSE),0)</f>
        <v>170</v>
      </c>
      <c r="E7" s="556">
        <f t="shared" ref="E7:E21" si="1">IFERROR(D7/D$22,"-")</f>
        <v>0.21144278606965175</v>
      </c>
      <c r="F7" s="145"/>
      <c r="G7" s="557">
        <f>'２-Ⅳ'!B6</f>
        <v>2198</v>
      </c>
      <c r="H7" s="558">
        <f t="shared" ref="H7:H26" si="2">IFERROR(G7/G$22,"-")</f>
        <v>0.15692153923038482</v>
      </c>
      <c r="I7" s="742"/>
      <c r="J7" s="742"/>
      <c r="K7" s="742"/>
      <c r="M7" s="30" t="s">
        <v>171</v>
      </c>
      <c r="N7" s="741">
        <v>1175</v>
      </c>
      <c r="P7" s="30" t="s">
        <v>171</v>
      </c>
      <c r="Q7" s="240">
        <v>170</v>
      </c>
      <c r="T7" s="244" t="s">
        <v>171</v>
      </c>
    </row>
    <row r="8" spans="1:20" ht="18.75" customHeight="1" x14ac:dyDescent="0.2">
      <c r="A8" s="221" t="s">
        <v>196</v>
      </c>
      <c r="B8" s="553">
        <f>IFERROR(VLOOKUP($T8,在院期間＿65歳以上[#All],2,FALSE),0)</f>
        <v>786</v>
      </c>
      <c r="C8" s="554">
        <f t="shared" si="0"/>
        <v>9.2296852982620955E-2</v>
      </c>
      <c r="D8" s="555">
        <f>IFERROR(VLOOKUP($T8,在院期間＿65歳以上＿寛解・院内寛解[#All],2,FALSE),0)</f>
        <v>98</v>
      </c>
      <c r="E8" s="556">
        <f t="shared" si="1"/>
        <v>0.12189054726368159</v>
      </c>
      <c r="F8" s="145"/>
      <c r="G8" s="557">
        <f>'２-Ⅳ'!B7</f>
        <v>1214</v>
      </c>
      <c r="H8" s="558">
        <f t="shared" si="2"/>
        <v>8.6670950239166128E-2</v>
      </c>
      <c r="I8" s="742"/>
      <c r="J8" s="742"/>
      <c r="K8" s="742"/>
      <c r="M8" s="30" t="s">
        <v>172</v>
      </c>
      <c r="N8" s="240">
        <v>786</v>
      </c>
      <c r="P8" s="30" t="s">
        <v>172</v>
      </c>
      <c r="Q8" s="240">
        <v>98</v>
      </c>
      <c r="T8" s="245" t="s">
        <v>172</v>
      </c>
    </row>
    <row r="9" spans="1:20" ht="18.75" customHeight="1" x14ac:dyDescent="0.2">
      <c r="A9" s="221" t="s">
        <v>197</v>
      </c>
      <c r="B9" s="553">
        <f>IFERROR(VLOOKUP($T9,在院期間＿65歳以上[#All],2,FALSE),0)</f>
        <v>976</v>
      </c>
      <c r="C9" s="554">
        <f t="shared" si="0"/>
        <v>0.11460779708783467</v>
      </c>
      <c r="D9" s="555">
        <f>IFERROR(VLOOKUP($T9,在院期間＿65歳以上＿寛解・院内寛解[#All],2,FALSE),0)</f>
        <v>91</v>
      </c>
      <c r="E9" s="556">
        <f t="shared" si="1"/>
        <v>0.11318407960199005</v>
      </c>
      <c r="F9" s="145"/>
      <c r="G9" s="557">
        <f>'２-Ⅳ'!B8</f>
        <v>1418</v>
      </c>
      <c r="H9" s="558">
        <f t="shared" si="2"/>
        <v>0.10123509673734561</v>
      </c>
      <c r="I9" s="742"/>
      <c r="J9" s="742"/>
      <c r="K9" s="742"/>
      <c r="M9" s="30" t="s">
        <v>173</v>
      </c>
      <c r="N9" s="741">
        <v>976</v>
      </c>
      <c r="P9" s="30" t="s">
        <v>173</v>
      </c>
      <c r="Q9" s="240">
        <v>91</v>
      </c>
      <c r="T9" s="244" t="s">
        <v>173</v>
      </c>
    </row>
    <row r="10" spans="1:20" ht="18.75" customHeight="1" x14ac:dyDescent="0.2">
      <c r="A10" s="221" t="s">
        <v>198</v>
      </c>
      <c r="B10" s="553">
        <f>IFERROR(VLOOKUP($T10,在院期間＿65歳以上[#All],2,FALSE),0)</f>
        <v>623</v>
      </c>
      <c r="C10" s="554">
        <f t="shared" si="0"/>
        <v>7.3156411460779711E-2</v>
      </c>
      <c r="D10" s="555">
        <f>IFERROR(VLOOKUP($T10,在院期間＿65歳以上＿寛解・院内寛解[#All],2,FALSE),0)</f>
        <v>39</v>
      </c>
      <c r="E10" s="556">
        <f t="shared" si="1"/>
        <v>4.8507462686567165E-2</v>
      </c>
      <c r="F10" s="145"/>
      <c r="G10" s="557">
        <f>'２-Ⅳ'!B9</f>
        <v>875</v>
      </c>
      <c r="H10" s="558">
        <f t="shared" si="2"/>
        <v>6.2468765617191405E-2</v>
      </c>
      <c r="I10" s="742"/>
      <c r="J10" s="742"/>
      <c r="K10" s="742"/>
      <c r="M10" s="30" t="s">
        <v>174</v>
      </c>
      <c r="N10" s="240">
        <v>623</v>
      </c>
      <c r="P10" s="30" t="s">
        <v>174</v>
      </c>
      <c r="Q10" s="240">
        <v>39</v>
      </c>
      <c r="T10" s="245" t="s">
        <v>174</v>
      </c>
    </row>
    <row r="11" spans="1:20" ht="18.75" customHeight="1" x14ac:dyDescent="0.2">
      <c r="A11" s="221" t="s">
        <v>199</v>
      </c>
      <c r="B11" s="553">
        <f>IFERROR(VLOOKUP($T11,在院期間＿65歳以上[#All],2,FALSE),0)</f>
        <v>467</v>
      </c>
      <c r="C11" s="554">
        <f t="shared" si="0"/>
        <v>5.4837952090183183E-2</v>
      </c>
      <c r="D11" s="555">
        <f>IFERROR(VLOOKUP($T11,在院期間＿65歳以上＿寛解・院内寛解[#All],2,FALSE),0)</f>
        <v>29</v>
      </c>
      <c r="E11" s="556">
        <f t="shared" si="1"/>
        <v>3.6069651741293535E-2</v>
      </c>
      <c r="F11" s="145"/>
      <c r="G11" s="557">
        <f>'２-Ⅳ'!B10</f>
        <v>669</v>
      </c>
      <c r="H11" s="558">
        <f t="shared" si="2"/>
        <v>4.7761833369029769E-2</v>
      </c>
      <c r="I11" s="742"/>
      <c r="J11" s="742"/>
      <c r="K11" s="742"/>
      <c r="M11" s="30" t="s">
        <v>175</v>
      </c>
      <c r="N11" s="240">
        <v>467</v>
      </c>
      <c r="P11" s="30" t="s">
        <v>175</v>
      </c>
      <c r="Q11" s="240">
        <v>29</v>
      </c>
      <c r="T11" s="244" t="s">
        <v>175</v>
      </c>
    </row>
    <row r="12" spans="1:20" ht="18.75" customHeight="1" x14ac:dyDescent="0.2">
      <c r="A12" s="221" t="s">
        <v>200</v>
      </c>
      <c r="B12" s="553">
        <f>IFERROR(VLOOKUP($T12,在院期間＿65歳以上[#All],2,FALSE),0)</f>
        <v>707</v>
      </c>
      <c r="C12" s="554">
        <f t="shared" si="0"/>
        <v>8.3020197275716301E-2</v>
      </c>
      <c r="D12" s="555">
        <f>IFERROR(VLOOKUP($T12,在院期間＿65歳以上＿寛解・院内寛解[#All],2,FALSE),0)</f>
        <v>52</v>
      </c>
      <c r="E12" s="556">
        <f t="shared" si="1"/>
        <v>6.4676616915422883E-2</v>
      </c>
      <c r="F12" s="145"/>
      <c r="G12" s="557">
        <f>'２-Ⅳ'!B11</f>
        <v>1021</v>
      </c>
      <c r="H12" s="558">
        <f t="shared" si="2"/>
        <v>7.2892125365888488E-2</v>
      </c>
      <c r="I12" s="742"/>
      <c r="J12" s="742"/>
      <c r="K12" s="742"/>
      <c r="M12" s="30" t="s">
        <v>176</v>
      </c>
      <c r="N12" s="240">
        <v>707</v>
      </c>
      <c r="P12" s="30" t="s">
        <v>176</v>
      </c>
      <c r="Q12" s="240">
        <v>52</v>
      </c>
      <c r="T12" s="245" t="s">
        <v>176</v>
      </c>
    </row>
    <row r="13" spans="1:20" ht="18.75" customHeight="1" x14ac:dyDescent="0.2">
      <c r="A13" s="221" t="s">
        <v>201</v>
      </c>
      <c r="B13" s="553">
        <f>IFERROR(VLOOKUP($T13,在院期間＿65歳以上[#All],2,FALSE),0)</f>
        <v>464</v>
      </c>
      <c r="C13" s="554">
        <f t="shared" si="0"/>
        <v>5.4485674025364021E-2</v>
      </c>
      <c r="D13" s="555">
        <f>IFERROR(VLOOKUP($T13,在院期間＿65歳以上＿寛解・院内寛解[#All],2,FALSE),0)</f>
        <v>42</v>
      </c>
      <c r="E13" s="556">
        <f t="shared" si="1"/>
        <v>5.2238805970149252E-2</v>
      </c>
      <c r="F13" s="145"/>
      <c r="G13" s="557">
        <f>'２-Ⅳ'!B12</f>
        <v>672</v>
      </c>
      <c r="H13" s="558">
        <f t="shared" si="2"/>
        <v>4.7976011994002997E-2</v>
      </c>
      <c r="I13" s="742"/>
      <c r="J13" s="742"/>
      <c r="K13" s="742"/>
      <c r="M13" s="30" t="s">
        <v>177</v>
      </c>
      <c r="N13" s="240">
        <v>464</v>
      </c>
      <c r="P13" s="30" t="s">
        <v>177</v>
      </c>
      <c r="Q13" s="240">
        <v>42</v>
      </c>
      <c r="T13" s="244" t="s">
        <v>177</v>
      </c>
    </row>
    <row r="14" spans="1:20" ht="18.75" customHeight="1" x14ac:dyDescent="0.2">
      <c r="A14" s="221" t="s">
        <v>202</v>
      </c>
      <c r="B14" s="553">
        <f>IFERROR(VLOOKUP($T14,在院期間＿65歳以上[#All],2,FALSE),0)</f>
        <v>376</v>
      </c>
      <c r="C14" s="554">
        <f t="shared" si="0"/>
        <v>4.4152184124001882E-2</v>
      </c>
      <c r="D14" s="555">
        <f>IFERROR(VLOOKUP($T14,在院期間＿65歳以上＿寛解・院内寛解[#All],2,FALSE),0)</f>
        <v>23</v>
      </c>
      <c r="E14" s="556">
        <f t="shared" si="1"/>
        <v>2.8606965174129355E-2</v>
      </c>
      <c r="F14" s="145"/>
      <c r="G14" s="557">
        <f>'２-Ⅳ'!B13</f>
        <v>546</v>
      </c>
      <c r="H14" s="558">
        <f t="shared" si="2"/>
        <v>3.8980509745127435E-2</v>
      </c>
      <c r="I14" s="742"/>
      <c r="J14" s="742"/>
      <c r="K14" s="742"/>
      <c r="M14" s="30" t="s">
        <v>178</v>
      </c>
      <c r="N14" s="240">
        <v>376</v>
      </c>
      <c r="P14" s="30" t="s">
        <v>178</v>
      </c>
      <c r="Q14" s="240">
        <v>23</v>
      </c>
      <c r="T14" s="245" t="s">
        <v>178</v>
      </c>
    </row>
    <row r="15" spans="1:20" ht="18.75" customHeight="1" x14ac:dyDescent="0.2">
      <c r="A15" s="221" t="s">
        <v>203</v>
      </c>
      <c r="B15" s="553">
        <f>IFERROR(VLOOKUP($T15,在院期間＿65歳以上[#All],2,FALSE),0)</f>
        <v>320</v>
      </c>
      <c r="C15" s="554">
        <f t="shared" si="0"/>
        <v>3.7576326914044153E-2</v>
      </c>
      <c r="D15" s="555">
        <f>IFERROR(VLOOKUP($T15,在院期間＿65歳以上＿寛解・院内寛解[#All],2,FALSE),0)</f>
        <v>13</v>
      </c>
      <c r="E15" s="556">
        <f t="shared" si="1"/>
        <v>1.6169154228855721E-2</v>
      </c>
      <c r="F15" s="145"/>
      <c r="G15" s="557">
        <f>'２-Ⅳ'!B14</f>
        <v>505</v>
      </c>
      <c r="H15" s="558">
        <f t="shared" si="2"/>
        <v>3.6053401870493322E-2</v>
      </c>
      <c r="I15" s="742"/>
      <c r="J15" s="742"/>
      <c r="K15" s="742"/>
      <c r="M15" s="30" t="s">
        <v>179</v>
      </c>
      <c r="N15" s="240">
        <v>320</v>
      </c>
      <c r="P15" s="30" t="s">
        <v>179</v>
      </c>
      <c r="Q15" s="240">
        <v>13</v>
      </c>
      <c r="T15" s="244" t="s">
        <v>179</v>
      </c>
    </row>
    <row r="16" spans="1:20" ht="18.75" customHeight="1" x14ac:dyDescent="0.2">
      <c r="A16" s="221" t="s">
        <v>204</v>
      </c>
      <c r="B16" s="553">
        <f>IFERROR(VLOOKUP($T16,在院期間＿65歳以上[#All],2,FALSE),0)</f>
        <v>240</v>
      </c>
      <c r="C16" s="554">
        <f t="shared" si="0"/>
        <v>2.8182245185533115E-2</v>
      </c>
      <c r="D16" s="555">
        <f>IFERROR(VLOOKUP($T16,在院期間＿65歳以上＿寛解・院内寛解[#All],2,FALSE),0)</f>
        <v>19</v>
      </c>
      <c r="E16" s="556">
        <f t="shared" si="1"/>
        <v>2.36318407960199E-2</v>
      </c>
      <c r="F16" s="145"/>
      <c r="G16" s="557">
        <f>'２-Ⅳ'!B15</f>
        <v>392</v>
      </c>
      <c r="H16" s="558">
        <f t="shared" si="2"/>
        <v>2.798600699650175E-2</v>
      </c>
      <c r="I16" s="742"/>
      <c r="J16" s="742"/>
      <c r="K16" s="742"/>
      <c r="M16" s="30" t="s">
        <v>180</v>
      </c>
      <c r="N16" s="240">
        <v>240</v>
      </c>
      <c r="P16" s="30" t="s">
        <v>180</v>
      </c>
      <c r="Q16" s="240">
        <v>19</v>
      </c>
      <c r="T16" s="245" t="s">
        <v>180</v>
      </c>
    </row>
    <row r="17" spans="1:20" ht="18.75" customHeight="1" x14ac:dyDescent="0.2">
      <c r="A17" s="221" t="s">
        <v>205</v>
      </c>
      <c r="B17" s="553">
        <f>IFERROR(VLOOKUP($T17,在院期間＿65歳以上[#All],2,FALSE),0)</f>
        <v>216</v>
      </c>
      <c r="C17" s="554">
        <f t="shared" si="0"/>
        <v>2.5364020666979802E-2</v>
      </c>
      <c r="D17" s="555">
        <f>IFERROR(VLOOKUP($T17,在院期間＿65歳以上＿寛解・院内寛解[#All],2,FALSE),0)</f>
        <v>16</v>
      </c>
      <c r="E17" s="556">
        <f t="shared" si="1"/>
        <v>1.9900497512437811E-2</v>
      </c>
      <c r="F17" s="145"/>
      <c r="G17" s="557">
        <f>'２-Ⅳ'!B16</f>
        <v>366</v>
      </c>
      <c r="H17" s="558">
        <f t="shared" si="2"/>
        <v>2.6129792246733775E-2</v>
      </c>
      <c r="I17" s="742"/>
      <c r="J17" s="742"/>
      <c r="K17" s="742"/>
      <c r="M17" s="30" t="s">
        <v>181</v>
      </c>
      <c r="N17" s="240">
        <v>216</v>
      </c>
      <c r="P17" s="30" t="s">
        <v>181</v>
      </c>
      <c r="Q17" s="240">
        <v>16</v>
      </c>
      <c r="T17" s="244" t="s">
        <v>181</v>
      </c>
    </row>
    <row r="18" spans="1:20" ht="18.75" customHeight="1" x14ac:dyDescent="0.2">
      <c r="A18" s="221" t="s">
        <v>206</v>
      </c>
      <c r="B18" s="553">
        <f>IFERROR(VLOOKUP($T18,在院期間＿65歳以上[#All],2,FALSE),0)</f>
        <v>156</v>
      </c>
      <c r="C18" s="554">
        <f t="shared" si="0"/>
        <v>1.8318459370596524E-2</v>
      </c>
      <c r="D18" s="555">
        <f>IFERROR(VLOOKUP($T18,在院期間＿65歳以上＿寛解・院内寛解[#All],2,FALSE),0)</f>
        <v>15</v>
      </c>
      <c r="E18" s="556">
        <f t="shared" si="1"/>
        <v>1.8656716417910446E-2</v>
      </c>
      <c r="F18" s="145"/>
      <c r="G18" s="557">
        <f>'２-Ⅳ'!B17</f>
        <v>271</v>
      </c>
      <c r="H18" s="558">
        <f t="shared" si="2"/>
        <v>1.9347469122581566E-2</v>
      </c>
      <c r="I18" s="742"/>
      <c r="J18" s="742"/>
      <c r="K18" s="742"/>
      <c r="M18" s="30" t="s">
        <v>182</v>
      </c>
      <c r="N18" s="240">
        <v>156</v>
      </c>
      <c r="P18" s="30" t="s">
        <v>182</v>
      </c>
      <c r="Q18" s="240">
        <v>15</v>
      </c>
      <c r="T18" s="245" t="s">
        <v>182</v>
      </c>
    </row>
    <row r="19" spans="1:20" ht="18.75" customHeight="1" x14ac:dyDescent="0.2">
      <c r="A19" s="221" t="s">
        <v>207</v>
      </c>
      <c r="B19" s="553">
        <f>IFERROR(VLOOKUP($T19,在院期間＿65歳以上[#All],2,FALSE),0)</f>
        <v>113</v>
      </c>
      <c r="C19" s="554">
        <f t="shared" si="0"/>
        <v>1.3269140441521842E-2</v>
      </c>
      <c r="D19" s="555">
        <f>IFERROR(VLOOKUP($T19,在院期間＿65歳以上＿寛解・院内寛解[#All],2,FALSE),0)</f>
        <v>7</v>
      </c>
      <c r="E19" s="556">
        <f t="shared" si="1"/>
        <v>8.7064676616915426E-3</v>
      </c>
      <c r="F19" s="145"/>
      <c r="G19" s="557">
        <f>'２-Ⅳ'!B18</f>
        <v>208</v>
      </c>
      <c r="H19" s="558">
        <f t="shared" si="2"/>
        <v>1.4849717998143785E-2</v>
      </c>
      <c r="I19" s="742"/>
      <c r="J19" s="742"/>
      <c r="K19" s="742"/>
      <c r="M19" s="30" t="s">
        <v>183</v>
      </c>
      <c r="N19" s="240">
        <v>113</v>
      </c>
      <c r="P19" s="30" t="s">
        <v>183</v>
      </c>
      <c r="Q19" s="240">
        <v>7</v>
      </c>
      <c r="T19" s="244" t="s">
        <v>183</v>
      </c>
    </row>
    <row r="20" spans="1:20" ht="18.75" customHeight="1" x14ac:dyDescent="0.2">
      <c r="A20" s="221" t="s">
        <v>208</v>
      </c>
      <c r="B20" s="553">
        <f>IFERROR(VLOOKUP($T20,在院期間＿65歳以上[#All],2,FALSE),0)</f>
        <v>626</v>
      </c>
      <c r="C20" s="554">
        <f t="shared" si="0"/>
        <v>7.3508689525598872E-2</v>
      </c>
      <c r="D20" s="555">
        <f>IFERROR(VLOOKUP($T20,在院期間＿65歳以上＿寛解・院内寛解[#All],2,FALSE),0)</f>
        <v>42</v>
      </c>
      <c r="E20" s="556">
        <f t="shared" si="1"/>
        <v>5.2238805970149252E-2</v>
      </c>
      <c r="F20" s="145"/>
      <c r="G20" s="557">
        <f>'２-Ⅳ'!B19</f>
        <v>1203</v>
      </c>
      <c r="H20" s="558">
        <f t="shared" si="2"/>
        <v>8.5885628614264298E-2</v>
      </c>
      <c r="I20" s="742"/>
      <c r="J20" s="742"/>
      <c r="K20" s="742"/>
      <c r="M20" s="30" t="s">
        <v>184</v>
      </c>
      <c r="N20" s="240">
        <v>626</v>
      </c>
      <c r="P20" s="30" t="s">
        <v>184</v>
      </c>
      <c r="Q20" s="240">
        <v>42</v>
      </c>
      <c r="T20" s="245" t="s">
        <v>184</v>
      </c>
    </row>
    <row r="21" spans="1:20" ht="18.75" customHeight="1" x14ac:dyDescent="0.2">
      <c r="A21" s="221" t="s">
        <v>60</v>
      </c>
      <c r="B21" s="553">
        <f>IFERROR(VLOOKUP($T21,在院期間＿65歳以上[#All],2,FALSE),0)</f>
        <v>457</v>
      </c>
      <c r="C21" s="559">
        <f t="shared" si="0"/>
        <v>5.3663691874119304E-2</v>
      </c>
      <c r="D21" s="555">
        <f>IFERROR(VLOOKUP($T21,在院期間＿65歳以上＿寛解・院内寛解[#All],2,FALSE),0)</f>
        <v>30</v>
      </c>
      <c r="E21" s="560">
        <f t="shared" si="1"/>
        <v>3.7313432835820892E-2</v>
      </c>
      <c r="F21" s="145"/>
      <c r="G21" s="557">
        <f>'２-Ⅳ'!B20</f>
        <v>705</v>
      </c>
      <c r="H21" s="561">
        <f t="shared" si="2"/>
        <v>5.0331976868708501E-2</v>
      </c>
      <c r="I21" s="743"/>
      <c r="J21" s="743"/>
      <c r="K21" s="743"/>
      <c r="L21" s="89"/>
      <c r="M21" s="30" t="s">
        <v>185</v>
      </c>
      <c r="N21" s="240">
        <v>457</v>
      </c>
      <c r="P21" s="30" t="s">
        <v>185</v>
      </c>
      <c r="Q21" s="240">
        <v>30</v>
      </c>
      <c r="T21" s="244" t="s">
        <v>185</v>
      </c>
    </row>
    <row r="22" spans="1:20" ht="18.75" customHeight="1" x14ac:dyDescent="0.2">
      <c r="A22" s="517" t="s">
        <v>148</v>
      </c>
      <c r="B22" s="562">
        <f>SUM(B6:B21)</f>
        <v>8516</v>
      </c>
      <c r="C22" s="563">
        <f t="shared" ref="C22:D22" si="3">SUM(C6:C21)</f>
        <v>1</v>
      </c>
      <c r="D22" s="562">
        <f t="shared" si="3"/>
        <v>804</v>
      </c>
      <c r="E22" s="564">
        <f t="shared" ref="E22" si="4">SUM(E6:E21)</f>
        <v>1</v>
      </c>
      <c r="F22" s="145"/>
      <c r="G22" s="565">
        <f>SUM(G6:G21)</f>
        <v>14007</v>
      </c>
      <c r="H22" s="566">
        <f t="shared" ref="H22" si="5">SUM(H6:H21)</f>
        <v>1.0000000000000002</v>
      </c>
      <c r="I22" s="744"/>
      <c r="J22" s="744"/>
      <c r="K22" s="744"/>
      <c r="L22" s="96"/>
    </row>
    <row r="23" spans="1:20" ht="18.75" customHeight="1" x14ac:dyDescent="0.2">
      <c r="A23" s="567" t="s">
        <v>55</v>
      </c>
      <c r="B23" s="568">
        <f>SUM(B6:B9)</f>
        <v>3751</v>
      </c>
      <c r="C23" s="569">
        <f t="shared" si="0"/>
        <v>0.4404650070455613</v>
      </c>
      <c r="D23" s="568">
        <f>SUM(D6:D9)</f>
        <v>477</v>
      </c>
      <c r="E23" s="569">
        <f>IFERROR(D23/D$22,"-")</f>
        <v>0.59328358208955223</v>
      </c>
      <c r="F23" s="570"/>
      <c r="G23" s="568">
        <f>SUM(G6:G9)</f>
        <v>6574</v>
      </c>
      <c r="H23" s="569">
        <f t="shared" si="2"/>
        <v>0.46933676019133291</v>
      </c>
      <c r="I23" s="745"/>
      <c r="J23" s="745"/>
      <c r="K23" s="745"/>
    </row>
    <row r="24" spans="1:20" ht="18.75" customHeight="1" x14ac:dyDescent="0.2">
      <c r="A24" s="567" t="s">
        <v>56</v>
      </c>
      <c r="B24" s="568">
        <f>SUM(B10:B14)</f>
        <v>2637</v>
      </c>
      <c r="C24" s="569">
        <f t="shared" si="0"/>
        <v>0.30965241897604512</v>
      </c>
      <c r="D24" s="568">
        <f>SUM(D10:D14)</f>
        <v>185</v>
      </c>
      <c r="E24" s="569">
        <f t="shared" ref="E24:E26" si="6">IFERROR(D24/D$22,"-")</f>
        <v>0.2300995024875622</v>
      </c>
      <c r="F24" s="570"/>
      <c r="G24" s="568">
        <f>SUM(G10:G14)</f>
        <v>3783</v>
      </c>
      <c r="H24" s="569">
        <f t="shared" si="2"/>
        <v>0.27007924609124012</v>
      </c>
      <c r="I24" s="745"/>
      <c r="J24" s="745"/>
      <c r="K24" s="745"/>
    </row>
    <row r="25" spans="1:20" ht="18.75" customHeight="1" x14ac:dyDescent="0.2">
      <c r="A25" s="567" t="s">
        <v>57</v>
      </c>
      <c r="B25" s="568">
        <f>SUM(B15:B19)</f>
        <v>1045</v>
      </c>
      <c r="C25" s="569">
        <f t="shared" si="0"/>
        <v>0.12271019257867544</v>
      </c>
      <c r="D25" s="568">
        <f>SUM(D15:D19)</f>
        <v>70</v>
      </c>
      <c r="E25" s="569">
        <f t="shared" si="6"/>
        <v>8.7064676616915429E-2</v>
      </c>
      <c r="F25" s="570"/>
      <c r="G25" s="568">
        <f>SUM(G15:G19)</f>
        <v>1742</v>
      </c>
      <c r="H25" s="569">
        <f t="shared" si="2"/>
        <v>0.1243663882344542</v>
      </c>
      <c r="I25" s="745"/>
      <c r="J25" s="745"/>
      <c r="K25" s="745"/>
    </row>
    <row r="26" spans="1:20" ht="18.75" customHeight="1" x14ac:dyDescent="0.2">
      <c r="A26" s="567" t="s">
        <v>58</v>
      </c>
      <c r="B26" s="568">
        <f>SUM(B20:B21)</f>
        <v>1083</v>
      </c>
      <c r="C26" s="569">
        <f t="shared" si="0"/>
        <v>0.12717238139971818</v>
      </c>
      <c r="D26" s="568">
        <f>SUM(D20:D21)</f>
        <v>72</v>
      </c>
      <c r="E26" s="569">
        <f t="shared" si="6"/>
        <v>8.9552238805970144E-2</v>
      </c>
      <c r="F26" s="570"/>
      <c r="G26" s="568">
        <f>SUM(G20:G21)</f>
        <v>1908</v>
      </c>
      <c r="H26" s="569">
        <f t="shared" si="2"/>
        <v>0.13621760548297279</v>
      </c>
      <c r="I26" s="745"/>
      <c r="J26" s="745"/>
      <c r="K26" s="745"/>
    </row>
    <row r="29" spans="1:20" x14ac:dyDescent="0.2">
      <c r="A29" s="25"/>
      <c r="B29" s="26"/>
      <c r="C29" s="32"/>
    </row>
    <row r="30" spans="1:20" x14ac:dyDescent="0.2">
      <c r="A30" s="25"/>
      <c r="B30" s="26"/>
      <c r="C30" s="32"/>
    </row>
    <row r="31" spans="1:20" x14ac:dyDescent="0.2">
      <c r="A31" s="25"/>
      <c r="B31" s="26"/>
      <c r="C31" s="32"/>
    </row>
  </sheetData>
  <mergeCells count="5">
    <mergeCell ref="B3:C4"/>
    <mergeCell ref="D3:E3"/>
    <mergeCell ref="D4:E4"/>
    <mergeCell ref="A3:A5"/>
    <mergeCell ref="G3:H4"/>
  </mergeCells>
  <phoneticPr fontId="2"/>
  <printOptions horizontalCentered="1"/>
  <pageMargins left="0.70866141732283472" right="0.70866141732283472" top="0.74803149606299213" bottom="0.74803149606299213" header="0.70866141732283472" footer="0.31496062992125984"/>
  <pageSetup paperSize="11" scale="6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データ削除_在院期間_65歳以上">
                <anchor moveWithCells="1" sizeWithCells="1">
                  <from>
                    <xdr:col>8</xdr:col>
                    <xdr:colOff>266700</xdr:colOff>
                    <xdr:row>1</xdr:row>
                    <xdr:rowOff>129540</xdr:rowOff>
                  </from>
                  <to>
                    <xdr:col>9</xdr:col>
                    <xdr:colOff>617220</xdr:colOff>
                    <xdr:row>4</xdr:row>
                    <xdr:rowOff>0</xdr:rowOff>
                  </to>
                </anchor>
              </controlPr>
            </control>
          </mc:Choice>
        </mc:AlternateContent>
      </controls>
    </mc:Choice>
  </mc:AlternateContent>
  <tableParts count="2">
    <tablePart r:id="rId5"/>
    <tablePart r:id="rId6"/>
  </tablePar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FFC000"/>
    <pageSetUpPr fitToPage="1"/>
  </sheetPr>
  <dimension ref="A1:I36"/>
  <sheetViews>
    <sheetView showGridLines="0" view="pageBreakPreview" zoomScale="90" zoomScaleNormal="100" zoomScaleSheetLayoutView="90" workbookViewId="0"/>
  </sheetViews>
  <sheetFormatPr defaultColWidth="9" defaultRowHeight="17.399999999999999" x14ac:dyDescent="0.2"/>
  <cols>
    <col min="1" max="1" width="13.109375" style="1" bestFit="1" customWidth="1"/>
    <col min="2" max="2" width="9.33203125" style="1" customWidth="1"/>
    <col min="3" max="3" width="10.77734375" style="1" bestFit="1" customWidth="1"/>
    <col min="4" max="4" width="1.21875" style="1" customWidth="1"/>
    <col min="5" max="5" width="9.33203125" style="1" customWidth="1"/>
    <col min="6" max="6" width="10.77734375" style="1" bestFit="1" customWidth="1"/>
    <col min="7" max="7" width="9" style="29" hidden="1" customWidth="1"/>
    <col min="8" max="9" width="9" style="1" hidden="1" customWidth="1"/>
    <col min="10" max="10" width="9" style="1" customWidth="1"/>
    <col min="11" max="16384" width="9" style="1"/>
  </cols>
  <sheetData>
    <row r="1" spans="1:6" ht="19.2" x14ac:dyDescent="0.2">
      <c r="A1" s="2" t="s">
        <v>209</v>
      </c>
    </row>
    <row r="3" spans="1:6" x14ac:dyDescent="0.2">
      <c r="A3" s="4" t="s">
        <v>210</v>
      </c>
      <c r="B3" s="4"/>
    </row>
    <row r="4" spans="1:6" x14ac:dyDescent="0.45">
      <c r="E4" s="1019" t="s">
        <v>97</v>
      </c>
      <c r="F4" s="1019"/>
    </row>
    <row r="5" spans="1:6" x14ac:dyDescent="0.2">
      <c r="A5" s="517"/>
      <c r="B5" s="518" t="s">
        <v>0</v>
      </c>
      <c r="C5" s="518" t="s">
        <v>1</v>
      </c>
      <c r="D5" s="571"/>
      <c r="E5" s="518" t="s">
        <v>0</v>
      </c>
      <c r="F5" s="518" t="s">
        <v>1</v>
      </c>
    </row>
    <row r="6" spans="1:6" x14ac:dyDescent="0.2">
      <c r="A6" s="221" t="s">
        <v>28</v>
      </c>
      <c r="B6" s="476">
        <v>126</v>
      </c>
      <c r="C6" s="475">
        <f>IFERROR(B6/B$12,"-")</f>
        <v>1.4795678722404886E-2</v>
      </c>
      <c r="D6" s="572"/>
      <c r="E6" s="510">
        <f>'２-Ⅴ'!B5</f>
        <v>300</v>
      </c>
      <c r="F6" s="475">
        <f>IFERROR(E6/E$12,"-")</f>
        <v>2.1417862497322766E-2</v>
      </c>
    </row>
    <row r="7" spans="1:6" x14ac:dyDescent="0.2">
      <c r="A7" s="221" t="s">
        <v>29</v>
      </c>
      <c r="B7" s="476">
        <v>678</v>
      </c>
      <c r="C7" s="475">
        <f t="shared" ref="C7:C11" si="0">IFERROR(B7/B$12,"-")</f>
        <v>7.9614842649131046E-2</v>
      </c>
      <c r="D7" s="572"/>
      <c r="E7" s="510">
        <f>'２-Ⅴ'!B6</f>
        <v>1361</v>
      </c>
      <c r="F7" s="475">
        <f t="shared" ref="F7:F11" si="1">IFERROR(E7/E$12,"-")</f>
        <v>9.7165702862854281E-2</v>
      </c>
    </row>
    <row r="8" spans="1:6" x14ac:dyDescent="0.2">
      <c r="A8" s="221" t="s">
        <v>30</v>
      </c>
      <c r="B8" s="476">
        <v>1642</v>
      </c>
      <c r="C8" s="475">
        <f t="shared" si="0"/>
        <v>0.19281352747768907</v>
      </c>
      <c r="D8" s="572"/>
      <c r="E8" s="510">
        <f>'２-Ⅴ'!B7</f>
        <v>2815</v>
      </c>
      <c r="F8" s="475">
        <f t="shared" si="1"/>
        <v>0.20097094309987862</v>
      </c>
    </row>
    <row r="9" spans="1:6" x14ac:dyDescent="0.2">
      <c r="A9" s="221" t="s">
        <v>31</v>
      </c>
      <c r="B9" s="476">
        <v>3575</v>
      </c>
      <c r="C9" s="475">
        <f t="shared" si="0"/>
        <v>0.41979802724283699</v>
      </c>
      <c r="D9" s="572"/>
      <c r="E9" s="510">
        <f>'２-Ⅴ'!B8</f>
        <v>5639</v>
      </c>
      <c r="F9" s="475">
        <f t="shared" si="1"/>
        <v>0.40258442207467693</v>
      </c>
    </row>
    <row r="10" spans="1:6" x14ac:dyDescent="0.2">
      <c r="A10" s="221" t="s">
        <v>32</v>
      </c>
      <c r="B10" s="476">
        <v>2191</v>
      </c>
      <c r="C10" s="475">
        <f t="shared" si="0"/>
        <v>0.25728041333959606</v>
      </c>
      <c r="D10" s="572"/>
      <c r="E10" s="510">
        <f>'２-Ⅴ'!B9</f>
        <v>3347</v>
      </c>
      <c r="F10" s="475">
        <f t="shared" si="1"/>
        <v>0.238951952595131</v>
      </c>
    </row>
    <row r="11" spans="1:6" x14ac:dyDescent="0.2">
      <c r="A11" s="221" t="s">
        <v>33</v>
      </c>
      <c r="B11" s="476">
        <v>304</v>
      </c>
      <c r="C11" s="475">
        <f t="shared" si="0"/>
        <v>3.5697510568341945E-2</v>
      </c>
      <c r="D11" s="572"/>
      <c r="E11" s="510">
        <f>'２-Ⅴ'!B10</f>
        <v>545</v>
      </c>
      <c r="F11" s="475">
        <f t="shared" si="1"/>
        <v>3.8909116870136359E-2</v>
      </c>
    </row>
    <row r="12" spans="1:6" x14ac:dyDescent="0.2">
      <c r="A12" s="517" t="s">
        <v>148</v>
      </c>
      <c r="B12" s="573">
        <f>SUM(B6:B11)</f>
        <v>8516</v>
      </c>
      <c r="C12" s="521">
        <f>SUM(C6:C11)</f>
        <v>1</v>
      </c>
      <c r="D12" s="574"/>
      <c r="E12" s="575">
        <f>SUM(E6:E11)</f>
        <v>14007</v>
      </c>
      <c r="F12" s="521">
        <f>SUM(F6:F11)</f>
        <v>0.99999999999999989</v>
      </c>
    </row>
    <row r="13" spans="1:6" x14ac:dyDescent="0.2">
      <c r="D13" s="95"/>
    </row>
    <row r="14" spans="1:6" x14ac:dyDescent="0.2">
      <c r="A14" s="4" t="s">
        <v>211</v>
      </c>
      <c r="D14" s="95"/>
    </row>
    <row r="15" spans="1:6" x14ac:dyDescent="0.45">
      <c r="A15" s="145"/>
      <c r="B15" s="145"/>
      <c r="C15" s="145"/>
      <c r="D15" s="145"/>
      <c r="E15" s="1020" t="s">
        <v>97</v>
      </c>
      <c r="F15" s="1020"/>
    </row>
    <row r="16" spans="1:6" x14ac:dyDescent="0.2">
      <c r="A16" s="517"/>
      <c r="B16" s="518" t="s">
        <v>442</v>
      </c>
      <c r="C16" s="518" t="s">
        <v>1</v>
      </c>
      <c r="D16" s="571"/>
      <c r="E16" s="518" t="s">
        <v>0</v>
      </c>
      <c r="F16" s="518" t="s">
        <v>1</v>
      </c>
    </row>
    <row r="17" spans="1:6" x14ac:dyDescent="0.2">
      <c r="A17" s="221" t="s">
        <v>28</v>
      </c>
      <c r="B17" s="476">
        <v>23</v>
      </c>
      <c r="C17" s="475">
        <f>IFERROR(B17/B$23,"-")</f>
        <v>4.8268625393494231E-3</v>
      </c>
      <c r="D17" s="572"/>
      <c r="E17" s="510">
        <f>'３-Ⅳ'!B5</f>
        <v>40</v>
      </c>
      <c r="F17" s="475">
        <f>IFERROR(E17/E$23,"-")</f>
        <v>5.3814072379927353E-3</v>
      </c>
    </row>
    <row r="18" spans="1:6" x14ac:dyDescent="0.2">
      <c r="A18" s="221" t="s">
        <v>29</v>
      </c>
      <c r="B18" s="476">
        <v>304</v>
      </c>
      <c r="C18" s="475">
        <f t="shared" ref="C18:C22" si="2">IFERROR(B18/B$23,"-")</f>
        <v>6.3798530954879334E-2</v>
      </c>
      <c r="D18" s="572"/>
      <c r="E18" s="510">
        <f>'３-Ⅳ'!B6</f>
        <v>485</v>
      </c>
      <c r="F18" s="475">
        <f t="shared" ref="F18:F22" si="3">IFERROR(E18/E$23,"-")</f>
        <v>6.5249562760661919E-2</v>
      </c>
    </row>
    <row r="19" spans="1:6" x14ac:dyDescent="0.2">
      <c r="A19" s="221" t="s">
        <v>30</v>
      </c>
      <c r="B19" s="476">
        <v>815</v>
      </c>
      <c r="C19" s="475">
        <f t="shared" si="2"/>
        <v>0.17103882476390347</v>
      </c>
      <c r="D19" s="572"/>
      <c r="E19" s="510">
        <f>'３-Ⅳ'!B7</f>
        <v>1276</v>
      </c>
      <c r="F19" s="475">
        <f t="shared" si="3"/>
        <v>0.17166689089196824</v>
      </c>
    </row>
    <row r="20" spans="1:6" x14ac:dyDescent="0.2">
      <c r="A20" s="221" t="s">
        <v>31</v>
      </c>
      <c r="B20" s="476">
        <v>2159</v>
      </c>
      <c r="C20" s="475">
        <f t="shared" si="2"/>
        <v>0.45309548793284365</v>
      </c>
      <c r="D20" s="572"/>
      <c r="E20" s="510">
        <f>'３-Ⅳ'!B8</f>
        <v>3292</v>
      </c>
      <c r="F20" s="475">
        <f t="shared" si="3"/>
        <v>0.44288981568680208</v>
      </c>
    </row>
    <row r="21" spans="1:6" x14ac:dyDescent="0.2">
      <c r="A21" s="221" t="s">
        <v>32</v>
      </c>
      <c r="B21" s="476">
        <v>1314</v>
      </c>
      <c r="C21" s="475">
        <f t="shared" si="2"/>
        <v>0.27576075550891921</v>
      </c>
      <c r="D21" s="572"/>
      <c r="E21" s="510">
        <f>'３-Ⅳ'!B9</f>
        <v>2039</v>
      </c>
      <c r="F21" s="475">
        <f t="shared" si="3"/>
        <v>0.27431723395667967</v>
      </c>
    </row>
    <row r="22" spans="1:6" x14ac:dyDescent="0.2">
      <c r="A22" s="221" t="s">
        <v>33</v>
      </c>
      <c r="B22" s="476">
        <v>150</v>
      </c>
      <c r="C22" s="475">
        <f t="shared" si="2"/>
        <v>3.1479538300104928E-2</v>
      </c>
      <c r="D22" s="572"/>
      <c r="E22" s="510">
        <f>'３-Ⅳ'!B10</f>
        <v>301</v>
      </c>
      <c r="F22" s="475">
        <f t="shared" si="3"/>
        <v>4.0495089465895334E-2</v>
      </c>
    </row>
    <row r="23" spans="1:6" x14ac:dyDescent="0.2">
      <c r="A23" s="517" t="s">
        <v>148</v>
      </c>
      <c r="B23" s="573">
        <f>SUM(B17:B22)</f>
        <v>4765</v>
      </c>
      <c r="C23" s="521">
        <f>SUM(C17:C22)</f>
        <v>1</v>
      </c>
      <c r="D23" s="574"/>
      <c r="E23" s="575">
        <f>SUM(E17:E22)</f>
        <v>7433</v>
      </c>
      <c r="F23" s="521">
        <f>SUM(F17:F22)</f>
        <v>1</v>
      </c>
    </row>
    <row r="24" spans="1:6" hidden="1" x14ac:dyDescent="0.2"/>
    <row r="25" spans="1:6" hidden="1" x14ac:dyDescent="0.2">
      <c r="B25" s="307" t="s">
        <v>339</v>
      </c>
    </row>
    <row r="26" spans="1:6" hidden="1" x14ac:dyDescent="0.2"/>
    <row r="27" spans="1:6" x14ac:dyDescent="0.2">
      <c r="C27" s="4"/>
      <c r="D27" s="4"/>
      <c r="E27" s="4"/>
      <c r="F27" s="4"/>
    </row>
    <row r="29" spans="1:6" x14ac:dyDescent="0.2">
      <c r="A29" s="92"/>
      <c r="B29" s="20"/>
      <c r="C29" s="20"/>
      <c r="D29" s="20"/>
      <c r="E29" s="20"/>
      <c r="F29" s="20"/>
    </row>
    <row r="30" spans="1:6" x14ac:dyDescent="0.2">
      <c r="A30" s="25"/>
      <c r="B30" s="26"/>
      <c r="C30" s="23"/>
      <c r="D30" s="23"/>
      <c r="E30" s="23"/>
      <c r="F30" s="23"/>
    </row>
    <row r="31" spans="1:6" x14ac:dyDescent="0.2">
      <c r="A31" s="25"/>
      <c r="B31" s="26"/>
      <c r="C31" s="23"/>
      <c r="D31" s="23"/>
      <c r="E31" s="23"/>
      <c r="F31" s="23"/>
    </row>
    <row r="32" spans="1:6" x14ac:dyDescent="0.2">
      <c r="A32" s="25"/>
      <c r="B32" s="26"/>
      <c r="C32" s="23"/>
      <c r="D32" s="23"/>
      <c r="E32" s="23"/>
      <c r="F32" s="23"/>
    </row>
    <row r="33" spans="1:6" x14ac:dyDescent="0.2">
      <c r="A33" s="25"/>
      <c r="B33" s="26"/>
      <c r="C33" s="23"/>
      <c r="D33" s="23"/>
      <c r="E33" s="23"/>
      <c r="F33" s="23"/>
    </row>
    <row r="34" spans="1:6" x14ac:dyDescent="0.2">
      <c r="A34" s="25"/>
      <c r="B34" s="26"/>
      <c r="C34" s="23"/>
      <c r="D34" s="23"/>
      <c r="E34" s="23"/>
      <c r="F34" s="23"/>
    </row>
    <row r="35" spans="1:6" x14ac:dyDescent="0.2">
      <c r="A35" s="25"/>
      <c r="B35" s="26"/>
      <c r="C35" s="23"/>
      <c r="D35" s="23"/>
      <c r="E35" s="23"/>
      <c r="F35" s="23"/>
    </row>
    <row r="36" spans="1:6" x14ac:dyDescent="0.2">
      <c r="A36" s="25"/>
      <c r="B36" s="26"/>
      <c r="C36" s="23"/>
      <c r="D36" s="23"/>
      <c r="E36" s="23"/>
      <c r="F36" s="23"/>
    </row>
  </sheetData>
  <mergeCells count="2">
    <mergeCell ref="E4:F4"/>
    <mergeCell ref="E15:F15"/>
  </mergeCells>
  <phoneticPr fontId="2"/>
  <printOptions horizontalCentered="1"/>
  <pageMargins left="0.70866141732283472" right="0.70866141732283472" top="0.74803149606299213" bottom="0.74803149606299213" header="0.70866141732283472" footer="0.31496062992125984"/>
  <pageSetup paperSize="11" scale="8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データ削除_状態像区分_65歳以上">
                <anchor moveWithCells="1" sizeWithCells="1">
                  <from>
                    <xdr:col>6</xdr:col>
                    <xdr:colOff>373380</xdr:colOff>
                    <xdr:row>2</xdr:row>
                    <xdr:rowOff>228600</xdr:rowOff>
                  </from>
                  <to>
                    <xdr:col>8</xdr:col>
                    <xdr:colOff>45720</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FFC000"/>
    <pageSetUpPr fitToPage="1"/>
  </sheetPr>
  <dimension ref="A1:N76"/>
  <sheetViews>
    <sheetView showGridLines="0" view="pageBreakPreview" zoomScale="80" zoomScaleNormal="110" zoomScaleSheetLayoutView="80" workbookViewId="0"/>
  </sheetViews>
  <sheetFormatPr defaultColWidth="9" defaultRowHeight="17.399999999999999" x14ac:dyDescent="0.2"/>
  <cols>
    <col min="1" max="1" width="37.44140625" style="1" customWidth="1"/>
    <col min="2" max="2" width="9.33203125" style="1" customWidth="1"/>
    <col min="3" max="3" width="10.5546875" style="1" bestFit="1" customWidth="1"/>
    <col min="4" max="4" width="9.33203125" style="1" customWidth="1"/>
    <col min="5" max="5" width="10.5546875" style="1" bestFit="1" customWidth="1"/>
    <col min="6" max="6" width="9" style="1"/>
    <col min="7" max="7" width="37.44140625" style="1" customWidth="1"/>
    <col min="8" max="8" width="9.33203125" style="1" customWidth="1"/>
    <col min="9" max="9" width="10.5546875" style="1" bestFit="1" customWidth="1"/>
    <col min="10" max="10" width="9.33203125" style="1" customWidth="1"/>
    <col min="11" max="11" width="10.5546875" style="1" bestFit="1" customWidth="1"/>
    <col min="12" max="14" width="9" style="1" hidden="1" customWidth="1"/>
    <col min="15" max="15" width="9" style="1" customWidth="1"/>
    <col min="16" max="16384" width="9" style="1"/>
  </cols>
  <sheetData>
    <row r="1" spans="1:12" ht="19.2" x14ac:dyDescent="0.2">
      <c r="A1" s="2" t="s">
        <v>477</v>
      </c>
    </row>
    <row r="2" spans="1:12" x14ac:dyDescent="0.2">
      <c r="A2" s="4" t="s">
        <v>441</v>
      </c>
      <c r="G2" s="4" t="s">
        <v>105</v>
      </c>
    </row>
    <row r="3" spans="1:12" x14ac:dyDescent="0.45">
      <c r="A3" s="58"/>
      <c r="B3" s="58"/>
      <c r="C3" s="18"/>
      <c r="D3" s="1008" t="s">
        <v>97</v>
      </c>
      <c r="E3" s="1008"/>
      <c r="G3" s="58"/>
      <c r="H3" s="58"/>
      <c r="I3" s="18"/>
      <c r="J3" s="1008" t="s">
        <v>97</v>
      </c>
      <c r="K3" s="1008"/>
    </row>
    <row r="4" spans="1:12" x14ac:dyDescent="0.2">
      <c r="A4" s="216"/>
      <c r="B4" s="746" t="s">
        <v>442</v>
      </c>
      <c r="C4" s="577" t="s">
        <v>443</v>
      </c>
      <c r="D4" s="578" t="s">
        <v>0</v>
      </c>
      <c r="E4" s="579" t="s">
        <v>1</v>
      </c>
      <c r="G4" s="216"/>
      <c r="H4" s="746" t="s">
        <v>442</v>
      </c>
      <c r="I4" s="577" t="s">
        <v>443</v>
      </c>
      <c r="J4" s="578" t="s">
        <v>0</v>
      </c>
      <c r="K4" s="579" t="s">
        <v>1</v>
      </c>
      <c r="L4" s="16"/>
    </row>
    <row r="5" spans="1:12" ht="30" x14ac:dyDescent="0.2">
      <c r="A5" s="190" t="s">
        <v>445</v>
      </c>
      <c r="B5" s="580">
        <v>1220</v>
      </c>
      <c r="C5" s="561">
        <f>IFERROR(B5/B$8,"-")</f>
        <v>0.14325974635979333</v>
      </c>
      <c r="D5" s="581">
        <f>'２-Ⅵ'!B5</f>
        <v>1850</v>
      </c>
      <c r="E5" s="561">
        <f>IFERROR(D5/D$8,"-")</f>
        <v>0.13207681873349039</v>
      </c>
      <c r="G5" s="190" t="s">
        <v>218</v>
      </c>
      <c r="H5" s="580">
        <v>352</v>
      </c>
      <c r="I5" s="561">
        <f>IFERROR(H5/H$8,"-")</f>
        <v>0.43781094527363185</v>
      </c>
      <c r="J5" s="581">
        <f>'２-Ⅵ'!H5</f>
        <v>599</v>
      </c>
      <c r="K5" s="561">
        <f>IFERROR(J5/J$8,"-")</f>
        <v>0.36062612883804934</v>
      </c>
    </row>
    <row r="6" spans="1:12" x14ac:dyDescent="0.2">
      <c r="A6" s="594" t="s">
        <v>320</v>
      </c>
      <c r="B6" s="580">
        <v>6580</v>
      </c>
      <c r="C6" s="561">
        <f>IFERROR(B6/B$8,"-")</f>
        <v>0.77266322217003292</v>
      </c>
      <c r="D6" s="582">
        <f>'２-Ⅵ'!B6</f>
        <v>10619</v>
      </c>
      <c r="E6" s="561">
        <f t="shared" ref="E6:E7" si="0">IFERROR(D6/D$8,"-")</f>
        <v>0.75812093953023485</v>
      </c>
      <c r="G6" s="594" t="s">
        <v>219</v>
      </c>
      <c r="H6" s="580">
        <v>201</v>
      </c>
      <c r="I6" s="561">
        <f>IFERROR(H6/H$8,"-")</f>
        <v>0.25</v>
      </c>
      <c r="J6" s="582">
        <f>'２-Ⅵ'!H6</f>
        <v>387</v>
      </c>
      <c r="K6" s="561">
        <f t="shared" ref="K6:K7" si="1">IFERROR(J6/J$8,"-")</f>
        <v>0.23299217338952438</v>
      </c>
    </row>
    <row r="7" spans="1:12" x14ac:dyDescent="0.2">
      <c r="A7" s="191" t="s">
        <v>321</v>
      </c>
      <c r="B7" s="580">
        <v>716</v>
      </c>
      <c r="C7" s="561">
        <f>IFERROR(B7/B$8,"-")</f>
        <v>8.4077031470173785E-2</v>
      </c>
      <c r="D7" s="582">
        <f>'２-Ⅵ'!B7</f>
        <v>1538</v>
      </c>
      <c r="E7" s="561">
        <f t="shared" si="0"/>
        <v>0.10980224173627472</v>
      </c>
      <c r="G7" s="191" t="s">
        <v>220</v>
      </c>
      <c r="H7" s="580">
        <v>251</v>
      </c>
      <c r="I7" s="561">
        <f>IFERROR(H7/H$8,"-")</f>
        <v>0.31218905472636815</v>
      </c>
      <c r="J7" s="582">
        <f>'２-Ⅵ'!H7</f>
        <v>675</v>
      </c>
      <c r="K7" s="561">
        <f t="shared" si="1"/>
        <v>0.40638169777242628</v>
      </c>
    </row>
    <row r="8" spans="1:12" x14ac:dyDescent="0.2">
      <c r="A8" s="217" t="s">
        <v>478</v>
      </c>
      <c r="B8" s="583">
        <f>SUM(B5:B7)</f>
        <v>8516</v>
      </c>
      <c r="C8" s="584">
        <f>SUM(C5:C7)</f>
        <v>1</v>
      </c>
      <c r="D8" s="218">
        <f>SUM(D5:D7)</f>
        <v>14007</v>
      </c>
      <c r="E8" s="584">
        <f>SUM(E5:E7)</f>
        <v>1</v>
      </c>
      <c r="G8" s="217" t="s">
        <v>148</v>
      </c>
      <c r="H8" s="583">
        <f>SUM(H5:H7)</f>
        <v>804</v>
      </c>
      <c r="I8" s="584">
        <f>SUM(I5:I7)</f>
        <v>1</v>
      </c>
      <c r="J8" s="218">
        <f>SUM(J5:J7)</f>
        <v>1661</v>
      </c>
      <c r="K8" s="584">
        <f>SUM(K5:K7)</f>
        <v>1</v>
      </c>
    </row>
    <row r="9" spans="1:12" s="89" customFormat="1" x14ac:dyDescent="0.2">
      <c r="A9" s="86"/>
      <c r="B9" s="87"/>
      <c r="C9" s="88"/>
      <c r="D9" s="87"/>
      <c r="E9" s="88"/>
      <c r="G9" s="86"/>
      <c r="H9" s="87"/>
      <c r="I9" s="88"/>
      <c r="J9" s="87"/>
      <c r="K9" s="88"/>
    </row>
    <row r="10" spans="1:12" x14ac:dyDescent="0.2">
      <c r="A10" s="4" t="s">
        <v>441</v>
      </c>
      <c r="G10" s="4" t="s">
        <v>105</v>
      </c>
    </row>
    <row r="11" spans="1:12" x14ac:dyDescent="0.45">
      <c r="A11" s="58"/>
      <c r="B11" s="58"/>
      <c r="C11" s="18"/>
      <c r="D11" s="1008" t="s">
        <v>97</v>
      </c>
      <c r="E11" s="1008"/>
      <c r="G11" s="58"/>
      <c r="H11" s="58"/>
      <c r="I11" s="18"/>
      <c r="J11" s="1008" t="s">
        <v>97</v>
      </c>
      <c r="K11" s="1008"/>
    </row>
    <row r="12" spans="1:12" x14ac:dyDescent="0.2">
      <c r="A12" s="216"/>
      <c r="B12" s="576" t="s">
        <v>442</v>
      </c>
      <c r="C12" s="577" t="s">
        <v>443</v>
      </c>
      <c r="D12" s="578" t="s">
        <v>0</v>
      </c>
      <c r="E12" s="579" t="s">
        <v>1</v>
      </c>
      <c r="G12" s="216"/>
      <c r="H12" s="585" t="s">
        <v>442</v>
      </c>
      <c r="I12" s="586" t="s">
        <v>443</v>
      </c>
      <c r="J12" s="576" t="s">
        <v>0</v>
      </c>
      <c r="K12" s="579" t="s">
        <v>1</v>
      </c>
      <c r="L12" s="16"/>
    </row>
    <row r="13" spans="1:12" x14ac:dyDescent="0.2">
      <c r="A13" s="191" t="s">
        <v>479</v>
      </c>
      <c r="B13" s="580">
        <v>1101</v>
      </c>
      <c r="C13" s="561">
        <f>IFERROR(B13/B$15,"-")</f>
        <v>0.90245901639344261</v>
      </c>
      <c r="D13" s="581">
        <f>'２-Ⅵ'!B14</f>
        <v>1618</v>
      </c>
      <c r="E13" s="561">
        <f>IFERROR(D13/D$15,"-")</f>
        <v>0.87459459459459454</v>
      </c>
      <c r="G13" s="191" t="s">
        <v>102</v>
      </c>
      <c r="H13" s="580">
        <v>296</v>
      </c>
      <c r="I13" s="587">
        <f>IFERROR(H13/H$15,"-")</f>
        <v>0.84090909090909094</v>
      </c>
      <c r="J13" s="580">
        <f>'２-Ⅵ'!H14</f>
        <v>485</v>
      </c>
      <c r="K13" s="561">
        <f>IFERROR(J13/J$15,"-")</f>
        <v>0.80968280467445741</v>
      </c>
    </row>
    <row r="14" spans="1:12" x14ac:dyDescent="0.2">
      <c r="A14" s="191" t="s">
        <v>103</v>
      </c>
      <c r="B14" s="580">
        <v>119</v>
      </c>
      <c r="C14" s="561">
        <f>IFERROR(B14/B$15,"-")</f>
        <v>9.7540983606557372E-2</v>
      </c>
      <c r="D14" s="582">
        <f>'２-Ⅵ'!B15</f>
        <v>232</v>
      </c>
      <c r="E14" s="561">
        <f>IFERROR(D14/D$15,"-")</f>
        <v>0.1254054054054054</v>
      </c>
      <c r="G14" s="191" t="s">
        <v>103</v>
      </c>
      <c r="H14" s="588">
        <v>56</v>
      </c>
      <c r="I14" s="587">
        <f>IFERROR(H14/H$15,"-")</f>
        <v>0.15909090909090909</v>
      </c>
      <c r="J14" s="588">
        <f>'２-Ⅵ'!H15</f>
        <v>114</v>
      </c>
      <c r="K14" s="561">
        <f>IFERROR(J14/J$15,"-")</f>
        <v>0.19031719532554256</v>
      </c>
    </row>
    <row r="15" spans="1:12" x14ac:dyDescent="0.2">
      <c r="A15" s="217" t="s">
        <v>478</v>
      </c>
      <c r="B15" s="583">
        <f>SUM(B13:B14)</f>
        <v>1220</v>
      </c>
      <c r="C15" s="584">
        <f>SUM(C13:C14)</f>
        <v>1</v>
      </c>
      <c r="D15" s="218">
        <f>SUM(D13:D14)</f>
        <v>1850</v>
      </c>
      <c r="E15" s="584">
        <f>SUM(E13:E14)</f>
        <v>1</v>
      </c>
      <c r="G15" s="217" t="s">
        <v>148</v>
      </c>
      <c r="H15" s="583">
        <f>SUM(H13:H14)</f>
        <v>352</v>
      </c>
      <c r="I15" s="589">
        <f>SUM(I13:I14)</f>
        <v>1</v>
      </c>
      <c r="J15" s="583">
        <f>SUM(J13:J14)</f>
        <v>599</v>
      </c>
      <c r="K15" s="563">
        <f>SUM(K13:K14)</f>
        <v>1</v>
      </c>
    </row>
    <row r="17" spans="1:12" ht="24.75" customHeight="1" x14ac:dyDescent="0.2">
      <c r="A17" s="2" t="s">
        <v>54</v>
      </c>
      <c r="G17" s="2"/>
    </row>
    <row r="18" spans="1:12" s="16" customFormat="1" x14ac:dyDescent="0.2">
      <c r="A18" s="1021" t="s">
        <v>255</v>
      </c>
      <c r="B18" s="1021"/>
      <c r="C18" s="1021"/>
      <c r="D18" s="1021"/>
      <c r="E18" s="1021"/>
      <c r="G18" s="1021" t="s">
        <v>254</v>
      </c>
      <c r="H18" s="1021"/>
      <c r="I18" s="1021"/>
      <c r="J18" s="1021"/>
      <c r="K18" s="1021"/>
    </row>
    <row r="19" spans="1:12" s="16" customFormat="1" x14ac:dyDescent="0.45">
      <c r="A19" s="58"/>
      <c r="B19" s="58"/>
      <c r="C19" s="18"/>
      <c r="D19" s="1019" t="s">
        <v>97</v>
      </c>
      <c r="E19" s="1019"/>
      <c r="G19" s="58"/>
      <c r="H19" s="58"/>
      <c r="I19" s="18"/>
      <c r="J19" s="1019" t="s">
        <v>97</v>
      </c>
      <c r="K19" s="1019"/>
    </row>
    <row r="20" spans="1:12" ht="18" customHeight="1" x14ac:dyDescent="0.2">
      <c r="A20" s="216"/>
      <c r="B20" s="576" t="s">
        <v>442</v>
      </c>
      <c r="C20" s="577" t="s">
        <v>443</v>
      </c>
      <c r="D20" s="578" t="s">
        <v>0</v>
      </c>
      <c r="E20" s="579" t="s">
        <v>1</v>
      </c>
      <c r="G20" s="216"/>
      <c r="H20" s="585" t="s">
        <v>442</v>
      </c>
      <c r="I20" s="586" t="s">
        <v>443</v>
      </c>
      <c r="J20" s="576" t="s">
        <v>0</v>
      </c>
      <c r="K20" s="579" t="s">
        <v>1</v>
      </c>
      <c r="L20" s="16"/>
    </row>
    <row r="21" spans="1:12" ht="28.5" customHeight="1" x14ac:dyDescent="0.2">
      <c r="A21" s="192" t="s">
        <v>221</v>
      </c>
      <c r="B21" s="588">
        <v>369</v>
      </c>
      <c r="C21" s="559">
        <f t="shared" ref="C21:C40" si="2">IFERROR(B21/B$13,"-")</f>
        <v>0.33514986376021799</v>
      </c>
      <c r="D21" s="590">
        <f>'２-Ⅵ'!B23</f>
        <v>555</v>
      </c>
      <c r="E21" s="558">
        <f>IFERROR(D21/D$13,"-")</f>
        <v>0.34301606922126082</v>
      </c>
      <c r="G21" s="192" t="s">
        <v>222</v>
      </c>
      <c r="H21" s="588">
        <v>82</v>
      </c>
      <c r="I21" s="591">
        <f t="shared" ref="I21:I40" si="3">IFERROR(H21/H$13,"-")</f>
        <v>0.27702702702702703</v>
      </c>
      <c r="J21" s="588">
        <f>'２-Ⅵ'!H23</f>
        <v>129</v>
      </c>
      <c r="K21" s="558">
        <f>IFERROR(J21/J$13,"-")</f>
        <v>0.26597938144329897</v>
      </c>
    </row>
    <row r="22" spans="1:12" x14ac:dyDescent="0.2">
      <c r="A22" s="193" t="s">
        <v>65</v>
      </c>
      <c r="B22" s="588">
        <v>251</v>
      </c>
      <c r="C22" s="558">
        <f t="shared" si="2"/>
        <v>0.22797456857402362</v>
      </c>
      <c r="D22" s="590">
        <f>'２-Ⅵ'!B24</f>
        <v>390</v>
      </c>
      <c r="E22" s="558">
        <f t="shared" ref="E22:E37" si="4">IFERROR(D22/D$13,"-")</f>
        <v>0.24103831891223734</v>
      </c>
      <c r="G22" s="193" t="s">
        <v>212</v>
      </c>
      <c r="H22" s="592">
        <v>47</v>
      </c>
      <c r="I22" s="593">
        <f t="shared" si="3"/>
        <v>0.15878378378378377</v>
      </c>
      <c r="J22" s="592">
        <f>'２-Ⅵ'!H24</f>
        <v>83</v>
      </c>
      <c r="K22" s="559">
        <f t="shared" ref="K22:K37" si="5">IFERROR(J22/J$13,"-")</f>
        <v>0.1711340206185567</v>
      </c>
    </row>
    <row r="23" spans="1:12" x14ac:dyDescent="0.2">
      <c r="A23" s="193" t="s">
        <v>449</v>
      </c>
      <c r="B23" s="588">
        <v>26</v>
      </c>
      <c r="C23" s="559">
        <f t="shared" si="2"/>
        <v>2.3614895549500452E-2</v>
      </c>
      <c r="D23" s="590">
        <f>'２-Ⅵ'!B25</f>
        <v>66</v>
      </c>
      <c r="E23" s="558">
        <f t="shared" si="4"/>
        <v>4.0791100123609397E-2</v>
      </c>
      <c r="G23" s="193" t="s">
        <v>37</v>
      </c>
      <c r="H23" s="592">
        <v>2</v>
      </c>
      <c r="I23" s="593">
        <f t="shared" si="3"/>
        <v>6.7567567567567571E-3</v>
      </c>
      <c r="J23" s="592">
        <f>'２-Ⅵ'!H25</f>
        <v>12</v>
      </c>
      <c r="K23" s="559">
        <f t="shared" si="5"/>
        <v>2.4742268041237112E-2</v>
      </c>
    </row>
    <row r="24" spans="1:12" x14ac:dyDescent="0.2">
      <c r="A24" s="193" t="s">
        <v>450</v>
      </c>
      <c r="B24" s="588">
        <v>450</v>
      </c>
      <c r="C24" s="559">
        <f t="shared" si="2"/>
        <v>0.40871934604904631</v>
      </c>
      <c r="D24" s="590">
        <f>'２-Ⅵ'!B26</f>
        <v>632</v>
      </c>
      <c r="E24" s="558">
        <f t="shared" si="4"/>
        <v>0.39060568603213847</v>
      </c>
      <c r="G24" s="193" t="s">
        <v>38</v>
      </c>
      <c r="H24" s="592">
        <v>122</v>
      </c>
      <c r="I24" s="593">
        <f t="shared" si="3"/>
        <v>0.41216216216216217</v>
      </c>
      <c r="J24" s="592">
        <f>'２-Ⅵ'!H26</f>
        <v>179</v>
      </c>
      <c r="K24" s="559">
        <f t="shared" si="5"/>
        <v>0.36907216494845363</v>
      </c>
    </row>
    <row r="25" spans="1:12" x14ac:dyDescent="0.2">
      <c r="A25" s="193" t="s">
        <v>451</v>
      </c>
      <c r="B25" s="588">
        <v>449</v>
      </c>
      <c r="C25" s="559">
        <f t="shared" si="2"/>
        <v>0.40781108083560402</v>
      </c>
      <c r="D25" s="590">
        <f>'２-Ⅵ'!B27</f>
        <v>657</v>
      </c>
      <c r="E25" s="558">
        <f t="shared" si="4"/>
        <v>0.40605686032138444</v>
      </c>
      <c r="G25" s="193" t="s">
        <v>39</v>
      </c>
      <c r="H25" s="592">
        <v>81</v>
      </c>
      <c r="I25" s="593">
        <f t="shared" si="3"/>
        <v>0.27364864864864863</v>
      </c>
      <c r="J25" s="592">
        <f>'２-Ⅵ'!H27</f>
        <v>133</v>
      </c>
      <c r="K25" s="559">
        <f t="shared" si="5"/>
        <v>0.27422680412371137</v>
      </c>
    </row>
    <row r="26" spans="1:12" x14ac:dyDescent="0.2">
      <c r="A26" s="193" t="s">
        <v>310</v>
      </c>
      <c r="B26" s="588">
        <v>324</v>
      </c>
      <c r="C26" s="559">
        <f t="shared" si="2"/>
        <v>0.29427792915531337</v>
      </c>
      <c r="D26" s="590">
        <f>'２-Ⅵ'!B28</f>
        <v>488</v>
      </c>
      <c r="E26" s="558">
        <f t="shared" si="4"/>
        <v>0.30160692212608159</v>
      </c>
      <c r="G26" s="193" t="s">
        <v>40</v>
      </c>
      <c r="H26" s="592">
        <v>78</v>
      </c>
      <c r="I26" s="593">
        <f t="shared" si="3"/>
        <v>0.26351351351351349</v>
      </c>
      <c r="J26" s="592">
        <f>'２-Ⅵ'!H28</f>
        <v>134</v>
      </c>
      <c r="K26" s="559">
        <f t="shared" si="5"/>
        <v>0.27628865979381445</v>
      </c>
    </row>
    <row r="27" spans="1:12" x14ac:dyDescent="0.2">
      <c r="A27" s="193" t="s">
        <v>452</v>
      </c>
      <c r="B27" s="588">
        <v>92</v>
      </c>
      <c r="C27" s="559">
        <f t="shared" si="2"/>
        <v>8.3560399636693913E-2</v>
      </c>
      <c r="D27" s="590">
        <f>'２-Ⅵ'!B29</f>
        <v>136</v>
      </c>
      <c r="E27" s="558">
        <f t="shared" si="4"/>
        <v>8.4054388133498151E-2</v>
      </c>
      <c r="G27" s="193" t="s">
        <v>41</v>
      </c>
      <c r="H27" s="592">
        <v>11</v>
      </c>
      <c r="I27" s="593">
        <f t="shared" si="3"/>
        <v>3.7162162162162164E-2</v>
      </c>
      <c r="J27" s="592">
        <f>'２-Ⅵ'!H29</f>
        <v>22</v>
      </c>
      <c r="K27" s="559">
        <f t="shared" si="5"/>
        <v>4.536082474226804E-2</v>
      </c>
    </row>
    <row r="28" spans="1:12" x14ac:dyDescent="0.2">
      <c r="A28" s="193" t="s">
        <v>311</v>
      </c>
      <c r="B28" s="588">
        <v>372</v>
      </c>
      <c r="C28" s="559">
        <f t="shared" si="2"/>
        <v>0.33787465940054495</v>
      </c>
      <c r="D28" s="590">
        <f>'２-Ⅵ'!B30</f>
        <v>530</v>
      </c>
      <c r="E28" s="558">
        <f t="shared" si="4"/>
        <v>0.32756489493201485</v>
      </c>
      <c r="G28" s="193" t="s">
        <v>42</v>
      </c>
      <c r="H28" s="592">
        <v>85</v>
      </c>
      <c r="I28" s="593">
        <f t="shared" si="3"/>
        <v>0.28716216216216217</v>
      </c>
      <c r="J28" s="592">
        <f>'２-Ⅵ'!H30</f>
        <v>130</v>
      </c>
      <c r="K28" s="559">
        <f t="shared" si="5"/>
        <v>0.26804123711340205</v>
      </c>
    </row>
    <row r="29" spans="1:12" x14ac:dyDescent="0.2">
      <c r="A29" s="595" t="s">
        <v>312</v>
      </c>
      <c r="B29" s="588">
        <v>196</v>
      </c>
      <c r="C29" s="559">
        <f t="shared" si="2"/>
        <v>0.17801998183469572</v>
      </c>
      <c r="D29" s="590">
        <f>'２-Ⅵ'!B31</f>
        <v>288</v>
      </c>
      <c r="E29" s="558">
        <f t="shared" si="4"/>
        <v>0.17799752781211373</v>
      </c>
      <c r="G29" s="595" t="s">
        <v>43</v>
      </c>
      <c r="H29" s="592">
        <v>43</v>
      </c>
      <c r="I29" s="593">
        <f t="shared" si="3"/>
        <v>0.14527027027027026</v>
      </c>
      <c r="J29" s="592">
        <f>'２-Ⅵ'!H31</f>
        <v>69</v>
      </c>
      <c r="K29" s="559">
        <f t="shared" si="5"/>
        <v>0.1422680412371134</v>
      </c>
    </row>
    <row r="30" spans="1:12" x14ac:dyDescent="0.2">
      <c r="A30" s="193" t="s">
        <v>229</v>
      </c>
      <c r="B30" s="588">
        <v>193</v>
      </c>
      <c r="C30" s="559">
        <f t="shared" si="2"/>
        <v>0.17529518619436876</v>
      </c>
      <c r="D30" s="590">
        <f>'２-Ⅵ'!B32</f>
        <v>268</v>
      </c>
      <c r="E30" s="558">
        <f t="shared" si="4"/>
        <v>0.16563658838071693</v>
      </c>
      <c r="G30" s="193" t="s">
        <v>231</v>
      </c>
      <c r="H30" s="592">
        <v>43</v>
      </c>
      <c r="I30" s="593">
        <f t="shared" si="3"/>
        <v>0.14527027027027026</v>
      </c>
      <c r="J30" s="592">
        <f>'２-Ⅵ'!H32</f>
        <v>75</v>
      </c>
      <c r="K30" s="559">
        <f t="shared" si="5"/>
        <v>0.15463917525773196</v>
      </c>
    </row>
    <row r="31" spans="1:12" x14ac:dyDescent="0.2">
      <c r="A31" s="193" t="s">
        <v>453</v>
      </c>
      <c r="B31" s="588">
        <v>380</v>
      </c>
      <c r="C31" s="558">
        <f t="shared" si="2"/>
        <v>0.34514078110808355</v>
      </c>
      <c r="D31" s="590">
        <f>'２-Ⅵ'!B33</f>
        <v>548</v>
      </c>
      <c r="E31" s="558">
        <f t="shared" si="4"/>
        <v>0.33868974042027195</v>
      </c>
      <c r="G31" s="193" t="s">
        <v>45</v>
      </c>
      <c r="H31" s="592">
        <v>96</v>
      </c>
      <c r="I31" s="593">
        <f t="shared" si="3"/>
        <v>0.32432432432432434</v>
      </c>
      <c r="J31" s="592">
        <f>'２-Ⅵ'!H33</f>
        <v>168</v>
      </c>
      <c r="K31" s="559">
        <f t="shared" si="5"/>
        <v>0.34639175257731958</v>
      </c>
    </row>
    <row r="32" spans="1:12" x14ac:dyDescent="0.2">
      <c r="A32" s="193" t="s">
        <v>454</v>
      </c>
      <c r="B32" s="588">
        <v>81</v>
      </c>
      <c r="C32" s="559">
        <f t="shared" si="2"/>
        <v>7.3569482288828342E-2</v>
      </c>
      <c r="D32" s="590">
        <f>'２-Ⅵ'!B34</f>
        <v>107</v>
      </c>
      <c r="E32" s="558">
        <f t="shared" si="4"/>
        <v>6.6131025957972808E-2</v>
      </c>
      <c r="G32" s="193" t="s">
        <v>46</v>
      </c>
      <c r="H32" s="592">
        <v>15</v>
      </c>
      <c r="I32" s="593">
        <f t="shared" si="3"/>
        <v>5.0675675675675678E-2</v>
      </c>
      <c r="J32" s="592">
        <f>'２-Ⅵ'!H34</f>
        <v>27</v>
      </c>
      <c r="K32" s="559">
        <f t="shared" si="5"/>
        <v>5.5670103092783509E-2</v>
      </c>
    </row>
    <row r="33" spans="1:11" x14ac:dyDescent="0.2">
      <c r="A33" s="193" t="s">
        <v>455</v>
      </c>
      <c r="B33" s="588">
        <v>61</v>
      </c>
      <c r="C33" s="559">
        <f t="shared" si="2"/>
        <v>5.5404178019981834E-2</v>
      </c>
      <c r="D33" s="590">
        <f>'２-Ⅵ'!B35</f>
        <v>80</v>
      </c>
      <c r="E33" s="558">
        <f t="shared" si="4"/>
        <v>4.9443757725587144E-2</v>
      </c>
      <c r="G33" s="193" t="s">
        <v>47</v>
      </c>
      <c r="H33" s="592">
        <v>10</v>
      </c>
      <c r="I33" s="593">
        <f t="shared" si="3"/>
        <v>3.3783783783783786E-2</v>
      </c>
      <c r="J33" s="592">
        <f>'２-Ⅵ'!H35</f>
        <v>14</v>
      </c>
      <c r="K33" s="559">
        <f t="shared" si="5"/>
        <v>2.88659793814433E-2</v>
      </c>
    </row>
    <row r="34" spans="1:11" x14ac:dyDescent="0.2">
      <c r="A34" s="193" t="s">
        <v>456</v>
      </c>
      <c r="B34" s="588">
        <v>15</v>
      </c>
      <c r="C34" s="559">
        <f t="shared" si="2"/>
        <v>1.3623978201634877E-2</v>
      </c>
      <c r="D34" s="590">
        <f>'２-Ⅵ'!B36</f>
        <v>18</v>
      </c>
      <c r="E34" s="558">
        <f t="shared" si="4"/>
        <v>1.1124845488257108E-2</v>
      </c>
      <c r="G34" s="193" t="s">
        <v>48</v>
      </c>
      <c r="H34" s="592">
        <v>1</v>
      </c>
      <c r="I34" s="593">
        <f t="shared" si="3"/>
        <v>3.3783783783783786E-3</v>
      </c>
      <c r="J34" s="592">
        <f>'２-Ⅵ'!H36</f>
        <v>1</v>
      </c>
      <c r="K34" s="559">
        <f t="shared" si="5"/>
        <v>2.0618556701030928E-3</v>
      </c>
    </row>
    <row r="35" spans="1:11" x14ac:dyDescent="0.2">
      <c r="A35" s="193" t="s">
        <v>457</v>
      </c>
      <c r="B35" s="588">
        <v>102</v>
      </c>
      <c r="C35" s="559">
        <f t="shared" si="2"/>
        <v>9.264305177111716E-2</v>
      </c>
      <c r="D35" s="590">
        <f>'２-Ⅵ'!B37</f>
        <v>143</v>
      </c>
      <c r="E35" s="558">
        <f t="shared" si="4"/>
        <v>8.8380716934487027E-2</v>
      </c>
      <c r="G35" s="193" t="s">
        <v>49</v>
      </c>
      <c r="H35" s="592">
        <v>34</v>
      </c>
      <c r="I35" s="593">
        <f t="shared" si="3"/>
        <v>0.11486486486486487</v>
      </c>
      <c r="J35" s="592">
        <f>'２-Ⅵ'!H37</f>
        <v>46</v>
      </c>
      <c r="K35" s="559">
        <f t="shared" si="5"/>
        <v>9.4845360824742264E-2</v>
      </c>
    </row>
    <row r="36" spans="1:11" x14ac:dyDescent="0.2">
      <c r="A36" s="595" t="s">
        <v>458</v>
      </c>
      <c r="B36" s="588">
        <v>92</v>
      </c>
      <c r="C36" s="559">
        <f t="shared" si="2"/>
        <v>8.3560399636693913E-2</v>
      </c>
      <c r="D36" s="590">
        <f>'２-Ⅵ'!B38</f>
        <v>138</v>
      </c>
      <c r="E36" s="558">
        <f t="shared" si="4"/>
        <v>8.5290482076637822E-2</v>
      </c>
      <c r="G36" s="595" t="s">
        <v>50</v>
      </c>
      <c r="H36" s="592">
        <v>24</v>
      </c>
      <c r="I36" s="593">
        <f t="shared" si="3"/>
        <v>8.1081081081081086E-2</v>
      </c>
      <c r="J36" s="592">
        <f>'２-Ⅵ'!H38</f>
        <v>38</v>
      </c>
      <c r="K36" s="559">
        <f t="shared" si="5"/>
        <v>7.8350515463917525E-2</v>
      </c>
    </row>
    <row r="37" spans="1:11" x14ac:dyDescent="0.2">
      <c r="A37" s="595" t="s">
        <v>230</v>
      </c>
      <c r="B37" s="588">
        <v>16</v>
      </c>
      <c r="C37" s="559">
        <f t="shared" si="2"/>
        <v>1.4532243415077202E-2</v>
      </c>
      <c r="D37" s="590">
        <f>'２-Ⅵ'!B39</f>
        <v>20</v>
      </c>
      <c r="E37" s="558">
        <f t="shared" si="4"/>
        <v>1.2360939431396786E-2</v>
      </c>
      <c r="G37" s="595" t="s">
        <v>230</v>
      </c>
      <c r="H37" s="592">
        <v>8</v>
      </c>
      <c r="I37" s="593">
        <f t="shared" si="3"/>
        <v>2.7027027027027029E-2</v>
      </c>
      <c r="J37" s="592">
        <f>'２-Ⅵ'!H39</f>
        <v>12</v>
      </c>
      <c r="K37" s="559">
        <f t="shared" si="5"/>
        <v>2.4742268041237112E-2</v>
      </c>
    </row>
    <row r="38" spans="1:11" s="352" customFormat="1" x14ac:dyDescent="0.2">
      <c r="A38" s="595" t="s">
        <v>349</v>
      </c>
      <c r="B38" s="588">
        <v>271</v>
      </c>
      <c r="C38" s="559">
        <f t="shared" si="2"/>
        <v>0.24613987284287012</v>
      </c>
      <c r="D38" s="590">
        <f>'２-Ⅵ'!B40</f>
        <v>311</v>
      </c>
      <c r="E38" s="558">
        <f t="shared" ref="E38:E40" si="6">IFERROR(D38/D$13,"-")</f>
        <v>0.19221260815822003</v>
      </c>
      <c r="G38" s="595" t="s">
        <v>352</v>
      </c>
      <c r="H38" s="592">
        <v>77</v>
      </c>
      <c r="I38" s="593">
        <f t="shared" si="3"/>
        <v>0.26013513513513514</v>
      </c>
      <c r="J38" s="592">
        <f>'２-Ⅵ'!H40</f>
        <v>88</v>
      </c>
      <c r="K38" s="559">
        <f t="shared" ref="K38:K40" si="7">IFERROR(J38/J$13,"-")</f>
        <v>0.18144329896907216</v>
      </c>
    </row>
    <row r="39" spans="1:11" s="352" customFormat="1" ht="30" x14ac:dyDescent="0.2">
      <c r="A39" s="192" t="s">
        <v>350</v>
      </c>
      <c r="B39" s="588">
        <v>100</v>
      </c>
      <c r="C39" s="559">
        <f t="shared" si="2"/>
        <v>9.0826521344232511E-2</v>
      </c>
      <c r="D39" s="590">
        <f>'２-Ⅵ'!B41</f>
        <v>123</v>
      </c>
      <c r="E39" s="558">
        <f t="shared" si="6"/>
        <v>7.6019777503090233E-2</v>
      </c>
      <c r="G39" s="192" t="s">
        <v>353</v>
      </c>
      <c r="H39" s="592">
        <v>43</v>
      </c>
      <c r="I39" s="593">
        <f t="shared" si="3"/>
        <v>0.14527027027027026</v>
      </c>
      <c r="J39" s="592">
        <f>'２-Ⅵ'!H41</f>
        <v>49</v>
      </c>
      <c r="K39" s="559">
        <f t="shared" si="7"/>
        <v>0.10103092783505155</v>
      </c>
    </row>
    <row r="40" spans="1:11" x14ac:dyDescent="0.2">
      <c r="A40" s="193" t="s">
        <v>459</v>
      </c>
      <c r="B40" s="588">
        <v>25</v>
      </c>
      <c r="C40" s="559">
        <f t="shared" si="2"/>
        <v>2.2706630336058128E-2</v>
      </c>
      <c r="D40" s="590">
        <f>'２-Ⅵ'!B42</f>
        <v>39</v>
      </c>
      <c r="E40" s="558">
        <f t="shared" si="6"/>
        <v>2.4103831891223733E-2</v>
      </c>
      <c r="G40" s="193" t="s">
        <v>52</v>
      </c>
      <c r="H40" s="592">
        <v>13</v>
      </c>
      <c r="I40" s="593">
        <f t="shared" si="3"/>
        <v>4.3918918918918921E-2</v>
      </c>
      <c r="J40" s="592">
        <f>'２-Ⅵ'!H42</f>
        <v>24</v>
      </c>
      <c r="K40" s="559">
        <f t="shared" si="7"/>
        <v>4.9484536082474224E-2</v>
      </c>
    </row>
    <row r="41" spans="1:11" x14ac:dyDescent="0.2">
      <c r="A41" s="90"/>
      <c r="B41" s="91"/>
      <c r="C41" s="15"/>
      <c r="D41" s="15"/>
      <c r="E41" s="15"/>
      <c r="G41" s="90"/>
      <c r="H41" s="91"/>
      <c r="I41" s="15"/>
      <c r="J41" s="91"/>
      <c r="K41" s="15"/>
    </row>
    <row r="42" spans="1:11" x14ac:dyDescent="0.2">
      <c r="A42" s="25"/>
      <c r="B42" s="25"/>
      <c r="C42" s="25"/>
      <c r="D42" s="25"/>
      <c r="E42" s="25"/>
      <c r="G42" s="25"/>
    </row>
    <row r="43" spans="1:11" hidden="1" x14ac:dyDescent="0.2">
      <c r="A43" s="307" t="s">
        <v>339</v>
      </c>
      <c r="B43" s="25"/>
      <c r="C43" s="25"/>
      <c r="D43" s="25"/>
      <c r="E43" s="25"/>
      <c r="G43" s="25"/>
    </row>
    <row r="44" spans="1:11" x14ac:dyDescent="0.2">
      <c r="A44" s="25"/>
      <c r="B44" s="25"/>
      <c r="C44" s="25"/>
      <c r="D44" s="25"/>
      <c r="E44" s="25"/>
      <c r="G44" s="25"/>
    </row>
    <row r="50" spans="1:10" x14ac:dyDescent="0.2">
      <c r="A50" s="92"/>
      <c r="B50" s="92"/>
      <c r="C50" s="92"/>
      <c r="D50" s="92"/>
      <c r="E50" s="92"/>
      <c r="G50" s="92"/>
      <c r="H50" s="92"/>
      <c r="J50" s="92"/>
    </row>
    <row r="51" spans="1:10" x14ac:dyDescent="0.2">
      <c r="A51" s="25"/>
      <c r="B51" s="17"/>
      <c r="C51" s="17"/>
      <c r="D51" s="17"/>
      <c r="E51" s="17"/>
      <c r="G51" s="25"/>
      <c r="H51" s="17"/>
      <c r="J51" s="17"/>
    </row>
    <row r="52" spans="1:10" x14ac:dyDescent="0.2">
      <c r="A52" s="25"/>
      <c r="B52" s="17"/>
      <c r="C52" s="17"/>
      <c r="D52" s="17"/>
      <c r="E52" s="17"/>
      <c r="G52" s="25"/>
      <c r="H52" s="17"/>
      <c r="J52" s="17"/>
    </row>
    <row r="53" spans="1:10" x14ac:dyDescent="0.2">
      <c r="A53" s="25"/>
      <c r="B53" s="17"/>
      <c r="C53" s="17"/>
      <c r="D53" s="17"/>
      <c r="E53" s="17"/>
      <c r="G53" s="25"/>
      <c r="H53" s="17"/>
      <c r="J53" s="17"/>
    </row>
    <row r="54" spans="1:10" x14ac:dyDescent="0.2">
      <c r="A54" s="25"/>
      <c r="B54" s="17"/>
      <c r="C54" s="17"/>
      <c r="D54" s="17"/>
      <c r="E54" s="17"/>
      <c r="G54" s="25"/>
      <c r="H54" s="17"/>
      <c r="J54" s="17"/>
    </row>
    <row r="55" spans="1:10" x14ac:dyDescent="0.2">
      <c r="A55" s="25"/>
      <c r="B55" s="17"/>
      <c r="C55" s="17"/>
      <c r="D55" s="17"/>
      <c r="E55" s="17"/>
      <c r="G55" s="25"/>
      <c r="H55" s="17"/>
      <c r="J55" s="17"/>
    </row>
    <row r="56" spans="1:10" x14ac:dyDescent="0.2">
      <c r="A56" s="25"/>
      <c r="B56" s="17"/>
      <c r="C56" s="17"/>
      <c r="D56" s="17"/>
      <c r="E56" s="17"/>
      <c r="G56" s="25"/>
      <c r="H56" s="17"/>
      <c r="J56" s="17"/>
    </row>
    <row r="57" spans="1:10" x14ac:dyDescent="0.2">
      <c r="A57" s="25"/>
      <c r="B57" s="17"/>
      <c r="C57" s="17"/>
      <c r="D57" s="17"/>
      <c r="E57" s="17"/>
      <c r="G57" s="25"/>
      <c r="H57" s="17"/>
      <c r="J57" s="17"/>
    </row>
    <row r="58" spans="1:10" x14ac:dyDescent="0.2">
      <c r="A58" s="25"/>
      <c r="B58" s="17"/>
      <c r="C58" s="17"/>
      <c r="D58" s="17"/>
      <c r="E58" s="17"/>
      <c r="G58" s="25"/>
      <c r="H58" s="17"/>
      <c r="J58" s="17"/>
    </row>
    <row r="59" spans="1:10" x14ac:dyDescent="0.2">
      <c r="A59" s="25"/>
      <c r="B59" s="17"/>
      <c r="C59" s="17"/>
      <c r="D59" s="17"/>
      <c r="E59" s="17"/>
      <c r="G59" s="25"/>
      <c r="H59" s="17"/>
      <c r="J59" s="17"/>
    </row>
    <row r="60" spans="1:10" x14ac:dyDescent="0.2">
      <c r="A60" s="25"/>
      <c r="B60" s="17"/>
      <c r="C60" s="17"/>
      <c r="D60" s="17"/>
      <c r="E60" s="17"/>
      <c r="G60" s="25"/>
      <c r="H60" s="17"/>
      <c r="J60" s="17"/>
    </row>
    <row r="61" spans="1:10" x14ac:dyDescent="0.2">
      <c r="A61" s="25"/>
      <c r="B61" s="17"/>
      <c r="C61" s="17"/>
      <c r="D61" s="17"/>
      <c r="E61" s="17"/>
      <c r="G61" s="25"/>
      <c r="H61" s="17"/>
      <c r="J61" s="17"/>
    </row>
    <row r="62" spans="1:10" x14ac:dyDescent="0.2">
      <c r="A62" s="25"/>
      <c r="B62" s="17"/>
      <c r="C62" s="17"/>
      <c r="D62" s="17"/>
      <c r="E62" s="17"/>
      <c r="G62" s="25"/>
      <c r="H62" s="17"/>
      <c r="J62" s="17"/>
    </row>
    <row r="63" spans="1:10" x14ac:dyDescent="0.2">
      <c r="A63" s="25"/>
      <c r="B63" s="17"/>
      <c r="C63" s="17"/>
      <c r="D63" s="17"/>
      <c r="E63" s="17"/>
      <c r="G63" s="25"/>
      <c r="H63" s="17"/>
      <c r="J63" s="17"/>
    </row>
    <row r="64" spans="1:10" x14ac:dyDescent="0.2">
      <c r="A64" s="25"/>
      <c r="B64" s="17"/>
      <c r="C64" s="17"/>
      <c r="D64" s="17"/>
      <c r="E64" s="17"/>
      <c r="G64" s="25"/>
      <c r="H64" s="17"/>
      <c r="J64" s="17"/>
    </row>
    <row r="65" spans="1:10" x14ac:dyDescent="0.2">
      <c r="A65" s="25"/>
      <c r="B65" s="17"/>
      <c r="C65" s="17"/>
      <c r="D65" s="17"/>
      <c r="E65" s="17"/>
      <c r="G65" s="25"/>
      <c r="H65" s="17"/>
      <c r="J65" s="17"/>
    </row>
    <row r="66" spans="1:10" x14ac:dyDescent="0.2">
      <c r="A66" s="25"/>
      <c r="B66" s="17"/>
      <c r="C66" s="17"/>
      <c r="D66" s="17"/>
      <c r="E66" s="17"/>
      <c r="G66" s="25"/>
      <c r="H66" s="17"/>
      <c r="J66" s="17"/>
    </row>
    <row r="67" spans="1:10" x14ac:dyDescent="0.2">
      <c r="A67" s="25"/>
      <c r="B67" s="17"/>
      <c r="C67" s="17"/>
      <c r="D67" s="17"/>
      <c r="E67" s="17"/>
      <c r="G67" s="25"/>
      <c r="H67" s="17"/>
      <c r="J67" s="17"/>
    </row>
    <row r="68" spans="1:10" x14ac:dyDescent="0.2">
      <c r="A68" s="7"/>
      <c r="B68" s="58"/>
      <c r="C68" s="58"/>
      <c r="D68" s="58"/>
      <c r="E68" s="58"/>
      <c r="G68" s="7"/>
      <c r="H68" s="17"/>
      <c r="J68" s="17"/>
    </row>
    <row r="69" spans="1:10" x14ac:dyDescent="0.2">
      <c r="A69" s="7"/>
      <c r="B69" s="58"/>
      <c r="C69" s="58"/>
      <c r="D69" s="58"/>
      <c r="E69" s="58"/>
      <c r="G69" s="7"/>
      <c r="H69" s="58"/>
      <c r="J69" s="58"/>
    </row>
    <row r="70" spans="1:10" x14ac:dyDescent="0.2">
      <c r="A70" s="7"/>
      <c r="B70" s="58"/>
      <c r="C70" s="58"/>
      <c r="D70" s="58"/>
      <c r="E70" s="58"/>
      <c r="G70" s="7"/>
      <c r="H70" s="58"/>
      <c r="J70" s="58"/>
    </row>
    <row r="71" spans="1:10" x14ac:dyDescent="0.2">
      <c r="A71" s="7"/>
      <c r="B71" s="58"/>
      <c r="C71" s="58"/>
      <c r="D71" s="58"/>
      <c r="E71" s="58"/>
      <c r="G71" s="7"/>
      <c r="H71" s="58"/>
      <c r="J71" s="58"/>
    </row>
    <row r="72" spans="1:10" x14ac:dyDescent="0.2">
      <c r="A72" s="7"/>
      <c r="B72" s="58"/>
      <c r="C72" s="58"/>
      <c r="D72" s="58"/>
      <c r="E72" s="58"/>
      <c r="G72" s="7"/>
      <c r="H72" s="17"/>
      <c r="J72" s="17"/>
    </row>
    <row r="73" spans="1:10" x14ac:dyDescent="0.2">
      <c r="A73" s="16"/>
      <c r="B73" s="16"/>
      <c r="C73" s="16"/>
      <c r="D73" s="16"/>
      <c r="E73" s="16"/>
      <c r="G73" s="16"/>
    </row>
    <row r="74" spans="1:10" x14ac:dyDescent="0.2">
      <c r="A74" s="16"/>
      <c r="B74" s="16"/>
      <c r="C74" s="16"/>
      <c r="D74" s="16"/>
      <c r="E74" s="16"/>
      <c r="G74" s="16"/>
    </row>
    <row r="75" spans="1:10" x14ac:dyDescent="0.2">
      <c r="A75" s="16"/>
      <c r="B75" s="16"/>
      <c r="C75" s="16"/>
      <c r="D75" s="16"/>
      <c r="E75" s="16"/>
      <c r="G75" s="16"/>
    </row>
    <row r="76" spans="1:10" x14ac:dyDescent="0.2">
      <c r="A76" s="16"/>
      <c r="B76" s="16"/>
      <c r="C76" s="16"/>
      <c r="D76" s="16"/>
      <c r="E76" s="16"/>
      <c r="G76" s="16"/>
    </row>
  </sheetData>
  <mergeCells count="8">
    <mergeCell ref="D19:E19"/>
    <mergeCell ref="J19:K19"/>
    <mergeCell ref="D3:E3"/>
    <mergeCell ref="J3:K3"/>
    <mergeCell ref="G18:K18"/>
    <mergeCell ref="A18:E18"/>
    <mergeCell ref="D11:E11"/>
    <mergeCell ref="J11:K11"/>
  </mergeCells>
  <phoneticPr fontId="2"/>
  <printOptions horizontalCentered="1"/>
  <pageMargins left="0.70866141732283472" right="0.70866141732283472" top="1.1417322834645669" bottom="0.74803149606299213" header="0.70866141732283472" footer="0.31496062992125984"/>
  <pageSetup paperSize="9" scale="81" fitToHeight="0" orientation="landscape" r:id="rId1"/>
  <rowBreaks count="1" manualBreakCount="1">
    <brk id="1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データ削除_退院阻害要因_65歳以上">
                <anchor moveWithCells="1" sizeWithCells="1">
                  <from>
                    <xdr:col>11</xdr:col>
                    <xdr:colOff>365760</xdr:colOff>
                    <xdr:row>3</xdr:row>
                    <xdr:rowOff>7620</xdr:rowOff>
                  </from>
                  <to>
                    <xdr:col>13</xdr:col>
                    <xdr:colOff>304800</xdr:colOff>
                    <xdr:row>4</xdr:row>
                    <xdr:rowOff>274320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0000"/>
    <pageSetUpPr fitToPage="1"/>
  </sheetPr>
  <dimension ref="A1:V67"/>
  <sheetViews>
    <sheetView showGridLines="0" view="pageBreakPreview" topLeftCell="B1" zoomScale="80" zoomScaleNormal="100" zoomScaleSheetLayoutView="80" workbookViewId="0">
      <selection activeCell="B1" sqref="B1"/>
    </sheetView>
  </sheetViews>
  <sheetFormatPr defaultColWidth="9" defaultRowHeight="17.399999999999999" x14ac:dyDescent="0.2"/>
  <cols>
    <col min="1" max="1" width="9" style="1" hidden="1" customWidth="1"/>
    <col min="2" max="2" width="43.77734375" style="1" customWidth="1"/>
    <col min="3" max="6" width="9.33203125" style="1" customWidth="1"/>
    <col min="7" max="7" width="9" style="1" hidden="1" customWidth="1"/>
    <col min="8" max="8" width="56.109375" style="1" hidden="1" customWidth="1"/>
    <col min="9" max="10" width="10.88671875" style="1" hidden="1" customWidth="1"/>
    <col min="11" max="18" width="9" style="1" hidden="1" customWidth="1"/>
    <col min="19" max="23" width="0" style="1" hidden="1" customWidth="1"/>
    <col min="24" max="16384" width="9" style="1"/>
  </cols>
  <sheetData>
    <row r="1" spans="2:22" ht="19.5" customHeight="1" x14ac:dyDescent="0.2">
      <c r="B1" s="2" t="s">
        <v>472</v>
      </c>
      <c r="C1" s="676"/>
      <c r="D1" s="676"/>
      <c r="E1" s="676"/>
      <c r="F1" s="676"/>
      <c r="H1" s="43" t="s">
        <v>461</v>
      </c>
      <c r="T1" s="676"/>
    </row>
    <row r="2" spans="2:22" ht="18.75" customHeight="1" thickBot="1" x14ac:dyDescent="0.25">
      <c r="B2" s="748" t="s">
        <v>465</v>
      </c>
      <c r="C2" s="1022" t="s">
        <v>473</v>
      </c>
      <c r="D2" s="1023"/>
      <c r="E2" s="1023"/>
      <c r="F2" s="1024"/>
      <c r="H2" s="1" t="s">
        <v>436</v>
      </c>
      <c r="I2" s="1" t="s">
        <v>463</v>
      </c>
      <c r="J2" s="1" t="s">
        <v>285</v>
      </c>
      <c r="T2" s="676"/>
    </row>
    <row r="3" spans="2:22" ht="18.75" customHeight="1" thickTop="1" thickBot="1" x14ac:dyDescent="0.25">
      <c r="B3" s="749"/>
      <c r="C3" s="1022" t="s">
        <v>284</v>
      </c>
      <c r="D3" s="1024"/>
      <c r="E3" s="1025" t="s">
        <v>285</v>
      </c>
      <c r="F3" s="1026"/>
      <c r="G3" s="22"/>
      <c r="H3" s="305" t="s">
        <v>655</v>
      </c>
      <c r="I3" s="46" t="s">
        <v>463</v>
      </c>
      <c r="J3" s="46" t="s">
        <v>675</v>
      </c>
      <c r="N3" s="30"/>
      <c r="O3" s="30"/>
      <c r="Q3" s="30"/>
      <c r="T3" s="676"/>
      <c r="U3" s="688" t="s">
        <v>248</v>
      </c>
      <c r="V3" s="688" t="s">
        <v>246</v>
      </c>
    </row>
    <row r="4" spans="2:22" ht="38.25" customHeight="1" thickTop="1" x14ac:dyDescent="0.2">
      <c r="B4" s="60" t="s">
        <v>462</v>
      </c>
      <c r="C4" s="226">
        <f>IFERROR(INDEX(退院予定有無×年齢階層[#All],MATCH($T4,退院予定有無×年齢階層[[#All],[行ラベル]],0),MATCH($U$3,退院予定有無×年齢階層[#Headers],0)),0)</f>
        <v>630</v>
      </c>
      <c r="D4" s="125">
        <f>IFERROR(C4/C$7,"-")</f>
        <v>0.11473319978146057</v>
      </c>
      <c r="E4" s="226">
        <f>IFERROR(INDEX(退院予定有無×年齢階層[#All],MATCH($T4,退院予定有無×年齢階層[[#All],[行ラベル]],0),MATCH($V$3,退院予定有無×年齢階層[#Headers],0)),0)</f>
        <v>1220</v>
      </c>
      <c r="F4" s="126">
        <f>IFERROR(E4/E$7,"-")</f>
        <v>0.14325974635979333</v>
      </c>
      <c r="G4" s="27">
        <f>C4+E4</f>
        <v>1850</v>
      </c>
      <c r="H4" s="21">
        <v>97</v>
      </c>
      <c r="I4" s="353">
        <v>1220</v>
      </c>
      <c r="J4" s="46">
        <v>630</v>
      </c>
      <c r="K4" s="41"/>
      <c r="M4" s="21"/>
      <c r="T4" s="21">
        <v>97</v>
      </c>
    </row>
    <row r="5" spans="2:22" ht="18.75" customHeight="1" x14ac:dyDescent="0.2">
      <c r="B5" s="62" t="s">
        <v>316</v>
      </c>
      <c r="C5" s="127">
        <f>IFERROR(INDEX(退院予定有無×年齢階層[#All],MATCH($T5,退院予定有無×年齢階層[[#All],[行ラベル]],0),MATCH($U$3,退院予定有無×年齢階層[#Headers],0)),0)</f>
        <v>4039</v>
      </c>
      <c r="D5" s="128">
        <f>IFERROR(C5/C$7,"-")</f>
        <v>0.73556729193225279</v>
      </c>
      <c r="E5" s="127">
        <f>IFERROR(INDEX(退院予定有無×年齢階層[#All],MATCH($T5,退院予定有無×年齢階層[[#All],[行ラベル]],0),MATCH($V$3,退院予定有無×年齢階層[#Headers],0)),0)</f>
        <v>6580</v>
      </c>
      <c r="F5" s="129">
        <f>IFERROR(E5/E$7,"-")</f>
        <v>0.77266322217003292</v>
      </c>
      <c r="G5" s="27">
        <f>C5+E5</f>
        <v>10619</v>
      </c>
      <c r="H5" s="21">
        <v>98</v>
      </c>
      <c r="I5" s="353">
        <v>6580</v>
      </c>
      <c r="J5" s="353">
        <v>4039</v>
      </c>
      <c r="M5" s="21"/>
      <c r="T5" s="21">
        <v>98</v>
      </c>
    </row>
    <row r="6" spans="2:22" ht="18.75" customHeight="1" x14ac:dyDescent="0.2">
      <c r="B6" s="81" t="s">
        <v>36</v>
      </c>
      <c r="C6" s="127">
        <f>IFERROR(INDEX(退院予定有無×年齢階層[#All],MATCH($T6,退院予定有無×年齢階層[[#All],[行ラベル]],0),MATCH($U$3,退院予定有無×年齢階層[#Headers],0)),0)</f>
        <v>822</v>
      </c>
      <c r="D6" s="131">
        <f>IFERROR(C6/C$7,"-")</f>
        <v>0.14969950828628664</v>
      </c>
      <c r="E6" s="127">
        <f>IFERROR(INDEX(退院予定有無×年齢階層[#All],MATCH($T6,退院予定有無×年齢階層[[#All],[行ラベル]],0),MATCH($V$3,退院予定有無×年齢階層[#Headers],0)),0)</f>
        <v>716</v>
      </c>
      <c r="F6" s="132">
        <f>IFERROR(E6/E$7,"-")</f>
        <v>8.4077031470173785E-2</v>
      </c>
      <c r="G6" s="27">
        <f>C6+E6</f>
        <v>1538</v>
      </c>
      <c r="H6" s="21">
        <v>99</v>
      </c>
      <c r="I6" s="46">
        <v>716</v>
      </c>
      <c r="J6" s="82">
        <v>822</v>
      </c>
      <c r="M6" s="21"/>
      <c r="T6" s="21">
        <v>99</v>
      </c>
    </row>
    <row r="7" spans="2:22" ht="18.75" customHeight="1" x14ac:dyDescent="0.2">
      <c r="B7" s="63" t="s">
        <v>431</v>
      </c>
      <c r="C7" s="133">
        <f>SUM(C4:C6)</f>
        <v>5491</v>
      </c>
      <c r="D7" s="134">
        <f>SUM(D4:D6)</f>
        <v>1</v>
      </c>
      <c r="E7" s="135">
        <f>SUM(E4:E6)</f>
        <v>8516</v>
      </c>
      <c r="F7" s="134">
        <f>SUM(F4:F6)</f>
        <v>1</v>
      </c>
      <c r="G7" s="27">
        <f>C7+E7</f>
        <v>14007</v>
      </c>
      <c r="H7" s="21"/>
      <c r="M7" s="21"/>
      <c r="T7" s="21"/>
    </row>
    <row r="8" spans="2:22" ht="18.75" customHeight="1" thickBot="1" x14ac:dyDescent="0.25">
      <c r="B8" s="64"/>
      <c r="C8" s="136"/>
      <c r="D8" s="137"/>
      <c r="E8" s="138"/>
      <c r="F8" s="137"/>
      <c r="G8" s="27"/>
      <c r="H8" s="21"/>
      <c r="M8" s="21"/>
      <c r="T8" s="21"/>
    </row>
    <row r="9" spans="2:22" ht="18.75" customHeight="1" thickTop="1" thickBot="1" x14ac:dyDescent="0.25">
      <c r="B9" s="747" t="s">
        <v>223</v>
      </c>
      <c r="C9" s="139"/>
      <c r="D9" s="140"/>
      <c r="E9" s="140"/>
      <c r="F9" s="141"/>
      <c r="G9" s="27"/>
      <c r="H9" s="761" t="s">
        <v>655</v>
      </c>
      <c r="I9" s="220" t="s">
        <v>463</v>
      </c>
      <c r="J9" s="220" t="s">
        <v>675</v>
      </c>
      <c r="T9" s="676"/>
    </row>
    <row r="10" spans="2:22" ht="18.75" customHeight="1" thickTop="1" x14ac:dyDescent="0.2">
      <c r="B10" s="69" t="s">
        <v>467</v>
      </c>
      <c r="C10" s="124">
        <f>IFERROR(INDEX(阻害要因有無×年齢階層[#All],MATCH($T10,阻害要因有無×年齢階層[[#All],[行ラベル]],0),MATCH($U$3,阻害要因有無×年齢階層[#Headers],0)),0)</f>
        <v>517</v>
      </c>
      <c r="D10" s="126">
        <f>IFERROR(C10/C$4,"-")</f>
        <v>0.82063492063492061</v>
      </c>
      <c r="E10" s="124">
        <f>IFERROR(INDEX(阻害要因有無×年齢階層[#All],MATCH($T10,阻害要因有無×年齢階層[[#All],[行ラベル]],0),MATCH($V$3,阻害要因有無×年齢階層[#Headers],0)),0)</f>
        <v>1101</v>
      </c>
      <c r="F10" s="126">
        <f>IFERROR(E10/E$4,"-")</f>
        <v>0.90245901639344261</v>
      </c>
      <c r="G10" s="27">
        <f>C10+E10</f>
        <v>1618</v>
      </c>
      <c r="H10" s="21">
        <v>91</v>
      </c>
      <c r="I10" s="353">
        <v>1101</v>
      </c>
      <c r="J10" s="46">
        <v>517</v>
      </c>
      <c r="K10" s="41"/>
      <c r="M10" s="21"/>
      <c r="T10" s="21">
        <v>91</v>
      </c>
    </row>
    <row r="11" spans="2:22" ht="18.75" customHeight="1" x14ac:dyDescent="0.2">
      <c r="B11" s="62" t="s">
        <v>35</v>
      </c>
      <c r="C11" s="127">
        <f>IFERROR(INDEX(阻害要因有無×年齢階層[#All],MATCH($T11,阻害要因有無×年齢階層[[#All],[行ラベル]],0),MATCH($U$3,阻害要因有無×年齢階層[#Headers],0)),0)</f>
        <v>113</v>
      </c>
      <c r="D11" s="128">
        <f>IFERROR(C11/C$4,"-")</f>
        <v>0.17936507936507937</v>
      </c>
      <c r="E11" s="127">
        <f>IFERROR(INDEX(阻害要因有無×年齢階層[#All],MATCH($T11,阻害要因有無×年齢階層[[#All],[行ラベル]],0),MATCH($V$3,阻害要因有無×年齢階層[#Headers],0)),0)</f>
        <v>119</v>
      </c>
      <c r="F11" s="128">
        <f>IFERROR(E11/E$4,"-")</f>
        <v>9.7540983606557372E-2</v>
      </c>
      <c r="G11" s="27">
        <f>C11+E11</f>
        <v>232</v>
      </c>
      <c r="H11" s="21">
        <v>90</v>
      </c>
      <c r="I11" s="46">
        <v>119</v>
      </c>
      <c r="J11" s="46">
        <v>113</v>
      </c>
      <c r="M11" s="21"/>
      <c r="T11" s="21">
        <v>90</v>
      </c>
    </row>
    <row r="12" spans="2:22" ht="18.75" customHeight="1" thickBot="1" x14ac:dyDescent="0.25">
      <c r="B12" s="70" t="s">
        <v>468</v>
      </c>
      <c r="C12" s="756"/>
      <c r="D12" s="757"/>
      <c r="E12" s="757"/>
      <c r="F12" s="758"/>
      <c r="G12" s="27"/>
      <c r="H12" s="26"/>
      <c r="K12" s="40"/>
      <c r="T12" s="676"/>
    </row>
    <row r="13" spans="2:22" ht="18.75" customHeight="1" thickTop="1" thickBot="1" x14ac:dyDescent="0.25">
      <c r="B13" s="760" t="s">
        <v>469</v>
      </c>
      <c r="C13" s="751"/>
      <c r="D13" s="751"/>
      <c r="E13" s="751"/>
      <c r="F13" s="752"/>
      <c r="G13" s="27"/>
      <c r="H13" s="761" t="s">
        <v>676</v>
      </c>
      <c r="I13" s="220" t="s">
        <v>463</v>
      </c>
      <c r="J13" s="220" t="s">
        <v>675</v>
      </c>
      <c r="T13" s="676"/>
    </row>
    <row r="14" spans="2:22" ht="45" customHeight="1" thickTop="1" x14ac:dyDescent="0.2">
      <c r="B14" s="83" t="s">
        <v>332</v>
      </c>
      <c r="C14" s="142">
        <f>IFERROR(INDEX(阻害要因×年齢階層[#All],MATCH($T14,阻害要因×年齢階層[[#All],[値]],0),MATCH($U$3,阻害要因×年齢階層[#Headers],0)),0)</f>
        <v>186</v>
      </c>
      <c r="D14" s="143">
        <f t="shared" ref="D14:D33" si="0">IFERROR(C14/C$10,"-")</f>
        <v>0.35976789168278528</v>
      </c>
      <c r="E14" s="142">
        <f>IFERROR(INDEX(阻害要因×年齢階層[#All],MATCH($T14,阻害要因×年齢階層[[#All],[値]],0),MATCH($V$3,阻害要因×年齢階層[#Headers],0)),0)</f>
        <v>369</v>
      </c>
      <c r="F14" s="143">
        <f t="shared" ref="F14:F33" si="1">IFERROR(E14/E$10,"-")</f>
        <v>0.33514986376021799</v>
      </c>
      <c r="G14" s="27">
        <f>SUM(C14,E14)</f>
        <v>555</v>
      </c>
      <c r="H14" s="43" t="s">
        <v>692</v>
      </c>
      <c r="I14" s="46">
        <v>369</v>
      </c>
      <c r="J14" s="46">
        <v>186</v>
      </c>
      <c r="K14" s="41"/>
      <c r="M14" s="246"/>
      <c r="T14" s="692" t="s">
        <v>286</v>
      </c>
    </row>
    <row r="15" spans="2:22" ht="18.75" customHeight="1" x14ac:dyDescent="0.2">
      <c r="B15" s="84" t="s">
        <v>212</v>
      </c>
      <c r="C15" s="127">
        <f>IFERROR(INDEX(阻害要因×年齢階層[#All],MATCH($T15,阻害要因×年齢階層[[#All],[値]],0),MATCH($U$3,阻害要因×年齢階層[#Headers],0)),0)</f>
        <v>139</v>
      </c>
      <c r="D15" s="144">
        <f t="shared" si="0"/>
        <v>0.2688588007736944</v>
      </c>
      <c r="E15" s="127">
        <f>IFERROR(INDEX(阻害要因×年齢階層[#All],MATCH($T15,阻害要因×年齢階層[[#All],[値]],0),MATCH($V$3,阻害要因×年齢階層[#Headers],0)),0)</f>
        <v>251</v>
      </c>
      <c r="F15" s="144">
        <f t="shared" si="1"/>
        <v>0.22797456857402362</v>
      </c>
      <c r="G15" s="27">
        <f t="shared" ref="G15:G33" si="2">SUM(C15,E15)</f>
        <v>390</v>
      </c>
      <c r="H15" s="43" t="s">
        <v>693</v>
      </c>
      <c r="I15" s="46">
        <v>251</v>
      </c>
      <c r="J15" s="46">
        <v>139</v>
      </c>
      <c r="M15" s="246"/>
      <c r="T15" s="692" t="s">
        <v>287</v>
      </c>
    </row>
    <row r="16" spans="2:22" ht="18.75" customHeight="1" x14ac:dyDescent="0.2">
      <c r="B16" s="84" t="s">
        <v>37</v>
      </c>
      <c r="C16" s="127">
        <f>IFERROR(INDEX(阻害要因×年齢階層[#All],MATCH($T16,阻害要因×年齢階層[[#All],[値]],0),MATCH($U$3,阻害要因×年齢階層[#Headers],0)),0)</f>
        <v>40</v>
      </c>
      <c r="D16" s="144">
        <f t="shared" si="0"/>
        <v>7.7369439071566737E-2</v>
      </c>
      <c r="E16" s="127">
        <f>IFERROR(INDEX(阻害要因×年齢階層[#All],MATCH($T16,阻害要因×年齢階層[[#All],[値]],0),MATCH($V$3,阻害要因×年齢階層[#Headers],0)),0)</f>
        <v>26</v>
      </c>
      <c r="F16" s="144">
        <f t="shared" si="1"/>
        <v>2.3614895549500452E-2</v>
      </c>
      <c r="G16" s="27">
        <f t="shared" si="2"/>
        <v>66</v>
      </c>
      <c r="H16" s="43" t="s">
        <v>694</v>
      </c>
      <c r="I16" s="46">
        <v>26</v>
      </c>
      <c r="J16" s="46">
        <v>40</v>
      </c>
      <c r="L16" s="17"/>
      <c r="M16" s="43"/>
      <c r="T16" s="678" t="s">
        <v>154</v>
      </c>
    </row>
    <row r="17" spans="2:20" ht="18.75" customHeight="1" x14ac:dyDescent="0.2">
      <c r="B17" s="84" t="s">
        <v>38</v>
      </c>
      <c r="C17" s="127">
        <f>IFERROR(INDEX(阻害要因×年齢階層[#All],MATCH($T17,阻害要因×年齢階層[[#All],[値]],0),MATCH($U$3,阻害要因×年齢階層[#Headers],0)),0)</f>
        <v>182</v>
      </c>
      <c r="D17" s="128">
        <f t="shared" si="0"/>
        <v>0.3520309477756286</v>
      </c>
      <c r="E17" s="127">
        <f>IFERROR(INDEX(阻害要因×年齢階層[#All],MATCH($T17,阻害要因×年齢階層[[#All],[値]],0),MATCH($V$3,阻害要因×年齢階層[#Headers],0)),0)</f>
        <v>450</v>
      </c>
      <c r="F17" s="128">
        <f t="shared" si="1"/>
        <v>0.40871934604904631</v>
      </c>
      <c r="G17" s="27">
        <f t="shared" si="2"/>
        <v>632</v>
      </c>
      <c r="H17" s="43" t="s">
        <v>695</v>
      </c>
      <c r="I17" s="46">
        <v>450</v>
      </c>
      <c r="J17" s="46">
        <v>182</v>
      </c>
      <c r="L17" s="17"/>
      <c r="M17" s="43"/>
      <c r="T17" s="678" t="s">
        <v>155</v>
      </c>
    </row>
    <row r="18" spans="2:20" ht="18.75" customHeight="1" x14ac:dyDescent="0.2">
      <c r="B18" s="84" t="s">
        <v>39</v>
      </c>
      <c r="C18" s="127">
        <f>IFERROR(INDEX(阻害要因×年齢階層[#All],MATCH($T18,阻害要因×年齢階層[[#All],[値]],0),MATCH($U$3,阻害要因×年齢階層[#Headers],0)),0)</f>
        <v>208</v>
      </c>
      <c r="D18" s="128">
        <f t="shared" si="0"/>
        <v>0.40232108317214699</v>
      </c>
      <c r="E18" s="127">
        <f>IFERROR(INDEX(阻害要因×年齢階層[#All],MATCH($T18,阻害要因×年齢階層[[#All],[値]],0),MATCH($V$3,阻害要因×年齢階層[#Headers],0)),0)</f>
        <v>449</v>
      </c>
      <c r="F18" s="128">
        <f t="shared" si="1"/>
        <v>0.40781108083560402</v>
      </c>
      <c r="G18" s="27">
        <f t="shared" si="2"/>
        <v>657</v>
      </c>
      <c r="H18" s="43" t="s">
        <v>696</v>
      </c>
      <c r="I18" s="46">
        <v>449</v>
      </c>
      <c r="J18" s="46">
        <v>208</v>
      </c>
      <c r="L18" s="17"/>
      <c r="M18" s="43"/>
      <c r="T18" s="678" t="s">
        <v>156</v>
      </c>
    </row>
    <row r="19" spans="2:20" ht="18.75" customHeight="1" x14ac:dyDescent="0.2">
      <c r="B19" s="84" t="s">
        <v>40</v>
      </c>
      <c r="C19" s="127">
        <f>IFERROR(INDEX(阻害要因×年齢階層[#All],MATCH($T19,阻害要因×年齢階層[[#All],[値]],0),MATCH($U$3,阻害要因×年齢階層[#Headers],0)),0)</f>
        <v>164</v>
      </c>
      <c r="D19" s="131">
        <f t="shared" si="0"/>
        <v>0.31721470019342357</v>
      </c>
      <c r="E19" s="127">
        <f>IFERROR(INDEX(阻害要因×年齢階層[#All],MATCH($T19,阻害要因×年齢階層[[#All],[値]],0),MATCH($V$3,阻害要因×年齢階層[#Headers],0)),0)</f>
        <v>324</v>
      </c>
      <c r="F19" s="131">
        <f t="shared" si="1"/>
        <v>0.29427792915531337</v>
      </c>
      <c r="G19" s="27">
        <f t="shared" si="2"/>
        <v>488</v>
      </c>
      <c r="H19" s="43" t="s">
        <v>697</v>
      </c>
      <c r="I19" s="46">
        <v>324</v>
      </c>
      <c r="J19" s="46">
        <v>164</v>
      </c>
      <c r="M19" s="43"/>
      <c r="T19" s="678" t="s">
        <v>157</v>
      </c>
    </row>
    <row r="20" spans="2:20" ht="18.75" customHeight="1" x14ac:dyDescent="0.2">
      <c r="B20" s="84" t="s">
        <v>41</v>
      </c>
      <c r="C20" s="127">
        <f>IFERROR(INDEX(阻害要因×年齢階層[#All],MATCH($T20,阻害要因×年齢階層[[#All],[値]],0),MATCH($U$3,阻害要因×年齢階層[#Headers],0)),0)</f>
        <v>44</v>
      </c>
      <c r="D20" s="128">
        <f t="shared" si="0"/>
        <v>8.5106382978723402E-2</v>
      </c>
      <c r="E20" s="127">
        <f>IFERROR(INDEX(阻害要因×年齢階層[#All],MATCH($T20,阻害要因×年齢階層[[#All],[値]],0),MATCH($V$3,阻害要因×年齢階層[#Headers],0)),0)</f>
        <v>92</v>
      </c>
      <c r="F20" s="128">
        <f t="shared" si="1"/>
        <v>8.3560399636693913E-2</v>
      </c>
      <c r="G20" s="27">
        <f t="shared" si="2"/>
        <v>136</v>
      </c>
      <c r="H20" s="43" t="s">
        <v>698</v>
      </c>
      <c r="I20" s="46">
        <v>92</v>
      </c>
      <c r="J20" s="46">
        <v>44</v>
      </c>
      <c r="M20" s="43"/>
      <c r="T20" s="678" t="s">
        <v>158</v>
      </c>
    </row>
    <row r="21" spans="2:20" ht="18.75" customHeight="1" x14ac:dyDescent="0.2">
      <c r="B21" s="84" t="s">
        <v>42</v>
      </c>
      <c r="C21" s="127">
        <f>IFERROR(INDEX(阻害要因×年齢階層[#All],MATCH($T21,阻害要因×年齢階層[[#All],[値]],0),MATCH($U$3,阻害要因×年齢階層[#Headers],0)),0)</f>
        <v>158</v>
      </c>
      <c r="D21" s="128">
        <f t="shared" si="0"/>
        <v>0.30560928433268858</v>
      </c>
      <c r="E21" s="127">
        <f>IFERROR(INDEX(阻害要因×年齢階層[#All],MATCH($T21,阻害要因×年齢階層[[#All],[値]],0),MATCH($V$3,阻害要因×年齢階層[#Headers],0)),0)</f>
        <v>372</v>
      </c>
      <c r="F21" s="128">
        <f t="shared" si="1"/>
        <v>0.33787465940054495</v>
      </c>
      <c r="G21" s="27">
        <f t="shared" si="2"/>
        <v>530</v>
      </c>
      <c r="H21" s="43" t="s">
        <v>699</v>
      </c>
      <c r="I21" s="46">
        <v>372</v>
      </c>
      <c r="J21" s="46">
        <v>158</v>
      </c>
      <c r="M21" s="43"/>
      <c r="T21" s="678" t="s">
        <v>159</v>
      </c>
    </row>
    <row r="22" spans="2:20" ht="18.75" customHeight="1" x14ac:dyDescent="0.2">
      <c r="B22" s="84" t="s">
        <v>43</v>
      </c>
      <c r="C22" s="127">
        <f>IFERROR(INDEX(阻害要因×年齢階層[#All],MATCH($T22,阻害要因×年齢階層[[#All],[値]],0),MATCH($U$3,阻害要因×年齢階層[#Headers],0)),0)</f>
        <v>92</v>
      </c>
      <c r="D22" s="128">
        <f t="shared" si="0"/>
        <v>0.17794970986460348</v>
      </c>
      <c r="E22" s="127">
        <f>IFERROR(INDEX(阻害要因×年齢階層[#All],MATCH($T22,阻害要因×年齢階層[[#All],[値]],0),MATCH($V$3,阻害要因×年齢階層[#Headers],0)),0)</f>
        <v>196</v>
      </c>
      <c r="F22" s="128">
        <f t="shared" si="1"/>
        <v>0.17801998183469572</v>
      </c>
      <c r="G22" s="27">
        <f t="shared" si="2"/>
        <v>288</v>
      </c>
      <c r="H22" s="43" t="s">
        <v>700</v>
      </c>
      <c r="I22" s="46">
        <v>196</v>
      </c>
      <c r="J22" s="46">
        <v>92</v>
      </c>
      <c r="M22" s="43"/>
      <c r="T22" s="678" t="s">
        <v>160</v>
      </c>
    </row>
    <row r="23" spans="2:20" ht="18.75" customHeight="1" x14ac:dyDescent="0.2">
      <c r="B23" s="84" t="s">
        <v>44</v>
      </c>
      <c r="C23" s="127">
        <f>IFERROR(INDEX(阻害要因×年齢階層[#All],MATCH($T23,阻害要因×年齢階層[[#All],[値]],0),MATCH($U$3,阻害要因×年齢階層[#Headers],0)),0)</f>
        <v>75</v>
      </c>
      <c r="D23" s="128">
        <f t="shared" si="0"/>
        <v>0.14506769825918761</v>
      </c>
      <c r="E23" s="127">
        <f>IFERROR(INDEX(阻害要因×年齢階層[#All],MATCH($T23,阻害要因×年齢階層[[#All],[値]],0),MATCH($V$3,阻害要因×年齢階層[#Headers],0)),0)</f>
        <v>193</v>
      </c>
      <c r="F23" s="128">
        <f t="shared" si="1"/>
        <v>0.17529518619436876</v>
      </c>
      <c r="G23" s="27">
        <f t="shared" si="2"/>
        <v>268</v>
      </c>
      <c r="H23" s="43" t="s">
        <v>701</v>
      </c>
      <c r="I23" s="46">
        <v>193</v>
      </c>
      <c r="J23" s="46">
        <v>75</v>
      </c>
      <c r="M23" s="43"/>
      <c r="T23" s="678" t="s">
        <v>161</v>
      </c>
    </row>
    <row r="24" spans="2:20" ht="18.75" customHeight="1" x14ac:dyDescent="0.2">
      <c r="B24" s="84" t="s">
        <v>45</v>
      </c>
      <c r="C24" s="127">
        <f>IFERROR(INDEX(阻害要因×年齢階層[#All],MATCH($T24,阻害要因×年齢階層[[#All],[値]],0),MATCH($U$3,阻害要因×年齢階層[#Headers],0)),0)</f>
        <v>168</v>
      </c>
      <c r="D24" s="128">
        <f t="shared" si="0"/>
        <v>0.32495164410058025</v>
      </c>
      <c r="E24" s="127">
        <f>IFERROR(INDEX(阻害要因×年齢階層[#All],MATCH($T24,阻害要因×年齢階層[[#All],[値]],0),MATCH($V$3,阻害要因×年齢階層[#Headers],0)),0)</f>
        <v>380</v>
      </c>
      <c r="F24" s="128">
        <f t="shared" si="1"/>
        <v>0.34514078110808355</v>
      </c>
      <c r="G24" s="27">
        <f t="shared" si="2"/>
        <v>548</v>
      </c>
      <c r="H24" s="43" t="s">
        <v>702</v>
      </c>
      <c r="I24" s="46">
        <v>380</v>
      </c>
      <c r="J24" s="46">
        <v>168</v>
      </c>
      <c r="M24" s="43"/>
      <c r="T24" s="678" t="s">
        <v>162</v>
      </c>
    </row>
    <row r="25" spans="2:20" ht="18.75" customHeight="1" x14ac:dyDescent="0.2">
      <c r="B25" s="84" t="s">
        <v>46</v>
      </c>
      <c r="C25" s="127">
        <f>IFERROR(INDEX(阻害要因×年齢階層[#All],MATCH($T25,阻害要因×年齢階層[[#All],[値]],0),MATCH($U$3,阻害要因×年齢階層[#Headers],0)),0)</f>
        <v>26</v>
      </c>
      <c r="D25" s="128">
        <f t="shared" si="0"/>
        <v>5.0290135396518373E-2</v>
      </c>
      <c r="E25" s="127">
        <f>IFERROR(INDEX(阻害要因×年齢階層[#All],MATCH($T25,阻害要因×年齢階層[[#All],[値]],0),MATCH($V$3,阻害要因×年齢階層[#Headers],0)),0)</f>
        <v>81</v>
      </c>
      <c r="F25" s="128">
        <f t="shared" si="1"/>
        <v>7.3569482288828342E-2</v>
      </c>
      <c r="G25" s="27">
        <f t="shared" si="2"/>
        <v>107</v>
      </c>
      <c r="H25" s="43" t="s">
        <v>703</v>
      </c>
      <c r="I25" s="46">
        <v>81</v>
      </c>
      <c r="J25" s="46">
        <v>26</v>
      </c>
      <c r="M25" s="43"/>
      <c r="T25" s="678" t="s">
        <v>163</v>
      </c>
    </row>
    <row r="26" spans="2:20" ht="18.75" customHeight="1" x14ac:dyDescent="0.2">
      <c r="B26" s="84" t="s">
        <v>47</v>
      </c>
      <c r="C26" s="127">
        <f>IFERROR(INDEX(阻害要因×年齢階層[#All],MATCH($T26,阻害要因×年齢階層[[#All],[値]],0),MATCH($U$3,阻害要因×年齢階層[#Headers],0)),0)</f>
        <v>19</v>
      </c>
      <c r="D26" s="128">
        <f t="shared" si="0"/>
        <v>3.6750483558994199E-2</v>
      </c>
      <c r="E26" s="127">
        <f>IFERROR(INDEX(阻害要因×年齢階層[#All],MATCH($T26,阻害要因×年齢階層[[#All],[値]],0),MATCH($V$3,阻害要因×年齢階層[#Headers],0)),0)</f>
        <v>61</v>
      </c>
      <c r="F26" s="128">
        <f t="shared" si="1"/>
        <v>5.5404178019981834E-2</v>
      </c>
      <c r="G26" s="27">
        <f t="shared" si="2"/>
        <v>80</v>
      </c>
      <c r="H26" s="43" t="s">
        <v>704</v>
      </c>
      <c r="I26" s="46">
        <v>61</v>
      </c>
      <c r="J26" s="46">
        <v>19</v>
      </c>
      <c r="M26" s="43"/>
      <c r="T26" s="678" t="s">
        <v>164</v>
      </c>
    </row>
    <row r="27" spans="2:20" ht="18.75" customHeight="1" x14ac:dyDescent="0.2">
      <c r="B27" s="84" t="s">
        <v>48</v>
      </c>
      <c r="C27" s="127">
        <f>IFERROR(INDEX(阻害要因×年齢階層[#All],MATCH($T27,阻害要因×年齢階層[[#All],[値]],0),MATCH($U$3,阻害要因×年齢階層[#Headers],0)),0)</f>
        <v>3</v>
      </c>
      <c r="D27" s="144">
        <f t="shared" si="0"/>
        <v>5.8027079303675051E-3</v>
      </c>
      <c r="E27" s="127">
        <f>IFERROR(INDEX(阻害要因×年齢階層[#All],MATCH($T27,阻害要因×年齢階層[[#All],[値]],0),MATCH($V$3,阻害要因×年齢階層[#Headers],0)),0)</f>
        <v>15</v>
      </c>
      <c r="F27" s="144">
        <f t="shared" si="1"/>
        <v>1.3623978201634877E-2</v>
      </c>
      <c r="G27" s="27">
        <f t="shared" si="2"/>
        <v>18</v>
      </c>
      <c r="H27" s="43" t="s">
        <v>705</v>
      </c>
      <c r="I27" s="46">
        <v>15</v>
      </c>
      <c r="J27" s="46">
        <v>3</v>
      </c>
      <c r="M27" s="43"/>
      <c r="T27" s="678" t="s">
        <v>165</v>
      </c>
    </row>
    <row r="28" spans="2:20" ht="18.75" customHeight="1" x14ac:dyDescent="0.2">
      <c r="B28" s="84" t="s">
        <v>49</v>
      </c>
      <c r="C28" s="127">
        <f>IFERROR(INDEX(阻害要因×年齢階層[#All],MATCH($T28,阻害要因×年齢階層[[#All],[値]],0),MATCH($U$3,阻害要因×年齢階層[#Headers],0)),0)</f>
        <v>41</v>
      </c>
      <c r="D28" s="128">
        <f t="shared" si="0"/>
        <v>7.9303675048355893E-2</v>
      </c>
      <c r="E28" s="127">
        <f>IFERROR(INDEX(阻害要因×年齢階層[#All],MATCH($T28,阻害要因×年齢階層[[#All],[値]],0),MATCH($V$3,阻害要因×年齢階層[#Headers],0)),0)</f>
        <v>102</v>
      </c>
      <c r="F28" s="128">
        <f t="shared" si="1"/>
        <v>9.264305177111716E-2</v>
      </c>
      <c r="G28" s="27">
        <f t="shared" si="2"/>
        <v>143</v>
      </c>
      <c r="H28" s="43" t="s">
        <v>706</v>
      </c>
      <c r="I28" s="46">
        <v>102</v>
      </c>
      <c r="J28" s="46">
        <v>41</v>
      </c>
      <c r="M28" s="43"/>
      <c r="T28" s="678" t="s">
        <v>166</v>
      </c>
    </row>
    <row r="29" spans="2:20" ht="18.75" customHeight="1" x14ac:dyDescent="0.2">
      <c r="B29" s="84" t="s">
        <v>50</v>
      </c>
      <c r="C29" s="127">
        <f>IFERROR(INDEX(阻害要因×年齢階層[#All],MATCH($T29,阻害要因×年齢階層[[#All],[値]],0),MATCH($U$3,阻害要因×年齢階層[#Headers],0)),0)</f>
        <v>46</v>
      </c>
      <c r="D29" s="128">
        <f t="shared" si="0"/>
        <v>8.8974854932301742E-2</v>
      </c>
      <c r="E29" s="127">
        <f>IFERROR(INDEX(阻害要因×年齢階層[#All],MATCH($T29,阻害要因×年齢階層[[#All],[値]],0),MATCH($V$3,阻害要因×年齢階層[#Headers],0)),0)</f>
        <v>92</v>
      </c>
      <c r="F29" s="128">
        <f t="shared" si="1"/>
        <v>8.3560399636693913E-2</v>
      </c>
      <c r="G29" s="27">
        <f t="shared" si="2"/>
        <v>138</v>
      </c>
      <c r="H29" s="43" t="s">
        <v>707</v>
      </c>
      <c r="I29" s="46">
        <v>92</v>
      </c>
      <c r="J29" s="46">
        <v>46</v>
      </c>
      <c r="M29" s="43"/>
      <c r="T29" s="678" t="s">
        <v>167</v>
      </c>
    </row>
    <row r="30" spans="2:20" ht="18.75" customHeight="1" x14ac:dyDescent="0.2">
      <c r="B30" s="84" t="s">
        <v>51</v>
      </c>
      <c r="C30" s="127">
        <f>IFERROR(INDEX(阻害要因×年齢階層[#All],MATCH($T30,阻害要因×年齢階層[[#All],[値]],0),MATCH($U$3,阻害要因×年齢階層[#Headers],0)),0)</f>
        <v>4</v>
      </c>
      <c r="D30" s="128">
        <f t="shared" si="0"/>
        <v>7.7369439071566732E-3</v>
      </c>
      <c r="E30" s="127">
        <f>IFERROR(INDEX(阻害要因×年齢階層[#All],MATCH($T30,阻害要因×年齢階層[[#All],[値]],0),MATCH($V$3,阻害要因×年齢階層[#Headers],0)),0)</f>
        <v>16</v>
      </c>
      <c r="F30" s="128">
        <f t="shared" si="1"/>
        <v>1.4532243415077202E-2</v>
      </c>
      <c r="G30" s="27">
        <f t="shared" si="2"/>
        <v>20</v>
      </c>
      <c r="H30" s="43" t="s">
        <v>708</v>
      </c>
      <c r="I30" s="46">
        <v>16</v>
      </c>
      <c r="J30" s="46">
        <v>4</v>
      </c>
      <c r="M30" s="43"/>
      <c r="T30" s="678" t="s">
        <v>168</v>
      </c>
    </row>
    <row r="31" spans="2:20" s="352" customFormat="1" ht="18.75" customHeight="1" x14ac:dyDescent="0.2">
      <c r="B31" s="354" t="s">
        <v>352</v>
      </c>
      <c r="C31" s="127">
        <f>IFERROR(INDEX(阻害要因×年齢階層[#All],MATCH($T31,阻害要因×年齢階層[[#All],[値]],0),MATCH($U$3,阻害要因×年齢階層[#Headers],0)),0)</f>
        <v>40</v>
      </c>
      <c r="D31" s="128">
        <f t="shared" si="0"/>
        <v>7.7369439071566737E-2</v>
      </c>
      <c r="E31" s="127">
        <f>IFERROR(INDEX(阻害要因×年齢階層[#All],MATCH($T31,阻害要因×年齢階層[[#All],[値]],0),MATCH($V$3,阻害要因×年齢階層[#Headers],0)),0)</f>
        <v>271</v>
      </c>
      <c r="F31" s="128">
        <f t="shared" si="1"/>
        <v>0.24613987284287012</v>
      </c>
      <c r="G31" s="27">
        <f t="shared" si="2"/>
        <v>311</v>
      </c>
      <c r="H31" s="43" t="s">
        <v>709</v>
      </c>
      <c r="I31" s="46">
        <v>271</v>
      </c>
      <c r="J31" s="46">
        <v>40</v>
      </c>
      <c r="M31" s="43"/>
      <c r="T31" s="678" t="s">
        <v>354</v>
      </c>
    </row>
    <row r="32" spans="2:20" s="352" customFormat="1" ht="37.5" customHeight="1" x14ac:dyDescent="0.2">
      <c r="B32" s="376" t="s">
        <v>353</v>
      </c>
      <c r="C32" s="127">
        <f>IFERROR(INDEX(阻害要因×年齢階層[#All],MATCH($T32,阻害要因×年齢階層[[#All],[値]],0),MATCH($U$3,阻害要因×年齢階層[#Headers],0)),0)</f>
        <v>23</v>
      </c>
      <c r="D32" s="128">
        <f t="shared" si="0"/>
        <v>4.4487427466150871E-2</v>
      </c>
      <c r="E32" s="127">
        <f>IFERROR(INDEX(阻害要因×年齢階層[#All],MATCH($T32,阻害要因×年齢階層[[#All],[値]],0),MATCH($V$3,阻害要因×年齢階層[#Headers],0)),0)</f>
        <v>100</v>
      </c>
      <c r="F32" s="128">
        <f t="shared" si="1"/>
        <v>9.0826521344232511E-2</v>
      </c>
      <c r="G32" s="27">
        <f t="shared" si="2"/>
        <v>123</v>
      </c>
      <c r="H32" s="43" t="s">
        <v>710</v>
      </c>
      <c r="I32" s="46">
        <v>100</v>
      </c>
      <c r="J32" s="46">
        <v>23</v>
      </c>
      <c r="M32" s="43"/>
      <c r="T32" s="678" t="s">
        <v>355</v>
      </c>
    </row>
    <row r="33" spans="2:20" ht="18.75" customHeight="1" x14ac:dyDescent="0.2">
      <c r="B33" s="85" t="s">
        <v>52</v>
      </c>
      <c r="C33" s="130">
        <f>IFERROR(INDEX(阻害要因×年齢階層[#All],MATCH($T33,阻害要因×年齢階層[[#All],[値]],0),MATCH($U$3,阻害要因×年齢階層[#Headers],0)),0)</f>
        <v>14</v>
      </c>
      <c r="D33" s="132">
        <f t="shared" si="0"/>
        <v>2.7079303675048357E-2</v>
      </c>
      <c r="E33" s="130">
        <f>IFERROR(INDEX(阻害要因×年齢階層[#All],MATCH($T33,阻害要因×年齢階層[[#All],[値]],0),MATCH($V$3,阻害要因×年齢階層[#Headers],0)),0)</f>
        <v>25</v>
      </c>
      <c r="F33" s="132">
        <f t="shared" si="1"/>
        <v>2.2706630336058128E-2</v>
      </c>
      <c r="G33" s="27">
        <f t="shared" si="2"/>
        <v>39</v>
      </c>
      <c r="H33" s="43" t="s">
        <v>711</v>
      </c>
      <c r="I33" s="46">
        <v>25</v>
      </c>
      <c r="J33" s="46">
        <v>14</v>
      </c>
      <c r="M33" s="43"/>
      <c r="T33" s="678" t="s">
        <v>169</v>
      </c>
    </row>
    <row r="34" spans="2:20" ht="18.75" customHeight="1" x14ac:dyDescent="0.2">
      <c r="B34" s="676"/>
      <c r="C34" s="145"/>
      <c r="D34" s="146"/>
      <c r="E34" s="145"/>
      <c r="F34" s="146"/>
      <c r="G34" s="27"/>
      <c r="H34" s="21"/>
    </row>
    <row r="35" spans="2:20" ht="18.75" customHeight="1" x14ac:dyDescent="0.2">
      <c r="B35" s="2" t="s">
        <v>464</v>
      </c>
      <c r="C35" s="145"/>
      <c r="D35" s="145"/>
      <c r="E35" s="145"/>
      <c r="F35" s="145"/>
      <c r="G35" s="27"/>
    </row>
    <row r="36" spans="2:20" ht="18.75" customHeight="1" thickBot="1" x14ac:dyDescent="0.25">
      <c r="B36" s="748" t="s">
        <v>465</v>
      </c>
      <c r="C36" s="1027" t="s">
        <v>466</v>
      </c>
      <c r="D36" s="1028"/>
      <c r="E36" s="1028"/>
      <c r="F36" s="1029"/>
      <c r="G36" s="27"/>
      <c r="H36" s="21" t="s">
        <v>470</v>
      </c>
      <c r="I36" s="30" t="s">
        <v>471</v>
      </c>
    </row>
    <row r="37" spans="2:20" ht="18.75" customHeight="1" thickTop="1" thickBot="1" x14ac:dyDescent="0.25">
      <c r="B37" s="749"/>
      <c r="C37" s="1027" t="s">
        <v>284</v>
      </c>
      <c r="D37" s="1029"/>
      <c r="E37" s="1027" t="s">
        <v>285</v>
      </c>
      <c r="F37" s="1029"/>
      <c r="G37" s="27"/>
      <c r="H37" s="305" t="s">
        <v>655</v>
      </c>
      <c r="I37" s="220" t="s">
        <v>463</v>
      </c>
      <c r="J37" s="220" t="s">
        <v>675</v>
      </c>
    </row>
    <row r="38" spans="2:20" ht="37.5" customHeight="1" thickTop="1" x14ac:dyDescent="0.2">
      <c r="B38" s="60" t="s">
        <v>462</v>
      </c>
      <c r="C38" s="124">
        <f>IFERROR(INDEX(退院予定有無×年齢階層＿寛解・院内寛解[#All],MATCH($T4,退院予定有無×年齢階層＿寛解・院内寛解[[#All],[行ラベル]],0),MATCH($U$3,退院予定有無×年齢階層＿寛解・院内寛解[#Headers],0)),0)</f>
        <v>247</v>
      </c>
      <c r="D38" s="125">
        <f>IFERROR(C38/C$41,"-")</f>
        <v>0.28821470245040842</v>
      </c>
      <c r="E38" s="124">
        <f>IFERROR(INDEX(退院予定有無×年齢階層＿寛解・院内寛解[#All],MATCH($T4,退院予定有無×年齢階層＿寛解・院内寛解[[#All],[行ラベル]],0),MATCH($V$3,退院予定有無×年齢階層＿寛解・院内寛解[#Headers],0)),0)</f>
        <v>352</v>
      </c>
      <c r="F38" s="126">
        <f>IFERROR(E38/E$41,"-")</f>
        <v>0.43781094527363185</v>
      </c>
      <c r="G38" s="27">
        <f>SUM(C38,E38)</f>
        <v>599</v>
      </c>
      <c r="H38" s="21">
        <v>97</v>
      </c>
      <c r="I38" s="46">
        <v>352</v>
      </c>
      <c r="J38" s="46">
        <v>247</v>
      </c>
    </row>
    <row r="39" spans="2:20" ht="18.75" customHeight="1" x14ac:dyDescent="0.2">
      <c r="B39" s="62" t="s">
        <v>316</v>
      </c>
      <c r="C39" s="127">
        <f>IFERROR(INDEX(退院予定有無×年齢階層＿寛解・院内寛解[#All],MATCH($T5,退院予定有無×年齢階層＿寛解・院内寛解[[#All],[行ラベル]],0),MATCH($U$3,退院予定有無×年齢階層＿寛解・院内寛解[#Headers],0)),0)</f>
        <v>186</v>
      </c>
      <c r="D39" s="128">
        <f>IFERROR(C39/C$41,"-")</f>
        <v>0.21703617269544925</v>
      </c>
      <c r="E39" s="127">
        <f>IFERROR(INDEX(退院予定有無×年齢階層＿寛解・院内寛解[#All],MATCH($T5,退院予定有無×年齢階層＿寛解・院内寛解[[#All],[行ラベル]],0),MATCH($V$3,退院予定有無×年齢階層＿寛解・院内寛解[#Headers],0)),0)</f>
        <v>201</v>
      </c>
      <c r="F39" s="129">
        <f>IFERROR(E39/E$41,"-")</f>
        <v>0.25</v>
      </c>
      <c r="G39" s="27">
        <f t="shared" ref="G39:G41" si="3">SUM(C39,E39)</f>
        <v>387</v>
      </c>
      <c r="H39" s="21">
        <v>98</v>
      </c>
      <c r="I39" s="46">
        <v>201</v>
      </c>
      <c r="J39" s="46">
        <v>186</v>
      </c>
    </row>
    <row r="40" spans="2:20" ht="18.75" customHeight="1" x14ac:dyDescent="0.2">
      <c r="B40" s="81" t="s">
        <v>36</v>
      </c>
      <c r="C40" s="130">
        <f>IFERROR(INDEX(退院予定有無×年齢階層＿寛解・院内寛解[#All],MATCH($T6,退院予定有無×年齢階層＿寛解・院内寛解[[#All],[行ラベル]],0),MATCH($U$3,退院予定有無×年齢階層＿寛解・院内寛解[#Headers],0)),0)</f>
        <v>424</v>
      </c>
      <c r="D40" s="131">
        <f>IFERROR(C40/C$41,"-")</f>
        <v>0.49474912485414235</v>
      </c>
      <c r="E40" s="130">
        <f>IFERROR(INDEX(退院予定有無×年齢階層＿寛解・院内寛解[#All],MATCH($T6,退院予定有無×年齢階層＿寛解・院内寛解[[#All],[行ラベル]],0),MATCH($V$3,退院予定有無×年齢階層＿寛解・院内寛解[#Headers],0)),0)</f>
        <v>251</v>
      </c>
      <c r="F40" s="132">
        <f>IFERROR(E40/E$41,"-")</f>
        <v>0.31218905472636815</v>
      </c>
      <c r="G40" s="27">
        <f>SUM(C40,E40,K39)</f>
        <v>675</v>
      </c>
      <c r="H40" s="21">
        <v>99</v>
      </c>
      <c r="I40" s="46">
        <v>251</v>
      </c>
      <c r="J40" s="46">
        <v>424</v>
      </c>
    </row>
    <row r="41" spans="2:20" ht="18.75" customHeight="1" x14ac:dyDescent="0.2">
      <c r="B41" s="63" t="s">
        <v>431</v>
      </c>
      <c r="C41" s="133">
        <f>SUM(C38:C40)</f>
        <v>857</v>
      </c>
      <c r="D41" s="134">
        <f>SUM(D38:D40)</f>
        <v>1</v>
      </c>
      <c r="E41" s="135">
        <f>SUM(E38:E40)</f>
        <v>804</v>
      </c>
      <c r="F41" s="134">
        <f>SUM(F38:F40)</f>
        <v>1</v>
      </c>
      <c r="G41" s="27">
        <f t="shared" si="3"/>
        <v>1661</v>
      </c>
      <c r="H41" s="21"/>
    </row>
    <row r="42" spans="2:20" ht="18.75" customHeight="1" thickBot="1" x14ac:dyDescent="0.25">
      <c r="B42" s="64"/>
      <c r="C42" s="136"/>
      <c r="D42" s="137"/>
      <c r="E42" s="138"/>
      <c r="F42" s="137"/>
      <c r="G42" s="27"/>
      <c r="H42" s="21"/>
    </row>
    <row r="43" spans="2:20" ht="18.75" customHeight="1" thickTop="1" thickBot="1" x14ac:dyDescent="0.25">
      <c r="B43" s="759" t="s">
        <v>223</v>
      </c>
      <c r="C43" s="753"/>
      <c r="D43" s="754"/>
      <c r="E43" s="754"/>
      <c r="F43" s="755"/>
      <c r="G43" s="27"/>
      <c r="H43" s="305" t="s">
        <v>655</v>
      </c>
      <c r="I43" s="220" t="s">
        <v>463</v>
      </c>
      <c r="J43" s="220" t="s">
        <v>675</v>
      </c>
    </row>
    <row r="44" spans="2:20" ht="18.75" customHeight="1" thickTop="1" x14ac:dyDescent="0.2">
      <c r="B44" s="69" t="s">
        <v>467</v>
      </c>
      <c r="C44" s="124">
        <f>IFERROR(INDEX(阻害要因有無×年齢階層＿寛解・院内寛解[#All],MATCH($T10,阻害要因有無×年齢階層＿寛解・院内寛解[[#All],[行ラベル]],0),MATCH($U$3,阻害要因有無×年齢階層＿寛解・院内寛解[#Headers],0)),0)</f>
        <v>189</v>
      </c>
      <c r="D44" s="126">
        <f>IFERROR(C44/C$38,"-")</f>
        <v>0.76518218623481782</v>
      </c>
      <c r="E44" s="124">
        <f>IFERROR(INDEX(阻害要因有無×年齢階層＿寛解・院内寛解[#All],MATCH($T10,阻害要因有無×年齢階層＿寛解・院内寛解[[#All],[行ラベル]],0),MATCH($V$3,阻害要因有無×年齢階層＿寛解・院内寛解[#Headers],0)),0)</f>
        <v>296</v>
      </c>
      <c r="F44" s="126">
        <f>IFERROR(E44/E$38,"-")</f>
        <v>0.84090909090909094</v>
      </c>
      <c r="G44" s="27">
        <f>SUM(C44,E44)</f>
        <v>485</v>
      </c>
      <c r="H44" s="21">
        <v>91</v>
      </c>
      <c r="I44" s="46">
        <v>296</v>
      </c>
      <c r="J44" s="46">
        <v>189</v>
      </c>
    </row>
    <row r="45" spans="2:20" ht="18.75" customHeight="1" x14ac:dyDescent="0.2">
      <c r="B45" s="62" t="s">
        <v>35</v>
      </c>
      <c r="C45" s="127">
        <f>IFERROR(INDEX(阻害要因有無×年齢階層＿寛解・院内寛解[#All],MATCH($T11,阻害要因有無×年齢階層＿寛解・院内寛解[[#All],[行ラベル]],0),MATCH($U$3,阻害要因有無×年齢階層＿寛解・院内寛解[#Headers],0)),0)</f>
        <v>58</v>
      </c>
      <c r="D45" s="128">
        <f>IFERROR(C45/C$38,"-")</f>
        <v>0.23481781376518218</v>
      </c>
      <c r="E45" s="127">
        <f>IFERROR(INDEX(阻害要因有無×年齢階層＿寛解・院内寛解[#All],MATCH($T11,阻害要因有無×年齢階層＿寛解・院内寛解[[#All],[行ラベル]],0),MATCH($V$3,阻害要因有無×年齢階層＿寛解・院内寛解[#Headers],0)),0)</f>
        <v>56</v>
      </c>
      <c r="F45" s="128">
        <f>IFERROR(E45/E$38,"-")</f>
        <v>0.15909090909090909</v>
      </c>
      <c r="G45" s="27">
        <f t="shared" ref="G45" si="4">SUM(C45,E45)</f>
        <v>114</v>
      </c>
      <c r="H45" s="21">
        <v>90</v>
      </c>
      <c r="I45" s="46">
        <v>56</v>
      </c>
      <c r="J45" s="46">
        <v>58</v>
      </c>
    </row>
    <row r="46" spans="2:20" ht="18.75" customHeight="1" thickBot="1" x14ac:dyDescent="0.25">
      <c r="B46" s="70" t="s">
        <v>468</v>
      </c>
      <c r="C46" s="756"/>
      <c r="D46" s="757"/>
      <c r="E46" s="757"/>
      <c r="F46" s="758"/>
      <c r="G46" s="27"/>
    </row>
    <row r="47" spans="2:20" ht="21" customHeight="1" thickTop="1" thickBot="1" x14ac:dyDescent="0.25">
      <c r="B47" s="750" t="s">
        <v>469</v>
      </c>
      <c r="C47" s="751"/>
      <c r="D47" s="751"/>
      <c r="E47" s="751"/>
      <c r="F47" s="752"/>
      <c r="G47" s="27">
        <f t="shared" ref="G47:G63" si="5">SUM(C48,E48)</f>
        <v>129</v>
      </c>
      <c r="H47" s="305" t="s">
        <v>676</v>
      </c>
      <c r="I47" s="220" t="s">
        <v>463</v>
      </c>
      <c r="J47" s="220" t="s">
        <v>675</v>
      </c>
    </row>
    <row r="48" spans="2:20" ht="45" customHeight="1" thickTop="1" x14ac:dyDescent="0.2">
      <c r="B48" s="83" t="s">
        <v>332</v>
      </c>
      <c r="C48" s="127">
        <f>IFERROR(INDEX(阻害要因×年齢階層＿寛解・院内寛解[#All],MATCH($T14,阻害要因×年齢階層＿寛解・院内寛解[[#All],[値]],0),MATCH($U$3,阻害要因×年齢階層＿寛解・院内寛解[#Headers],0)),0)</f>
        <v>47</v>
      </c>
      <c r="D48" s="143">
        <f t="shared" ref="D48:D67" si="6">IFERROR(C48/C$44,"-")</f>
        <v>0.24867724867724866</v>
      </c>
      <c r="E48" s="142">
        <f>IFERROR(INDEX(阻害要因×年齢階層＿寛解・院内寛解[#All],MATCH($T14,阻害要因×年齢階層＿寛解・院内寛解[[#All],[値]],0),MATCH($V$3,阻害要因×年齢階層＿寛解・院内寛解[#Headers],0)),0)</f>
        <v>82</v>
      </c>
      <c r="F48" s="143">
        <f t="shared" ref="F48:F67" si="7">IFERROR(E48/E$44,"-")</f>
        <v>0.27702702702702703</v>
      </c>
      <c r="G48" s="27">
        <f t="shared" si="5"/>
        <v>83</v>
      </c>
      <c r="H48" s="43" t="s">
        <v>692</v>
      </c>
      <c r="I48" s="46">
        <v>82</v>
      </c>
      <c r="J48" s="46">
        <v>47</v>
      </c>
    </row>
    <row r="49" spans="2:10" ht="18.75" customHeight="1" x14ac:dyDescent="0.2">
      <c r="B49" s="84" t="s">
        <v>212</v>
      </c>
      <c r="C49" s="127">
        <f>IFERROR(INDEX(阻害要因×年齢階層＿寛解・院内寛解[#All],MATCH($T15,阻害要因×年齢階層＿寛解・院内寛解[[#All],[値]],0),MATCH($U$3,阻害要因×年齢階層＿寛解・院内寛解[#Headers],0)),0)</f>
        <v>36</v>
      </c>
      <c r="D49" s="144">
        <f t="shared" si="6"/>
        <v>0.19047619047619047</v>
      </c>
      <c r="E49" s="127">
        <f>IFERROR(INDEX(阻害要因×年齢階層＿寛解・院内寛解[#All],MATCH($T15,阻害要因×年齢階層＿寛解・院内寛解[[#All],[値]],0),MATCH($V$3,阻害要因×年齢階層＿寛解・院内寛解[#Headers],0)),0)</f>
        <v>47</v>
      </c>
      <c r="F49" s="144">
        <f t="shared" si="7"/>
        <v>0.15878378378378377</v>
      </c>
      <c r="G49" s="27">
        <f t="shared" si="5"/>
        <v>12</v>
      </c>
      <c r="H49" s="43" t="s">
        <v>693</v>
      </c>
      <c r="I49" s="46">
        <v>47</v>
      </c>
      <c r="J49" s="46">
        <v>36</v>
      </c>
    </row>
    <row r="50" spans="2:10" ht="18.75" customHeight="1" x14ac:dyDescent="0.2">
      <c r="B50" s="84" t="s">
        <v>37</v>
      </c>
      <c r="C50" s="127">
        <f>IFERROR(INDEX(阻害要因×年齢階層＿寛解・院内寛解[#All],MATCH($T16,阻害要因×年齢階層＿寛解・院内寛解[[#All],[値]],0),MATCH($U$3,阻害要因×年齢階層＿寛解・院内寛解[#Headers],0)),0)</f>
        <v>10</v>
      </c>
      <c r="D50" s="144">
        <f t="shared" si="6"/>
        <v>5.2910052910052907E-2</v>
      </c>
      <c r="E50" s="127">
        <f>IFERROR(INDEX(阻害要因×年齢階層＿寛解・院内寛解[#All],MATCH($T16,阻害要因×年齢階層＿寛解・院内寛解[[#All],[値]],0),MATCH($V$3,阻害要因×年齢階層＿寛解・院内寛解[#Headers],0)),0)</f>
        <v>2</v>
      </c>
      <c r="F50" s="144">
        <f t="shared" si="7"/>
        <v>6.7567567567567571E-3</v>
      </c>
      <c r="G50" s="27">
        <f t="shared" si="5"/>
        <v>179</v>
      </c>
      <c r="H50" s="43" t="s">
        <v>694</v>
      </c>
      <c r="I50" s="46">
        <v>2</v>
      </c>
      <c r="J50" s="46">
        <v>10</v>
      </c>
    </row>
    <row r="51" spans="2:10" ht="18.75" customHeight="1" x14ac:dyDescent="0.2">
      <c r="B51" s="84" t="s">
        <v>38</v>
      </c>
      <c r="C51" s="127">
        <f>IFERROR(INDEX(阻害要因×年齢階層＿寛解・院内寛解[#All],MATCH($T17,阻害要因×年齢階層＿寛解・院内寛解[[#All],[値]],0),MATCH($U$3,阻害要因×年齢階層＿寛解・院内寛解[#Headers],0)),0)</f>
        <v>57</v>
      </c>
      <c r="D51" s="144">
        <f t="shared" si="6"/>
        <v>0.30158730158730157</v>
      </c>
      <c r="E51" s="127">
        <f>IFERROR(INDEX(阻害要因×年齢階層＿寛解・院内寛解[#All],MATCH($T17,阻害要因×年齢階層＿寛解・院内寛解[[#All],[値]],0),MATCH($V$3,阻害要因×年齢階層＿寛解・院内寛解[#Headers],0)),0)</f>
        <v>122</v>
      </c>
      <c r="F51" s="144">
        <f t="shared" si="7"/>
        <v>0.41216216216216217</v>
      </c>
      <c r="G51" s="27">
        <f t="shared" si="5"/>
        <v>133</v>
      </c>
      <c r="H51" s="43" t="s">
        <v>695</v>
      </c>
      <c r="I51" s="46">
        <v>122</v>
      </c>
      <c r="J51" s="46">
        <v>57</v>
      </c>
    </row>
    <row r="52" spans="2:10" ht="18.75" customHeight="1" x14ac:dyDescent="0.2">
      <c r="B52" s="84" t="s">
        <v>39</v>
      </c>
      <c r="C52" s="127">
        <f>IFERROR(INDEX(阻害要因×年齢階層＿寛解・院内寛解[#All],MATCH($T18,阻害要因×年齢階層＿寛解・院内寛解[[#All],[値]],0),MATCH($U$3,阻害要因×年齢階層＿寛解・院内寛解[#Headers],0)),0)</f>
        <v>52</v>
      </c>
      <c r="D52" s="144">
        <f t="shared" si="6"/>
        <v>0.27513227513227512</v>
      </c>
      <c r="E52" s="127">
        <f>IFERROR(INDEX(阻害要因×年齢階層＿寛解・院内寛解[#All],MATCH($T18,阻害要因×年齢階層＿寛解・院内寛解[[#All],[値]],0),MATCH($V$3,阻害要因×年齢階層＿寛解・院内寛解[#Headers],0)),0)</f>
        <v>81</v>
      </c>
      <c r="F52" s="144">
        <f t="shared" si="7"/>
        <v>0.27364864864864863</v>
      </c>
      <c r="G52" s="27">
        <f t="shared" si="5"/>
        <v>134</v>
      </c>
      <c r="H52" s="43" t="s">
        <v>696</v>
      </c>
      <c r="I52" s="46">
        <v>81</v>
      </c>
      <c r="J52" s="46">
        <v>52</v>
      </c>
    </row>
    <row r="53" spans="2:10" ht="18.75" customHeight="1" x14ac:dyDescent="0.2">
      <c r="B53" s="84" t="s">
        <v>40</v>
      </c>
      <c r="C53" s="127">
        <f>IFERROR(INDEX(阻害要因×年齢階層＿寛解・院内寛解[#All],MATCH($T19,阻害要因×年齢階層＿寛解・院内寛解[[#All],[値]],0),MATCH($U$3,阻害要因×年齢階層＿寛解・院内寛解[#Headers],0)),0)</f>
        <v>56</v>
      </c>
      <c r="D53" s="144">
        <f t="shared" si="6"/>
        <v>0.29629629629629628</v>
      </c>
      <c r="E53" s="127">
        <f>IFERROR(INDEX(阻害要因×年齢階層＿寛解・院内寛解[#All],MATCH($T19,阻害要因×年齢階層＿寛解・院内寛解[[#All],[値]],0),MATCH($V$3,阻害要因×年齢階層＿寛解・院内寛解[#Headers],0)),0)</f>
        <v>78</v>
      </c>
      <c r="F53" s="144">
        <f t="shared" si="7"/>
        <v>0.26351351351351349</v>
      </c>
      <c r="G53" s="27">
        <f t="shared" si="5"/>
        <v>22</v>
      </c>
      <c r="H53" s="43" t="s">
        <v>697</v>
      </c>
      <c r="I53" s="46">
        <v>78</v>
      </c>
      <c r="J53" s="46">
        <v>56</v>
      </c>
    </row>
    <row r="54" spans="2:10" ht="18.75" customHeight="1" x14ac:dyDescent="0.2">
      <c r="B54" s="84" t="s">
        <v>41</v>
      </c>
      <c r="C54" s="127">
        <f>IFERROR(INDEX(阻害要因×年齢階層＿寛解・院内寛解[#All],MATCH($T20,阻害要因×年齢階層＿寛解・院内寛解[[#All],[値]],0),MATCH($U$3,阻害要因×年齢階層＿寛解・院内寛解[#Headers],0)),0)</f>
        <v>11</v>
      </c>
      <c r="D54" s="144">
        <f t="shared" si="6"/>
        <v>5.8201058201058198E-2</v>
      </c>
      <c r="E54" s="127">
        <f>IFERROR(INDEX(阻害要因×年齢階層＿寛解・院内寛解[#All],MATCH($T20,阻害要因×年齢階層＿寛解・院内寛解[[#All],[値]],0),MATCH($V$3,阻害要因×年齢階層＿寛解・院内寛解[#Headers],0)),0)</f>
        <v>11</v>
      </c>
      <c r="F54" s="144">
        <f t="shared" si="7"/>
        <v>3.7162162162162164E-2</v>
      </c>
      <c r="G54" s="27">
        <f t="shared" si="5"/>
        <v>130</v>
      </c>
      <c r="H54" s="43" t="s">
        <v>698</v>
      </c>
      <c r="I54" s="46">
        <v>11</v>
      </c>
      <c r="J54" s="46">
        <v>11</v>
      </c>
    </row>
    <row r="55" spans="2:10" ht="18.75" customHeight="1" x14ac:dyDescent="0.2">
      <c r="B55" s="84" t="s">
        <v>42</v>
      </c>
      <c r="C55" s="127">
        <f>IFERROR(INDEX(阻害要因×年齢階層＿寛解・院内寛解[#All],MATCH($T21,阻害要因×年齢階層＿寛解・院内寛解[[#All],[値]],0),MATCH($U$3,阻害要因×年齢階層＿寛解・院内寛解[#Headers],0)),0)</f>
        <v>45</v>
      </c>
      <c r="D55" s="144">
        <f t="shared" si="6"/>
        <v>0.23809523809523808</v>
      </c>
      <c r="E55" s="127">
        <f>IFERROR(INDEX(阻害要因×年齢階層＿寛解・院内寛解[#All],MATCH($T21,阻害要因×年齢階層＿寛解・院内寛解[[#All],[値]],0),MATCH($V$3,阻害要因×年齢階層＿寛解・院内寛解[#Headers],0)),0)</f>
        <v>85</v>
      </c>
      <c r="F55" s="144">
        <f t="shared" si="7"/>
        <v>0.28716216216216217</v>
      </c>
      <c r="G55" s="27">
        <f t="shared" si="5"/>
        <v>69</v>
      </c>
      <c r="H55" s="43" t="s">
        <v>699</v>
      </c>
      <c r="I55" s="46">
        <v>85</v>
      </c>
      <c r="J55" s="46">
        <v>45</v>
      </c>
    </row>
    <row r="56" spans="2:10" ht="18.75" customHeight="1" x14ac:dyDescent="0.2">
      <c r="B56" s="84" t="s">
        <v>43</v>
      </c>
      <c r="C56" s="127">
        <f>IFERROR(INDEX(阻害要因×年齢階層＿寛解・院内寛解[#All],MATCH($T22,阻害要因×年齢階層＿寛解・院内寛解[[#All],[値]],0),MATCH($U$3,阻害要因×年齢階層＿寛解・院内寛解[#Headers],0)),0)</f>
        <v>26</v>
      </c>
      <c r="D56" s="144">
        <f t="shared" si="6"/>
        <v>0.13756613756613756</v>
      </c>
      <c r="E56" s="127">
        <f>IFERROR(INDEX(阻害要因×年齢階層＿寛解・院内寛解[#All],MATCH($T22,阻害要因×年齢階層＿寛解・院内寛解[[#All],[値]],0),MATCH($V$3,阻害要因×年齢階層＿寛解・院内寛解[#Headers],0)),0)</f>
        <v>43</v>
      </c>
      <c r="F56" s="144">
        <f t="shared" si="7"/>
        <v>0.14527027027027026</v>
      </c>
      <c r="G56" s="27">
        <f t="shared" si="5"/>
        <v>75</v>
      </c>
      <c r="H56" s="43" t="s">
        <v>700</v>
      </c>
      <c r="I56" s="46">
        <v>43</v>
      </c>
      <c r="J56" s="46">
        <v>26</v>
      </c>
    </row>
    <row r="57" spans="2:10" ht="18.75" customHeight="1" x14ac:dyDescent="0.2">
      <c r="B57" s="84" t="s">
        <v>44</v>
      </c>
      <c r="C57" s="127">
        <f>IFERROR(INDEX(阻害要因×年齢階層＿寛解・院内寛解[#All],MATCH($T23,阻害要因×年齢階層＿寛解・院内寛解[[#All],[値]],0),MATCH($U$3,阻害要因×年齢階層＿寛解・院内寛解[#Headers],0)),0)</f>
        <v>32</v>
      </c>
      <c r="D57" s="144">
        <f t="shared" si="6"/>
        <v>0.1693121693121693</v>
      </c>
      <c r="E57" s="127">
        <f>IFERROR(INDEX(阻害要因×年齢階層＿寛解・院内寛解[#All],MATCH($T23,阻害要因×年齢階層＿寛解・院内寛解[[#All],[値]],0),MATCH($V$3,阻害要因×年齢階層＿寛解・院内寛解[#Headers],0)),0)</f>
        <v>43</v>
      </c>
      <c r="F57" s="144">
        <f t="shared" si="7"/>
        <v>0.14527027027027026</v>
      </c>
      <c r="G57" s="27">
        <f t="shared" si="5"/>
        <v>168</v>
      </c>
      <c r="H57" s="43" t="s">
        <v>701</v>
      </c>
      <c r="I57" s="46">
        <v>43</v>
      </c>
      <c r="J57" s="46">
        <v>32</v>
      </c>
    </row>
    <row r="58" spans="2:10" ht="18.75" customHeight="1" x14ac:dyDescent="0.2">
      <c r="B58" s="84" t="s">
        <v>45</v>
      </c>
      <c r="C58" s="127">
        <f>IFERROR(INDEX(阻害要因×年齢階層＿寛解・院内寛解[#All],MATCH($T24,阻害要因×年齢階層＿寛解・院内寛解[[#All],[値]],0),MATCH($U$3,阻害要因×年齢階層＿寛解・院内寛解[#Headers],0)),0)</f>
        <v>72</v>
      </c>
      <c r="D58" s="144">
        <f t="shared" si="6"/>
        <v>0.38095238095238093</v>
      </c>
      <c r="E58" s="127">
        <f>IFERROR(INDEX(阻害要因×年齢階層＿寛解・院内寛解[#All],MATCH($T24,阻害要因×年齢階層＿寛解・院内寛解[[#All],[値]],0),MATCH($V$3,阻害要因×年齢階層＿寛解・院内寛解[#Headers],0)),0)</f>
        <v>96</v>
      </c>
      <c r="F58" s="144">
        <f t="shared" si="7"/>
        <v>0.32432432432432434</v>
      </c>
      <c r="G58" s="27">
        <f t="shared" si="5"/>
        <v>27</v>
      </c>
      <c r="H58" s="43" t="s">
        <v>702</v>
      </c>
      <c r="I58" s="46">
        <v>96</v>
      </c>
      <c r="J58" s="46">
        <v>72</v>
      </c>
    </row>
    <row r="59" spans="2:10" ht="18.75" customHeight="1" x14ac:dyDescent="0.2">
      <c r="B59" s="84" t="s">
        <v>46</v>
      </c>
      <c r="C59" s="127">
        <f>IFERROR(INDEX(阻害要因×年齢階層＿寛解・院内寛解[#All],MATCH($T25,阻害要因×年齢階層＿寛解・院内寛解[[#All],[値]],0),MATCH($U$3,阻害要因×年齢階層＿寛解・院内寛解[#Headers],0)),0)</f>
        <v>12</v>
      </c>
      <c r="D59" s="144">
        <f t="shared" si="6"/>
        <v>6.3492063492063489E-2</v>
      </c>
      <c r="E59" s="127">
        <f>IFERROR(INDEX(阻害要因×年齢階層＿寛解・院内寛解[#All],MATCH($T25,阻害要因×年齢階層＿寛解・院内寛解[[#All],[値]],0),MATCH($V$3,阻害要因×年齢階層＿寛解・院内寛解[#Headers],0)),0)</f>
        <v>15</v>
      </c>
      <c r="F59" s="144">
        <f t="shared" si="7"/>
        <v>5.0675675675675678E-2</v>
      </c>
      <c r="G59" s="27">
        <f t="shared" si="5"/>
        <v>14</v>
      </c>
      <c r="H59" s="43" t="s">
        <v>703</v>
      </c>
      <c r="I59" s="46">
        <v>15</v>
      </c>
      <c r="J59" s="46">
        <v>12</v>
      </c>
    </row>
    <row r="60" spans="2:10" ht="18.75" customHeight="1" x14ac:dyDescent="0.2">
      <c r="B60" s="84" t="s">
        <v>47</v>
      </c>
      <c r="C60" s="127">
        <f>IFERROR(INDEX(阻害要因×年齢階層＿寛解・院内寛解[#All],MATCH($T26,阻害要因×年齢階層＿寛解・院内寛解[[#All],[値]],0),MATCH($U$3,阻害要因×年齢階層＿寛解・院内寛解[#Headers],0)),0)</f>
        <v>4</v>
      </c>
      <c r="D60" s="144">
        <f t="shared" si="6"/>
        <v>2.1164021164021163E-2</v>
      </c>
      <c r="E60" s="127">
        <f>IFERROR(INDEX(阻害要因×年齢階層＿寛解・院内寛解[#All],MATCH($T26,阻害要因×年齢階層＿寛解・院内寛解[[#All],[値]],0),MATCH($V$3,阻害要因×年齢階層＿寛解・院内寛解[#Headers],0)),0)</f>
        <v>10</v>
      </c>
      <c r="F60" s="144">
        <f t="shared" si="7"/>
        <v>3.3783783783783786E-2</v>
      </c>
      <c r="G60" s="27">
        <f t="shared" si="5"/>
        <v>1</v>
      </c>
      <c r="H60" s="43" t="s">
        <v>704</v>
      </c>
      <c r="I60" s="46">
        <v>10</v>
      </c>
      <c r="J60" s="46">
        <v>4</v>
      </c>
    </row>
    <row r="61" spans="2:10" ht="18.75" customHeight="1" x14ac:dyDescent="0.2">
      <c r="B61" s="84" t="s">
        <v>48</v>
      </c>
      <c r="C61" s="127">
        <f>IFERROR(INDEX(阻害要因×年齢階層＿寛解・院内寛解[#All],MATCH($T27,阻害要因×年齢階層＿寛解・院内寛解[[#All],[値]],0),MATCH($U$3,阻害要因×年齢階層＿寛解・院内寛解[#Headers],0)),0)</f>
        <v>0</v>
      </c>
      <c r="D61" s="144">
        <f t="shared" si="6"/>
        <v>0</v>
      </c>
      <c r="E61" s="127">
        <f>IFERROR(INDEX(阻害要因×年齢階層＿寛解・院内寛解[#All],MATCH($T27,阻害要因×年齢階層＿寛解・院内寛解[[#All],[値]],0),MATCH($V$3,阻害要因×年齢階層＿寛解・院内寛解[#Headers],0)),0)</f>
        <v>1</v>
      </c>
      <c r="F61" s="144">
        <f t="shared" si="7"/>
        <v>3.3783783783783786E-3</v>
      </c>
      <c r="G61" s="27">
        <f t="shared" si="5"/>
        <v>46</v>
      </c>
      <c r="H61" s="43" t="s">
        <v>705</v>
      </c>
      <c r="I61" s="46">
        <v>1</v>
      </c>
      <c r="J61" s="46">
        <v>0</v>
      </c>
    </row>
    <row r="62" spans="2:10" ht="18.75" customHeight="1" x14ac:dyDescent="0.2">
      <c r="B62" s="84" t="s">
        <v>49</v>
      </c>
      <c r="C62" s="127">
        <f>IFERROR(INDEX(阻害要因×年齢階層＿寛解・院内寛解[#All],MATCH($T28,阻害要因×年齢階層＿寛解・院内寛解[[#All],[値]],0),MATCH($U$3,阻害要因×年齢階層＿寛解・院内寛解[#Headers],0)),0)</f>
        <v>12</v>
      </c>
      <c r="D62" s="144">
        <f t="shared" si="6"/>
        <v>6.3492063492063489E-2</v>
      </c>
      <c r="E62" s="127">
        <f>IFERROR(INDEX(阻害要因×年齢階層＿寛解・院内寛解[#All],MATCH($T28,阻害要因×年齢階層＿寛解・院内寛解[[#All],[値]],0),MATCH($V$3,阻害要因×年齢階層＿寛解・院内寛解[#Headers],0)),0)</f>
        <v>34</v>
      </c>
      <c r="F62" s="144">
        <f t="shared" si="7"/>
        <v>0.11486486486486487</v>
      </c>
      <c r="G62" s="27">
        <f t="shared" si="5"/>
        <v>38</v>
      </c>
      <c r="H62" s="43" t="s">
        <v>706</v>
      </c>
      <c r="I62" s="46">
        <v>34</v>
      </c>
      <c r="J62" s="46">
        <v>12</v>
      </c>
    </row>
    <row r="63" spans="2:10" ht="18.75" customHeight="1" x14ac:dyDescent="0.2">
      <c r="B63" s="84" t="s">
        <v>50</v>
      </c>
      <c r="C63" s="127">
        <f>IFERROR(INDEX(阻害要因×年齢階層＿寛解・院内寛解[#All],MATCH($T29,阻害要因×年齢階層＿寛解・院内寛解[[#All],[値]],0),MATCH($U$3,阻害要因×年齢階層＿寛解・院内寛解[#Headers],0)),0)</f>
        <v>14</v>
      </c>
      <c r="D63" s="144">
        <f t="shared" si="6"/>
        <v>7.407407407407407E-2</v>
      </c>
      <c r="E63" s="127">
        <f>IFERROR(INDEX(阻害要因×年齢階層＿寛解・院内寛解[#All],MATCH($T29,阻害要因×年齢階層＿寛解・院内寛解[[#All],[値]],0),MATCH($V$3,阻害要因×年齢階層＿寛解・院内寛解[#Headers],0)),0)</f>
        <v>24</v>
      </c>
      <c r="F63" s="144">
        <f t="shared" si="7"/>
        <v>8.1081081081081086E-2</v>
      </c>
      <c r="G63" s="27">
        <f t="shared" si="5"/>
        <v>12</v>
      </c>
      <c r="H63" s="43" t="s">
        <v>707</v>
      </c>
      <c r="I63" s="46">
        <v>24</v>
      </c>
      <c r="J63" s="46">
        <v>14</v>
      </c>
    </row>
    <row r="64" spans="2:10" ht="18.75" customHeight="1" x14ac:dyDescent="0.2">
      <c r="B64" s="84" t="s">
        <v>51</v>
      </c>
      <c r="C64" s="127">
        <f>IFERROR(INDEX(阻害要因×年齢階層＿寛解・院内寛解[#All],MATCH($T30,阻害要因×年齢階層＿寛解・院内寛解[[#All],[値]],0),MATCH($U$3,阻害要因×年齢階層＿寛解・院内寛解[#Headers],0)),0)</f>
        <v>4</v>
      </c>
      <c r="D64" s="144">
        <f t="shared" si="6"/>
        <v>2.1164021164021163E-2</v>
      </c>
      <c r="E64" s="127">
        <f>IFERROR(INDEX(阻害要因×年齢階層＿寛解・院内寛解[#All],MATCH($T30,阻害要因×年齢階層＿寛解・院内寛解[[#All],[値]],0),MATCH($V$3,阻害要因×年齢階層＿寛解・院内寛解[#Headers],0)),0)</f>
        <v>8</v>
      </c>
      <c r="F64" s="144">
        <f t="shared" si="7"/>
        <v>2.7027027027027029E-2</v>
      </c>
      <c r="G64" s="27">
        <f>SUM(C67,E67)</f>
        <v>24</v>
      </c>
      <c r="H64" s="43" t="s">
        <v>708</v>
      </c>
      <c r="I64" s="46">
        <v>8</v>
      </c>
      <c r="J64" s="46">
        <v>4</v>
      </c>
    </row>
    <row r="65" spans="2:10" s="352" customFormat="1" ht="18.75" customHeight="1" x14ac:dyDescent="0.2">
      <c r="B65" s="354" t="s">
        <v>352</v>
      </c>
      <c r="C65" s="127">
        <f>IFERROR(INDEX(阻害要因×年齢階層＿寛解・院内寛解[#All],MATCH($T31,阻害要因×年齢階層＿寛解・院内寛解[[#All],[値]],0),MATCH($U$3,阻害要因×年齢階層＿寛解・院内寛解[#Headers],0)),0)</f>
        <v>11</v>
      </c>
      <c r="D65" s="144">
        <f t="shared" si="6"/>
        <v>5.8201058201058198E-2</v>
      </c>
      <c r="E65" s="127">
        <f>IFERROR(INDEX(阻害要因×年齢階層＿寛解・院内寛解[#All],MATCH($T31,阻害要因×年齢階層＿寛解・院内寛解[[#All],[値]],0),MATCH($V$3,阻害要因×年齢階層＿寛解・院内寛解[#Headers],0)),0)</f>
        <v>77</v>
      </c>
      <c r="F65" s="144">
        <f t="shared" si="7"/>
        <v>0.26013513513513514</v>
      </c>
      <c r="G65" s="27">
        <f t="shared" ref="G65:G67" si="8">SUM(C68,E68)</f>
        <v>0</v>
      </c>
      <c r="H65" s="43" t="s">
        <v>709</v>
      </c>
      <c r="I65" s="46">
        <v>77</v>
      </c>
      <c r="J65" s="46">
        <v>11</v>
      </c>
    </row>
    <row r="66" spans="2:10" s="352" customFormat="1" ht="38.25" customHeight="1" x14ac:dyDescent="0.2">
      <c r="B66" s="376" t="s">
        <v>353</v>
      </c>
      <c r="C66" s="127">
        <f>IFERROR(INDEX(阻害要因×年齢階層＿寛解・院内寛解[#All],MATCH($T32,阻害要因×年齢階層＿寛解・院内寛解[[#All],[値]],0),MATCH($U$3,阻害要因×年齢階層＿寛解・院内寛解[#Headers],0)),0)</f>
        <v>6</v>
      </c>
      <c r="D66" s="144">
        <f t="shared" si="6"/>
        <v>3.1746031746031744E-2</v>
      </c>
      <c r="E66" s="127">
        <f>IFERROR(INDEX(阻害要因×年齢階層＿寛解・院内寛解[#All],MATCH($T32,阻害要因×年齢階層＿寛解・院内寛解[[#All],[値]],0),MATCH($V$3,阻害要因×年齢階層＿寛解・院内寛解[#Headers],0)),0)</f>
        <v>43</v>
      </c>
      <c r="F66" s="144">
        <f t="shared" si="7"/>
        <v>0.14527027027027026</v>
      </c>
      <c r="G66" s="27">
        <f t="shared" si="8"/>
        <v>0</v>
      </c>
      <c r="H66" s="43" t="s">
        <v>710</v>
      </c>
      <c r="I66" s="46">
        <v>43</v>
      </c>
      <c r="J66" s="46">
        <v>6</v>
      </c>
    </row>
    <row r="67" spans="2:10" x14ac:dyDescent="0.2">
      <c r="B67" s="85" t="s">
        <v>52</v>
      </c>
      <c r="C67" s="130">
        <f>IFERROR(INDEX(阻害要因×年齢階層＿寛解・院内寛解[#All],MATCH($T33,阻害要因×年齢階層＿寛解・院内寛解[[#All],[値]],0),MATCH($U$3,阻害要因×年齢階層＿寛解・院内寛解[#Headers],0)),0)</f>
        <v>11</v>
      </c>
      <c r="D67" s="132">
        <f t="shared" si="6"/>
        <v>5.8201058201058198E-2</v>
      </c>
      <c r="E67" s="130">
        <f>IFERROR(INDEX(阻害要因×年齢階層＿寛解・院内寛解[#All],MATCH($T33,阻害要因×年齢階層＿寛解・院内寛解[[#All],[値]],0),MATCH($V$3,阻害要因×年齢階層＿寛解・院内寛解[#Headers],0)),0)</f>
        <v>13</v>
      </c>
      <c r="F67" s="132">
        <f t="shared" si="7"/>
        <v>4.3918918918918921E-2</v>
      </c>
      <c r="G67" s="27">
        <f t="shared" si="8"/>
        <v>0</v>
      </c>
      <c r="H67" s="43" t="s">
        <v>711</v>
      </c>
      <c r="I67" s="46">
        <v>13</v>
      </c>
      <c r="J67" s="46">
        <v>11</v>
      </c>
    </row>
  </sheetData>
  <mergeCells count="6">
    <mergeCell ref="C2:F2"/>
    <mergeCell ref="C3:D3"/>
    <mergeCell ref="E3:F3"/>
    <mergeCell ref="C36:F36"/>
    <mergeCell ref="C37:D37"/>
    <mergeCell ref="E37:F37"/>
  </mergeCells>
  <phoneticPr fontId="2"/>
  <printOptions horizontalCentered="1"/>
  <pageMargins left="0.70866141732283472" right="0.70866141732283472" top="0.74803149606299213" bottom="0.74803149606299213" header="0.31496062992125984" footer="0.31496062992125984"/>
  <pageSetup paperSize="9" fitToHeight="0" orientation="portrait" r:id="rId1"/>
  <rowBreaks count="1" manualBreakCount="1">
    <brk id="34"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データ削除_退院予定有無年齢階層">
                <anchor moveWithCells="1" sizeWithCells="1">
                  <from>
                    <xdr:col>10</xdr:col>
                    <xdr:colOff>137160</xdr:colOff>
                    <xdr:row>2</xdr:row>
                    <xdr:rowOff>7620</xdr:rowOff>
                  </from>
                  <to>
                    <xdr:col>12</xdr:col>
                    <xdr:colOff>7620</xdr:colOff>
                    <xdr:row>3</xdr:row>
                    <xdr:rowOff>289560</xdr:rowOff>
                  </to>
                </anchor>
              </controlPr>
            </control>
          </mc:Choice>
        </mc:AlternateContent>
      </controls>
    </mc:Choice>
  </mc:AlternateContent>
  <tableParts count="6">
    <tablePart r:id="rId5"/>
    <tablePart r:id="rId6"/>
    <tablePart r:id="rId7"/>
    <tablePart r:id="rId8"/>
    <tablePart r:id="rId9"/>
    <tablePart r:id="rId10"/>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249977111117893"/>
    <pageSetUpPr fitToPage="1"/>
  </sheetPr>
  <dimension ref="A1:T49"/>
  <sheetViews>
    <sheetView showGridLines="0" view="pageBreakPreview" zoomScale="85" zoomScaleNormal="100" zoomScaleSheetLayoutView="85" workbookViewId="0"/>
  </sheetViews>
  <sheetFormatPr defaultColWidth="13.77734375" defaultRowHeight="17.399999999999999" x14ac:dyDescent="0.2"/>
  <cols>
    <col min="1" max="1" width="14.77734375" style="1" customWidth="1"/>
    <col min="2" max="3" width="9.33203125" style="1" customWidth="1"/>
    <col min="4" max="4" width="4.109375" style="1" customWidth="1"/>
    <col min="5" max="5" width="14.77734375" style="1" customWidth="1"/>
    <col min="6" max="7" width="9.33203125" style="1" customWidth="1"/>
    <col min="8" max="8" width="9.21875" style="1" customWidth="1"/>
    <col min="9" max="9" width="9.33203125" style="1" customWidth="1"/>
    <col min="10" max="19" width="13.77734375" style="1" hidden="1" customWidth="1"/>
    <col min="20" max="20" width="0" style="1" hidden="1" customWidth="1"/>
    <col min="21" max="16384" width="13.77734375" style="1"/>
  </cols>
  <sheetData>
    <row r="1" spans="1:20" s="3" customFormat="1" ht="19.2" x14ac:dyDescent="0.2">
      <c r="A1" s="2" t="s">
        <v>104</v>
      </c>
    </row>
    <row r="2" spans="1:20" x14ac:dyDescent="0.2">
      <c r="A2" s="4"/>
      <c r="K2" s="43" t="s">
        <v>62</v>
      </c>
      <c r="L2" s="352"/>
      <c r="M2" s="352"/>
      <c r="N2" s="352"/>
      <c r="O2" s="352"/>
      <c r="P2" s="352"/>
      <c r="Q2" s="352"/>
    </row>
    <row r="3" spans="1:20" s="3" customFormat="1" ht="19.8" thickBot="1" x14ac:dyDescent="0.25">
      <c r="A3" s="5" t="s">
        <v>13</v>
      </c>
      <c r="B3" s="6"/>
      <c r="C3" s="6"/>
      <c r="E3" s="5" t="s">
        <v>105</v>
      </c>
      <c r="F3" s="6"/>
      <c r="G3" s="6"/>
      <c r="H3" s="6"/>
      <c r="I3" s="6"/>
      <c r="K3" s="679" t="s">
        <v>276</v>
      </c>
      <c r="L3" s="680" t="s">
        <v>259</v>
      </c>
      <c r="M3" s="677"/>
      <c r="N3" s="679" t="s">
        <v>276</v>
      </c>
      <c r="O3" s="681" t="s">
        <v>257</v>
      </c>
      <c r="P3" s="228" t="s">
        <v>276</v>
      </c>
      <c r="Q3" s="681" t="s">
        <v>258</v>
      </c>
    </row>
    <row r="4" spans="1:20" ht="18.75" customHeight="1" thickTop="1" thickBot="1" x14ac:dyDescent="0.25">
      <c r="A4" s="388"/>
      <c r="B4" s="388" t="s">
        <v>213</v>
      </c>
      <c r="C4" s="388" t="s">
        <v>214</v>
      </c>
      <c r="D4" s="145"/>
      <c r="E4" s="388"/>
      <c r="F4" s="388" t="s">
        <v>28</v>
      </c>
      <c r="G4" s="388" t="s">
        <v>29</v>
      </c>
      <c r="H4" s="388" t="s">
        <v>437</v>
      </c>
      <c r="I4" s="388" t="s">
        <v>214</v>
      </c>
      <c r="K4" s="675" t="s">
        <v>655</v>
      </c>
      <c r="L4" s="694" t="s">
        <v>657</v>
      </c>
      <c r="M4" s="272"/>
      <c r="N4" s="695" t="s">
        <v>655</v>
      </c>
      <c r="O4" s="271" t="s">
        <v>657</v>
      </c>
      <c r="P4" s="695" t="s">
        <v>655</v>
      </c>
      <c r="Q4" s="271" t="s">
        <v>657</v>
      </c>
    </row>
    <row r="5" spans="1:20" ht="18.75" customHeight="1" thickTop="1" x14ac:dyDescent="0.2">
      <c r="A5" s="467" t="s">
        <v>2</v>
      </c>
      <c r="B5" s="468">
        <f>IFERROR(VLOOKUP($A5,年齢区分[#All],2,FALSE),0)</f>
        <v>165</v>
      </c>
      <c r="C5" s="469">
        <f t="shared" ref="C5:C14" si="0">IFERROR(B5/B$15,"-")</f>
        <v>1.1779824373527523E-2</v>
      </c>
      <c r="D5" s="145"/>
      <c r="E5" s="467" t="s">
        <v>2</v>
      </c>
      <c r="F5" s="468">
        <f>IFERROR(VLOOKUP($A5,年齢区分＿寛解[#All],2,FALSE),0)</f>
        <v>3</v>
      </c>
      <c r="G5" s="468">
        <f>IFERROR(VLOOKUP($A5,年齢区分＿院内寛解[#All],2,FALSE),0)</f>
        <v>17</v>
      </c>
      <c r="H5" s="470">
        <f t="shared" ref="H5:H14" si="1">SUM(F5:G5)</f>
        <v>20</v>
      </c>
      <c r="I5" s="469">
        <f t="shared" ref="I5:I14" si="2">IFERROR(H5/H$15,"-")</f>
        <v>1.2040939193257074E-2</v>
      </c>
      <c r="J5" s="9"/>
      <c r="K5" s="674" t="s">
        <v>2</v>
      </c>
      <c r="L5" s="689">
        <v>165</v>
      </c>
      <c r="M5" s="273"/>
      <c r="N5" s="696" t="s">
        <v>2</v>
      </c>
      <c r="O5" s="241">
        <v>3</v>
      </c>
      <c r="P5" s="696" t="s">
        <v>2</v>
      </c>
      <c r="Q5" s="241">
        <v>17</v>
      </c>
      <c r="R5" s="9"/>
      <c r="S5" s="9"/>
      <c r="T5" s="9"/>
    </row>
    <row r="6" spans="1:20" ht="18.75" customHeight="1" x14ac:dyDescent="0.2">
      <c r="A6" s="467" t="s">
        <v>3</v>
      </c>
      <c r="B6" s="468">
        <f>IFERROR(VLOOKUP($A6,年齢区分[#All],2,FALSE),0)</f>
        <v>358</v>
      </c>
      <c r="C6" s="469">
        <f t="shared" si="0"/>
        <v>2.5558649246805169E-2</v>
      </c>
      <c r="D6" s="145"/>
      <c r="E6" s="467" t="s">
        <v>3</v>
      </c>
      <c r="F6" s="468">
        <f>IFERROR(VLOOKUP($A6,年齢区分＿寛解[#All],2,FALSE),0)</f>
        <v>22</v>
      </c>
      <c r="G6" s="468">
        <f>IFERROR(VLOOKUP($A6,年齢区分＿院内寛解[#All],2,FALSE),0)</f>
        <v>49</v>
      </c>
      <c r="H6" s="470">
        <f t="shared" si="1"/>
        <v>71</v>
      </c>
      <c r="I6" s="469">
        <f t="shared" si="2"/>
        <v>4.2745334136062615E-2</v>
      </c>
      <c r="J6" s="10"/>
      <c r="K6" s="690" t="s">
        <v>3</v>
      </c>
      <c r="L6" s="689">
        <v>358</v>
      </c>
      <c r="M6" s="274"/>
      <c r="N6" s="267" t="s">
        <v>3</v>
      </c>
      <c r="O6" s="241">
        <v>22</v>
      </c>
      <c r="P6" s="267" t="s">
        <v>3</v>
      </c>
      <c r="Q6" s="241">
        <v>49</v>
      </c>
      <c r="R6" s="9"/>
      <c r="S6" s="9"/>
      <c r="T6" s="9"/>
    </row>
    <row r="7" spans="1:20" ht="18.75" customHeight="1" x14ac:dyDescent="0.2">
      <c r="A7" s="467" t="s">
        <v>4</v>
      </c>
      <c r="B7" s="468">
        <f>IFERROR(VLOOKUP($A7,年齢区分[#All],2,FALSE),0)</f>
        <v>477</v>
      </c>
      <c r="C7" s="469">
        <f t="shared" si="0"/>
        <v>3.4054401370743198E-2</v>
      </c>
      <c r="D7" s="145"/>
      <c r="E7" s="467" t="s">
        <v>4</v>
      </c>
      <c r="F7" s="468">
        <f>IFERROR(VLOOKUP($A7,年齢区分＿寛解[#All],2,FALSE),0)</f>
        <v>18</v>
      </c>
      <c r="G7" s="468">
        <f>IFERROR(VLOOKUP($A7,年齢区分＿院内寛解[#All],2,FALSE),0)</f>
        <v>82</v>
      </c>
      <c r="H7" s="470">
        <f t="shared" si="1"/>
        <v>100</v>
      </c>
      <c r="I7" s="469">
        <f t="shared" si="2"/>
        <v>6.0204695966285374E-2</v>
      </c>
      <c r="J7" s="10"/>
      <c r="K7" s="690" t="s">
        <v>4</v>
      </c>
      <c r="L7" s="689">
        <v>477</v>
      </c>
      <c r="M7" s="274"/>
      <c r="N7" s="267" t="s">
        <v>4</v>
      </c>
      <c r="O7" s="241">
        <v>18</v>
      </c>
      <c r="P7" s="267" t="s">
        <v>4</v>
      </c>
      <c r="Q7" s="241">
        <v>82</v>
      </c>
      <c r="R7" s="9"/>
      <c r="S7" s="9"/>
      <c r="T7" s="9"/>
    </row>
    <row r="8" spans="1:20" ht="18.75" customHeight="1" x14ac:dyDescent="0.2">
      <c r="A8" s="467" t="s">
        <v>5</v>
      </c>
      <c r="B8" s="468">
        <f>IFERROR(VLOOKUP($A8,年齢区分[#All],2,FALSE),0)</f>
        <v>1028</v>
      </c>
      <c r="C8" s="469">
        <f t="shared" si="0"/>
        <v>7.3391875490826014E-2</v>
      </c>
      <c r="D8" s="145"/>
      <c r="E8" s="467" t="s">
        <v>5</v>
      </c>
      <c r="F8" s="468">
        <f>IFERROR(VLOOKUP($A8,年齢区分＿寛解[#All],2,FALSE),0)</f>
        <v>36</v>
      </c>
      <c r="G8" s="468">
        <f>IFERROR(VLOOKUP($A8,年齢区分＿院内寛解[#All],2,FALSE),0)</f>
        <v>137</v>
      </c>
      <c r="H8" s="470">
        <f t="shared" si="1"/>
        <v>173</v>
      </c>
      <c r="I8" s="469">
        <f t="shared" si="2"/>
        <v>0.10415412402167369</v>
      </c>
      <c r="J8" s="9"/>
      <c r="K8" s="690" t="s">
        <v>5</v>
      </c>
      <c r="L8" s="689">
        <v>1028</v>
      </c>
      <c r="M8" s="275"/>
      <c r="N8" s="267" t="s">
        <v>5</v>
      </c>
      <c r="O8" s="241">
        <v>36</v>
      </c>
      <c r="P8" s="267" t="s">
        <v>5</v>
      </c>
      <c r="Q8" s="241">
        <v>137</v>
      </c>
      <c r="R8" s="9"/>
      <c r="S8" s="9"/>
      <c r="T8" s="9"/>
    </row>
    <row r="9" spans="1:20" ht="18.75" customHeight="1" x14ac:dyDescent="0.2">
      <c r="A9" s="467" t="s">
        <v>6</v>
      </c>
      <c r="B9" s="468">
        <f>IFERROR(VLOOKUP($A9,年齢区分[#All],2,FALSE),0)</f>
        <v>2238</v>
      </c>
      <c r="C9" s="469">
        <f t="shared" si="0"/>
        <v>0.15977725423002784</v>
      </c>
      <c r="D9" s="145"/>
      <c r="E9" s="467" t="s">
        <v>6</v>
      </c>
      <c r="F9" s="468">
        <f>IFERROR(VLOOKUP($A9,年齢区分＿寛解[#All],2,FALSE),0)</f>
        <v>65</v>
      </c>
      <c r="G9" s="468">
        <f>IFERROR(VLOOKUP($A9,年齢区分＿院内寛解[#All],2,FALSE),0)</f>
        <v>277</v>
      </c>
      <c r="H9" s="470">
        <f t="shared" si="1"/>
        <v>342</v>
      </c>
      <c r="I9" s="469">
        <f t="shared" si="2"/>
        <v>0.20590006020469598</v>
      </c>
      <c r="J9" s="9"/>
      <c r="K9" s="690" t="s">
        <v>6</v>
      </c>
      <c r="L9" s="689">
        <v>2238</v>
      </c>
      <c r="M9" s="275"/>
      <c r="N9" s="267" t="s">
        <v>6</v>
      </c>
      <c r="O9" s="241">
        <v>65</v>
      </c>
      <c r="P9" s="267" t="s">
        <v>6</v>
      </c>
      <c r="Q9" s="241">
        <v>277</v>
      </c>
      <c r="R9" s="9"/>
      <c r="S9" s="9"/>
      <c r="T9" s="9"/>
    </row>
    <row r="10" spans="1:20" ht="18.75" customHeight="1" x14ac:dyDescent="0.2">
      <c r="A10" s="467" t="s">
        <v>7</v>
      </c>
      <c r="B10" s="468">
        <f>IFERROR(VLOOKUP($A10,年齢区分[#All],2,FALSE),0)</f>
        <v>2346</v>
      </c>
      <c r="C10" s="469">
        <f t="shared" si="0"/>
        <v>0.16748768472906403</v>
      </c>
      <c r="D10" s="145"/>
      <c r="E10" s="467" t="s">
        <v>7</v>
      </c>
      <c r="F10" s="468">
        <f>IFERROR(VLOOKUP($A10,年齢区分＿寛解[#All],2,FALSE),0)</f>
        <v>48</v>
      </c>
      <c r="G10" s="468">
        <f>IFERROR(VLOOKUP($A10,年齢区分＿院内寛解[#All],2,FALSE),0)</f>
        <v>242</v>
      </c>
      <c r="H10" s="470">
        <f t="shared" si="1"/>
        <v>290</v>
      </c>
      <c r="I10" s="469">
        <f t="shared" si="2"/>
        <v>0.17459361830222758</v>
      </c>
      <c r="J10" s="9"/>
      <c r="K10" s="690" t="s">
        <v>7</v>
      </c>
      <c r="L10" s="689">
        <v>2346</v>
      </c>
      <c r="M10" s="275"/>
      <c r="N10" s="267" t="s">
        <v>7</v>
      </c>
      <c r="O10" s="241">
        <v>48</v>
      </c>
      <c r="P10" s="267" t="s">
        <v>7</v>
      </c>
      <c r="Q10" s="241">
        <v>242</v>
      </c>
      <c r="R10" s="9"/>
      <c r="S10" s="9"/>
      <c r="T10" s="9"/>
    </row>
    <row r="11" spans="1:20" ht="18.75" customHeight="1" x14ac:dyDescent="0.2">
      <c r="A11" s="467" t="s">
        <v>8</v>
      </c>
      <c r="B11" s="468">
        <f>IFERROR(VLOOKUP($A11,年齢区分[#All],2,FALSE),0)</f>
        <v>3332</v>
      </c>
      <c r="C11" s="469">
        <f t="shared" si="0"/>
        <v>0.23788105947026486</v>
      </c>
      <c r="D11" s="145"/>
      <c r="E11" s="467" t="s">
        <v>8</v>
      </c>
      <c r="F11" s="468">
        <f>IFERROR(VLOOKUP($A11,年齢区分＿寛解[#All],2,FALSE),0)</f>
        <v>56</v>
      </c>
      <c r="G11" s="468">
        <f>IFERROR(VLOOKUP($A11,年齢区分＿院内寛解[#All],2,FALSE),0)</f>
        <v>309</v>
      </c>
      <c r="H11" s="470">
        <f t="shared" si="1"/>
        <v>365</v>
      </c>
      <c r="I11" s="469">
        <f t="shared" si="2"/>
        <v>0.21974714027694159</v>
      </c>
      <c r="J11" s="9"/>
      <c r="K11" s="690" t="s">
        <v>8</v>
      </c>
      <c r="L11" s="689">
        <v>3332</v>
      </c>
      <c r="M11" s="275"/>
      <c r="N11" s="267" t="s">
        <v>8</v>
      </c>
      <c r="O11" s="241">
        <v>56</v>
      </c>
      <c r="P11" s="267" t="s">
        <v>8</v>
      </c>
      <c r="Q11" s="241">
        <v>309</v>
      </c>
      <c r="R11" s="9"/>
      <c r="S11" s="9"/>
      <c r="T11" s="9"/>
    </row>
    <row r="12" spans="1:20" ht="18.75" customHeight="1" x14ac:dyDescent="0.2">
      <c r="A12" s="467" t="s">
        <v>9</v>
      </c>
      <c r="B12" s="468">
        <f>IFERROR(VLOOKUP($A12,年齢区分[#All],2,FALSE),0)</f>
        <v>3250</v>
      </c>
      <c r="C12" s="469">
        <f t="shared" si="0"/>
        <v>0.23202684372099663</v>
      </c>
      <c r="D12" s="145"/>
      <c r="E12" s="467" t="s">
        <v>9</v>
      </c>
      <c r="F12" s="468">
        <f>IFERROR(VLOOKUP($A12,年齢区分＿寛解[#All],2,FALSE),0)</f>
        <v>43</v>
      </c>
      <c r="G12" s="468">
        <f>IFERROR(VLOOKUP($A12,年齢区分＿院内寛解[#All],2,FALSE),0)</f>
        <v>196</v>
      </c>
      <c r="H12" s="470">
        <f t="shared" si="1"/>
        <v>239</v>
      </c>
      <c r="I12" s="469">
        <f t="shared" si="2"/>
        <v>0.14388922335942203</v>
      </c>
      <c r="J12" s="9"/>
      <c r="K12" s="690" t="s">
        <v>9</v>
      </c>
      <c r="L12" s="689">
        <v>3250</v>
      </c>
      <c r="M12" s="275"/>
      <c r="N12" s="267" t="s">
        <v>9</v>
      </c>
      <c r="O12" s="241">
        <v>43</v>
      </c>
      <c r="P12" s="267" t="s">
        <v>9</v>
      </c>
      <c r="Q12" s="241">
        <v>196</v>
      </c>
      <c r="R12" s="9"/>
      <c r="S12" s="9"/>
      <c r="T12" s="9"/>
    </row>
    <row r="13" spans="1:20" ht="18.75" customHeight="1" x14ac:dyDescent="0.2">
      <c r="A13" s="467" t="s">
        <v>10</v>
      </c>
      <c r="B13" s="468">
        <f>IFERROR(VLOOKUP($A13,年齢区分[#All],2,FALSE),0)</f>
        <v>813</v>
      </c>
      <c r="C13" s="469">
        <f t="shared" si="0"/>
        <v>5.80424073677447E-2</v>
      </c>
      <c r="D13" s="145"/>
      <c r="E13" s="467" t="s">
        <v>10</v>
      </c>
      <c r="F13" s="468">
        <f>IFERROR(VLOOKUP($A13,年齢区分＿寛解[#All],2,FALSE),0)</f>
        <v>9</v>
      </c>
      <c r="G13" s="468">
        <f>IFERROR(VLOOKUP($A13,年齢区分＿院内寛解[#All],2,FALSE),0)</f>
        <v>52</v>
      </c>
      <c r="H13" s="470">
        <f t="shared" si="1"/>
        <v>61</v>
      </c>
      <c r="I13" s="469">
        <f t="shared" si="2"/>
        <v>3.6724864539434077E-2</v>
      </c>
      <c r="J13" s="9"/>
      <c r="K13" s="692" t="s">
        <v>10</v>
      </c>
      <c r="L13" s="693">
        <v>813</v>
      </c>
      <c r="M13" s="275"/>
      <c r="N13" s="267" t="s">
        <v>10</v>
      </c>
      <c r="O13" s="241">
        <v>9</v>
      </c>
      <c r="P13" s="267" t="s">
        <v>10</v>
      </c>
      <c r="Q13" s="241">
        <v>52</v>
      </c>
      <c r="R13" s="9"/>
      <c r="S13" s="9"/>
      <c r="T13" s="9"/>
    </row>
    <row r="14" spans="1:20" ht="18.75" customHeight="1" thickBot="1" x14ac:dyDescent="0.25">
      <c r="A14" s="196" t="s">
        <v>346</v>
      </c>
      <c r="B14" s="196">
        <v>0</v>
      </c>
      <c r="C14" s="469">
        <f t="shared" si="0"/>
        <v>0</v>
      </c>
      <c r="E14" s="196" t="s">
        <v>346</v>
      </c>
      <c r="F14" s="196">
        <v>0</v>
      </c>
      <c r="G14" s="196">
        <v>0</v>
      </c>
      <c r="H14" s="470">
        <f t="shared" si="1"/>
        <v>0</v>
      </c>
      <c r="I14" s="469">
        <f t="shared" si="2"/>
        <v>0</v>
      </c>
      <c r="J14" s="9"/>
      <c r="K14" s="268"/>
      <c r="L14" s="269"/>
      <c r="M14" s="275"/>
      <c r="N14" s="268"/>
      <c r="O14" s="269"/>
      <c r="P14" s="268"/>
      <c r="Q14" s="269"/>
      <c r="R14" s="9"/>
      <c r="S14" s="9"/>
      <c r="T14" s="9"/>
    </row>
    <row r="15" spans="1:20" ht="18.75" customHeight="1" thickTop="1" thickBot="1" x14ac:dyDescent="0.25">
      <c r="A15" s="471" t="s">
        <v>244</v>
      </c>
      <c r="B15" s="472">
        <f>SUM(B5:B14)</f>
        <v>14007</v>
      </c>
      <c r="C15" s="473">
        <f>SUM(C5:C13)</f>
        <v>0.99999999999999989</v>
      </c>
      <c r="D15" s="145"/>
      <c r="E15" s="471" t="s">
        <v>244</v>
      </c>
      <c r="F15" s="472">
        <f>SUM(F5:F14)</f>
        <v>300</v>
      </c>
      <c r="G15" s="472">
        <f>SUM(G5:G14)</f>
        <v>1361</v>
      </c>
      <c r="H15" s="472">
        <f>SUM(H5:H14)</f>
        <v>1661</v>
      </c>
      <c r="I15" s="473">
        <f>SUM(I5:I13)</f>
        <v>1</v>
      </c>
      <c r="J15" s="9"/>
      <c r="K15" s="270" t="s">
        <v>474</v>
      </c>
      <c r="L15" s="780">
        <v>8516</v>
      </c>
      <c r="M15" s="276"/>
      <c r="N15" s="270" t="s">
        <v>474</v>
      </c>
      <c r="O15" s="780">
        <v>126</v>
      </c>
      <c r="P15" s="270" t="s">
        <v>474</v>
      </c>
      <c r="Q15" s="780">
        <v>678</v>
      </c>
      <c r="R15" s="9"/>
      <c r="S15" s="9"/>
      <c r="T15" s="9"/>
    </row>
    <row r="16" spans="1:20" ht="18.75" customHeight="1" thickTop="1" x14ac:dyDescent="0.2">
      <c r="A16" s="221" t="s">
        <v>438</v>
      </c>
      <c r="B16" s="474">
        <f>B15-B17-B18</f>
        <v>5491</v>
      </c>
      <c r="C16" s="475">
        <f>IFERROR(B16/B$15,"-")</f>
        <v>0.39201827657599769</v>
      </c>
      <c r="D16" s="146"/>
      <c r="E16" s="221" t="s">
        <v>438</v>
      </c>
      <c r="F16" s="474">
        <f>F15-F17-F18</f>
        <v>174</v>
      </c>
      <c r="G16" s="474">
        <f>G15-G17-G18</f>
        <v>683</v>
      </c>
      <c r="H16" s="470">
        <f>SUM(F16:G16)</f>
        <v>857</v>
      </c>
      <c r="I16" s="475">
        <f>IFERROR(H16/H$15,"-")</f>
        <v>0.51595424443106563</v>
      </c>
      <c r="J16" s="9"/>
      <c r="K16" s="9"/>
      <c r="L16" s="9"/>
      <c r="M16" s="9"/>
      <c r="N16" s="11"/>
      <c r="O16" s="12"/>
      <c r="P16" s="12"/>
      <c r="Q16" s="13"/>
      <c r="R16" s="9"/>
      <c r="S16" s="9"/>
      <c r="T16" s="9"/>
    </row>
    <row r="17" spans="1:20" x14ac:dyDescent="0.2">
      <c r="A17" s="221" t="s">
        <v>439</v>
      </c>
      <c r="B17" s="474">
        <f>L15</f>
        <v>8516</v>
      </c>
      <c r="C17" s="475">
        <f>IFERROR(B17/B$15,"-")</f>
        <v>0.60798172342400225</v>
      </c>
      <c r="D17" s="146"/>
      <c r="E17" s="221" t="s">
        <v>439</v>
      </c>
      <c r="F17" s="468">
        <f>O15</f>
        <v>126</v>
      </c>
      <c r="G17" s="468">
        <f>Q15</f>
        <v>678</v>
      </c>
      <c r="H17" s="468">
        <f>SUM(F17:G17)</f>
        <v>804</v>
      </c>
      <c r="I17" s="475">
        <f>IFERROR(H17/H$15,"-")</f>
        <v>0.48404575556893437</v>
      </c>
      <c r="J17" s="9"/>
      <c r="R17" s="9"/>
      <c r="S17" s="9"/>
      <c r="T17" s="9"/>
    </row>
    <row r="18" spans="1:20" x14ac:dyDescent="0.2">
      <c r="A18" s="196" t="s">
        <v>346</v>
      </c>
      <c r="B18" s="196">
        <v>0</v>
      </c>
      <c r="C18" s="475">
        <f>IFERROR(B18/B$15,"-")</f>
        <v>0</v>
      </c>
      <c r="E18" s="196" t="s">
        <v>346</v>
      </c>
      <c r="F18" s="196">
        <v>0</v>
      </c>
      <c r="G18" s="196">
        <v>0</v>
      </c>
      <c r="H18" s="468">
        <f>SUM(F18:G18)</f>
        <v>0</v>
      </c>
      <c r="I18" s="475">
        <f>IFERROR(H18/H$15,"-")</f>
        <v>0</v>
      </c>
      <c r="J18" s="9"/>
      <c r="R18" s="9"/>
      <c r="S18" s="9"/>
      <c r="T18" s="9"/>
    </row>
    <row r="19" spans="1:20" x14ac:dyDescent="0.2">
      <c r="J19" s="9"/>
      <c r="R19" s="10"/>
      <c r="S19" s="9"/>
      <c r="T19" s="9"/>
    </row>
    <row r="20" spans="1:20" x14ac:dyDescent="0.2">
      <c r="J20" s="9"/>
      <c r="R20" s="10"/>
      <c r="S20" s="9"/>
      <c r="T20" s="9"/>
    </row>
    <row r="21" spans="1:20" x14ac:dyDescent="0.2">
      <c r="J21" s="9"/>
      <c r="R21" s="9"/>
      <c r="S21" s="9"/>
      <c r="T21" s="9"/>
    </row>
    <row r="22" spans="1:20" x14ac:dyDescent="0.2">
      <c r="J22" s="9"/>
      <c r="R22" s="9"/>
      <c r="S22" s="9"/>
      <c r="T22" s="9"/>
    </row>
    <row r="23" spans="1:20" x14ac:dyDescent="0.2">
      <c r="J23" s="9"/>
      <c r="R23" s="9"/>
      <c r="S23" s="9"/>
      <c r="T23" s="9"/>
    </row>
    <row r="24" spans="1:20" x14ac:dyDescent="0.2">
      <c r="J24" s="9"/>
      <c r="K24" s="43"/>
      <c r="R24" s="9"/>
      <c r="S24" s="9"/>
      <c r="T24" s="9"/>
    </row>
    <row r="25" spans="1:20" x14ac:dyDescent="0.2">
      <c r="J25" s="9"/>
      <c r="R25" s="9"/>
      <c r="S25" s="9"/>
      <c r="T25" s="9"/>
    </row>
    <row r="26" spans="1:20" x14ac:dyDescent="0.2">
      <c r="J26" s="9"/>
      <c r="R26" s="9"/>
      <c r="S26" s="9"/>
      <c r="T26" s="9"/>
    </row>
    <row r="27" spans="1:20" x14ac:dyDescent="0.2">
      <c r="J27" s="10"/>
      <c r="R27" s="10"/>
      <c r="S27" s="10"/>
      <c r="T27" s="10"/>
    </row>
    <row r="28" spans="1:20" x14ac:dyDescent="0.2">
      <c r="J28" s="10"/>
      <c r="R28" s="10"/>
      <c r="S28" s="10"/>
      <c r="T28" s="10"/>
    </row>
    <row r="29" spans="1:20" x14ac:dyDescent="0.2">
      <c r="J29" s="10"/>
      <c r="R29" s="10"/>
      <c r="S29" s="10"/>
      <c r="T29" s="10"/>
    </row>
    <row r="30" spans="1:20" x14ac:dyDescent="0.2">
      <c r="J30" s="10"/>
      <c r="R30" s="10"/>
      <c r="S30" s="10"/>
      <c r="T30" s="10"/>
    </row>
    <row r="31" spans="1:20" x14ac:dyDescent="0.2">
      <c r="J31" s="10"/>
      <c r="R31" s="10"/>
      <c r="S31" s="10"/>
      <c r="T31" s="10"/>
    </row>
    <row r="32" spans="1:20" x14ac:dyDescent="0.2">
      <c r="J32" s="10"/>
      <c r="R32" s="10"/>
      <c r="S32" s="10"/>
      <c r="T32" s="10"/>
    </row>
    <row r="33" spans="10:20" x14ac:dyDescent="0.2">
      <c r="J33" s="10"/>
      <c r="R33" s="10"/>
      <c r="S33" s="10"/>
      <c r="T33" s="10"/>
    </row>
    <row r="34" spans="10:20" x14ac:dyDescent="0.2">
      <c r="J34" s="10"/>
      <c r="R34" s="10"/>
      <c r="S34" s="10"/>
      <c r="T34" s="10"/>
    </row>
    <row r="35" spans="10:20" x14ac:dyDescent="0.2">
      <c r="J35" s="9"/>
      <c r="R35" s="9"/>
      <c r="S35" s="9"/>
      <c r="T35" s="9"/>
    </row>
    <row r="36" spans="10:20" x14ac:dyDescent="0.2">
      <c r="J36" s="9"/>
      <c r="R36" s="9"/>
      <c r="S36" s="9"/>
      <c r="T36" s="9"/>
    </row>
    <row r="37" spans="10:20" x14ac:dyDescent="0.2">
      <c r="J37" s="9"/>
      <c r="R37" s="9"/>
      <c r="S37" s="9"/>
      <c r="T37" s="9"/>
    </row>
    <row r="38" spans="10:20" x14ac:dyDescent="0.2">
      <c r="J38" s="9"/>
      <c r="R38" s="9"/>
      <c r="S38" s="9"/>
      <c r="T38" s="9"/>
    </row>
    <row r="39" spans="10:20" x14ac:dyDescent="0.2">
      <c r="J39" s="9"/>
      <c r="R39" s="10"/>
      <c r="S39" s="9"/>
      <c r="T39" s="9"/>
    </row>
    <row r="40" spans="10:20" x14ac:dyDescent="0.2">
      <c r="J40" s="9"/>
      <c r="R40" s="10"/>
      <c r="S40" s="9"/>
      <c r="T40" s="9"/>
    </row>
    <row r="41" spans="10:20" x14ac:dyDescent="0.2">
      <c r="J41" s="9"/>
      <c r="R41" s="9"/>
      <c r="S41" s="9"/>
      <c r="T41" s="9"/>
    </row>
    <row r="42" spans="10:20" x14ac:dyDescent="0.2">
      <c r="J42" s="9"/>
      <c r="R42" s="9"/>
      <c r="S42" s="9"/>
      <c r="T42" s="9"/>
    </row>
    <row r="43" spans="10:20" x14ac:dyDescent="0.2">
      <c r="J43" s="9"/>
      <c r="R43" s="9"/>
      <c r="S43" s="9"/>
      <c r="T43" s="9"/>
    </row>
    <row r="44" spans="10:20" x14ac:dyDescent="0.2">
      <c r="J44" s="9"/>
      <c r="R44" s="9"/>
      <c r="S44" s="9"/>
      <c r="T44" s="9"/>
    </row>
    <row r="45" spans="10:20" x14ac:dyDescent="0.2">
      <c r="J45" s="9"/>
      <c r="R45" s="9"/>
      <c r="S45" s="9"/>
      <c r="T45" s="9"/>
    </row>
    <row r="46" spans="10:20" x14ac:dyDescent="0.2">
      <c r="J46" s="9"/>
      <c r="R46" s="19"/>
      <c r="S46" s="19"/>
      <c r="T46" s="9"/>
    </row>
    <row r="47" spans="10:20" x14ac:dyDescent="0.2">
      <c r="J47" s="9"/>
      <c r="R47" s="19"/>
      <c r="S47" s="19"/>
      <c r="T47" s="9"/>
    </row>
    <row r="48" spans="10:20" x14ac:dyDescent="0.2">
      <c r="J48" s="9"/>
      <c r="R48" s="19"/>
      <c r="S48" s="19"/>
      <c r="T48" s="9"/>
    </row>
    <row r="49" spans="10:20" x14ac:dyDescent="0.2">
      <c r="J49" s="9"/>
      <c r="R49" s="9"/>
      <c r="S49" s="9"/>
      <c r="T49" s="9"/>
    </row>
  </sheetData>
  <phoneticPr fontId="2"/>
  <pageMargins left="0.70866141732283472" right="0.70866141732283472" top="0.74803149606299213" bottom="0.74803149606299213" header="0.31496062992125984" footer="0.31496062992125984"/>
  <pageSetup paperSize="11" scale="9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データ削除_年齢区分">
                <anchor moveWithCells="1" sizeWithCells="1">
                  <from>
                    <xdr:col>17</xdr:col>
                    <xdr:colOff>601980</xdr:colOff>
                    <xdr:row>2</xdr:row>
                    <xdr:rowOff>7620</xdr:rowOff>
                  </from>
                  <to>
                    <xdr:col>18</xdr:col>
                    <xdr:colOff>822960</xdr:colOff>
                    <xdr:row>3</xdr:row>
                    <xdr:rowOff>167640</xdr:rowOff>
                  </to>
                </anchor>
              </controlPr>
            </control>
          </mc:Choice>
        </mc:AlternateContent>
      </controls>
    </mc:Choice>
  </mc:AlternateContent>
  <tableParts count="3">
    <tablePart r:id="rId5"/>
    <tablePart r:id="rId6"/>
    <tablePart r:id="rId7"/>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rgb="FFFF0000"/>
    <pageSetUpPr fitToPage="1"/>
  </sheetPr>
  <dimension ref="A1:BC73"/>
  <sheetViews>
    <sheetView showGridLines="0" view="pageBreakPreview" topLeftCell="B1" zoomScale="80" zoomScaleNormal="100" zoomScaleSheetLayoutView="80" workbookViewId="0">
      <selection activeCell="B1" sqref="B1"/>
    </sheetView>
  </sheetViews>
  <sheetFormatPr defaultColWidth="9" defaultRowHeight="17.399999999999999" x14ac:dyDescent="0.2"/>
  <cols>
    <col min="1" max="1" width="3.33203125" style="1" hidden="1" customWidth="1"/>
    <col min="2" max="2" width="40" style="1" customWidth="1"/>
    <col min="3" max="3" width="9.33203125" style="1" customWidth="1"/>
    <col min="4" max="4" width="10.5546875" style="1" bestFit="1" customWidth="1"/>
    <col min="5" max="5" width="9.33203125" style="1" customWidth="1"/>
    <col min="6" max="6" width="10.5546875" style="1" bestFit="1" customWidth="1"/>
    <col min="7" max="7" width="9.33203125" style="1" customWidth="1"/>
    <col min="8" max="8" width="10.5546875" style="1" bestFit="1" customWidth="1"/>
    <col min="9" max="9" width="9.33203125" style="1" customWidth="1"/>
    <col min="10" max="10" width="10.5546875" style="1" bestFit="1" customWidth="1"/>
    <col min="11" max="13" width="10.5546875" style="676" hidden="1" customWidth="1"/>
    <col min="14" max="14" width="9.109375" style="1" hidden="1" customWidth="1"/>
    <col min="15" max="15" width="45.44140625" style="1" hidden="1" customWidth="1"/>
    <col min="16" max="31" width="11.109375" style="1" hidden="1" customWidth="1"/>
    <col min="32" max="32" width="9.109375" style="1" hidden="1" customWidth="1"/>
    <col min="33" max="33" width="9" style="1" hidden="1" customWidth="1"/>
    <col min="34" max="37" width="9" style="1" customWidth="1"/>
    <col min="38" max="55" width="9" style="1" hidden="1" customWidth="1"/>
    <col min="56" max="16384" width="9" style="1"/>
  </cols>
  <sheetData>
    <row r="1" spans="2:54" ht="19.5" customHeight="1" thickBot="1" x14ac:dyDescent="0.25">
      <c r="B1" s="2" t="s">
        <v>74</v>
      </c>
      <c r="O1" s="40" t="s">
        <v>62</v>
      </c>
    </row>
    <row r="2" spans="2:54" ht="18.75" customHeight="1" thickTop="1" thickBot="1" x14ac:dyDescent="0.25">
      <c r="B2" s="1036" t="s">
        <v>224</v>
      </c>
      <c r="C2" s="1022" t="s">
        <v>63</v>
      </c>
      <c r="D2" s="1023"/>
      <c r="E2" s="1023"/>
      <c r="F2" s="1023"/>
      <c r="G2" s="1023"/>
      <c r="H2" s="1023"/>
      <c r="I2" s="1023"/>
      <c r="J2" s="1024"/>
      <c r="K2" s="763"/>
      <c r="L2" s="763"/>
      <c r="M2" s="763"/>
      <c r="O2" s="305" t="s">
        <v>655</v>
      </c>
      <c r="P2" s="43" t="s">
        <v>677</v>
      </c>
      <c r="Q2" s="43" t="s">
        <v>678</v>
      </c>
      <c r="R2" s="43" t="s">
        <v>679</v>
      </c>
      <c r="S2" s="43" t="s">
        <v>680</v>
      </c>
      <c r="T2" s="43" t="s">
        <v>681</v>
      </c>
      <c r="U2" s="43" t="s">
        <v>682</v>
      </c>
      <c r="V2" s="43" t="s">
        <v>683</v>
      </c>
      <c r="W2" s="43" t="s">
        <v>340</v>
      </c>
      <c r="X2" s="43" t="s">
        <v>684</v>
      </c>
      <c r="Y2" s="43" t="s">
        <v>685</v>
      </c>
      <c r="Z2" s="43" t="s">
        <v>686</v>
      </c>
      <c r="AA2" s="43" t="s">
        <v>687</v>
      </c>
      <c r="AB2" s="43" t="s">
        <v>688</v>
      </c>
      <c r="AC2" s="43" t="s">
        <v>689</v>
      </c>
      <c r="AD2" s="43" t="s">
        <v>690</v>
      </c>
      <c r="AE2" s="43" t="s">
        <v>691</v>
      </c>
    </row>
    <row r="3" spans="2:54" ht="18.75" customHeight="1" thickTop="1" x14ac:dyDescent="0.2">
      <c r="B3" s="1037"/>
      <c r="C3" s="1038" t="s">
        <v>68</v>
      </c>
      <c r="D3" s="1039"/>
      <c r="E3" s="1040" t="s">
        <v>251</v>
      </c>
      <c r="F3" s="1041"/>
      <c r="G3" s="1040" t="s">
        <v>252</v>
      </c>
      <c r="H3" s="1041"/>
      <c r="I3" s="1038" t="s">
        <v>71</v>
      </c>
      <c r="J3" s="1039"/>
      <c r="K3" s="775"/>
      <c r="L3" s="775"/>
      <c r="M3" s="775"/>
      <c r="O3" s="21">
        <v>98</v>
      </c>
      <c r="P3" s="46">
        <v>1137</v>
      </c>
      <c r="Q3" s="46">
        <v>1348</v>
      </c>
      <c r="R3" s="46">
        <v>844</v>
      </c>
      <c r="S3" s="46">
        <v>1069</v>
      </c>
      <c r="T3" s="46">
        <v>705</v>
      </c>
      <c r="U3" s="46">
        <v>553</v>
      </c>
      <c r="V3" s="46">
        <v>847</v>
      </c>
      <c r="W3" s="46">
        <v>569</v>
      </c>
      <c r="X3" s="46">
        <v>452</v>
      </c>
      <c r="Y3" s="46">
        <v>432</v>
      </c>
      <c r="Z3" s="46">
        <v>325</v>
      </c>
      <c r="AA3" s="46">
        <v>307</v>
      </c>
      <c r="AB3" s="46">
        <v>231</v>
      </c>
      <c r="AC3" s="46">
        <v>174</v>
      </c>
      <c r="AD3" s="46">
        <v>1025</v>
      </c>
      <c r="AE3" s="46">
        <v>601</v>
      </c>
    </row>
    <row r="4" spans="2:54" ht="37.5" customHeight="1" x14ac:dyDescent="0.2">
      <c r="B4" s="74" t="s">
        <v>218</v>
      </c>
      <c r="C4" s="600">
        <f>IFERROR(INDEX(退院予定有無×在院期間区分[#All],MATCH($AL5,退院予定有無×在院期間区分[[#All],[行ラベル]],0),MATCH($AM$4,退院予定有無×在院期間区分[#Headers],0)),)+IFERROR(INDEX(退院予定有無×在院期間区分[#All],MATCH($AL5,退院予定有無×在院期間区分[[#All],[行ラベル]],0),MATCH($AN$4,退院予定有無×在院期間区分[#Headers],0)),0)+IFERROR(INDEX(退院予定有無×在院期間区分[#All],MATCH($AL5,退院予定有無×在院期間区分[[#All],[行ラベル]],0),MATCH($AO$4,退院予定有無×在院期間区分[#Headers],0)),0)+IFERROR(INDEX(退院予定有無×在院期間区分[#All],MATCH($AL5,退院予定有無×在院期間区分[[#All],[行ラベル]],0),MATCH($AP$4,退院予定有無×在院期間区分[#Headers],0)),0)</f>
        <v>760</v>
      </c>
      <c r="D4" s="125">
        <f>IFERROR(C4/C$7,"-")</f>
        <v>0.11560693641618497</v>
      </c>
      <c r="E4" s="124">
        <f>IFERROR(INDEX(退院予定有無×在院期間区分[#All],MATCH($AL5,退院予定有無×在院期間区分[[#All],[行ラベル]],0),MATCH($AQ$4,退院予定有無×在院期間区分[#Headers],0)),0)+IFERROR(INDEX(退院予定有無×在院期間区分[#All],MATCH($AL5,退院予定有無×在院期間区分[[#All],[行ラベル]],0),MATCH($AR$4,退院予定有無×在院期間区分[#Headers],0)),0)+IFERROR(INDEX(退院予定有無×在院期間区分[#All],MATCH($AL5,退院予定有無×在院期間区分[[#All],[行ラベル]],0),MATCH($AS$4,退院予定有無×在院期間区分[#Headers],0)),0)+IFERROR(INDEX(退院予定有無×在院期間区分[#All],MATCH($AL5,退院予定有無×在院期間区分[[#All],[行ラベル]],0),MATCH($AT$4,退院予定有無×在院期間区分[#Headers],0)),0)+IFERROR(INDEX(退院予定有無×在院期間区分[#All],MATCH($AL5,退院予定有無×在院期間区分[[#All],[行ラベル]],0),MATCH($AU$4,退院予定有無×在院期間区分[#Headers],0)),0)</f>
        <v>568</v>
      </c>
      <c r="F4" s="125">
        <f>IFERROR(E4/E$7,"-")</f>
        <v>0.15014538725878931</v>
      </c>
      <c r="G4" s="124">
        <f>IFERROR(INDEX(退院予定有無×在院期間区分[#All],MATCH($AL5,退院予定有無×在院期間区分[[#All],[行ラベル]],0),MATCH($AV$4,退院予定有無×在院期間区分[#Headers],0))+INDEX(退院予定有無×在院期間区分[#All],MATCH($AL5,退院予定有無×在院期間区分[[#All],[行ラベル]],0),MATCH($AW$4,退院予定有無×在院期間区分[#Headers],0)),0)+IFERROR(INDEX(退院予定有無×在院期間区分[#All],MATCH($AL5,退院予定有無×在院期間区分[[#All],[行ラベル]],0),MATCH($AX$4,退院予定有無×在院期間区分[#Headers],0)),0)+IFERROR(INDEX(退院予定有無×在院期間区分[#All],MATCH($AL5,退院予定有無×在院期間区分[[#All],[行ラベル]],0),MATCH($AY$4,退院予定有無×在院期間区分[#Headers],0)),0)+IFERROR(INDEX(退院予定有無×在院期間区分[#All],MATCH($AL5,退院予定有無×在院期間区分[[#All],[行ラベル]],0),MATCH($AZ$4,退院予定有無×在院期間区分[#Headers],0)),0)</f>
        <v>255</v>
      </c>
      <c r="H4" s="125">
        <f>IFERROR(G4/G$7,"-")</f>
        <v>0.14638346727898965</v>
      </c>
      <c r="I4" s="124">
        <f>IFERROR(INDEX(退院予定有無×在院期間区分[#All],MATCH($AL5,退院予定有無×在院期間区分[[#All],[行ラベル]],0),MATCH($BA$4,退院予定有無×在院期間区分[#Headers],0)),0)+IFERROR(INDEX(退院予定有無×在院期間区分[#All],MATCH($AL5,退院予定有無×在院期間区分[[#All],[行ラベル]],0),MATCH($BB$4,退院予定有無×在院期間区分[#Headers],0)),0)</f>
        <v>267</v>
      </c>
      <c r="J4" s="126">
        <f>IFERROR(I4/I$7,"-")</f>
        <v>0.13993710691823899</v>
      </c>
      <c r="K4" s="137"/>
      <c r="L4" s="137"/>
      <c r="M4" s="137"/>
      <c r="N4" s="26">
        <f>C4+E4+G4+I4</f>
        <v>1850</v>
      </c>
      <c r="O4" s="21">
        <v>97</v>
      </c>
      <c r="P4" s="46">
        <v>126</v>
      </c>
      <c r="Q4" s="46">
        <v>236</v>
      </c>
      <c r="R4" s="46">
        <v>183</v>
      </c>
      <c r="S4" s="46">
        <v>215</v>
      </c>
      <c r="T4" s="46">
        <v>137</v>
      </c>
      <c r="U4" s="46">
        <v>98</v>
      </c>
      <c r="V4" s="46">
        <v>152</v>
      </c>
      <c r="W4" s="46">
        <v>94</v>
      </c>
      <c r="X4" s="46">
        <v>87</v>
      </c>
      <c r="Y4" s="46">
        <v>66</v>
      </c>
      <c r="Z4" s="46">
        <v>61</v>
      </c>
      <c r="AA4" s="46">
        <v>56</v>
      </c>
      <c r="AB4" s="46">
        <v>40</v>
      </c>
      <c r="AC4" s="46">
        <v>32</v>
      </c>
      <c r="AD4" s="46">
        <v>170</v>
      </c>
      <c r="AE4" s="46">
        <v>97</v>
      </c>
      <c r="AM4" s="224" t="s">
        <v>170</v>
      </c>
      <c r="AN4" s="224" t="s">
        <v>171</v>
      </c>
      <c r="AO4" s="224" t="s">
        <v>172</v>
      </c>
      <c r="AP4" s="224" t="s">
        <v>173</v>
      </c>
      <c r="AQ4" s="224" t="s">
        <v>174</v>
      </c>
      <c r="AR4" s="224" t="s">
        <v>175</v>
      </c>
      <c r="AS4" s="224" t="s">
        <v>176</v>
      </c>
      <c r="AT4" s="224" t="s">
        <v>177</v>
      </c>
      <c r="AU4" s="224" t="s">
        <v>178</v>
      </c>
      <c r="AV4" s="224" t="s">
        <v>179</v>
      </c>
      <c r="AW4" s="224" t="s">
        <v>180</v>
      </c>
      <c r="AX4" s="224" t="s">
        <v>181</v>
      </c>
      <c r="AY4" s="224" t="s">
        <v>182</v>
      </c>
      <c r="AZ4" s="224" t="s">
        <v>183</v>
      </c>
      <c r="BA4" s="224" t="s">
        <v>184</v>
      </c>
      <c r="BB4" s="224" t="s">
        <v>185</v>
      </c>
    </row>
    <row r="5" spans="2:54" ht="18.75" customHeight="1" x14ac:dyDescent="0.2">
      <c r="B5" s="75" t="s">
        <v>225</v>
      </c>
      <c r="C5" s="601">
        <f>IFERROR(INDEX(退院予定有無×在院期間区分[#All],MATCH($AL6,退院予定有無×在院期間区分[[#All],[行ラベル]],0),MATCH($AM$4,退院予定有無×在院期間区分[#Headers],0)),)+IFERROR(INDEX(退院予定有無×在院期間区分[#All],MATCH($AL6,退院予定有無×在院期間区分[[#All],[行ラベル]],0),MATCH($AN$4,退院予定有無×在院期間区分[#Headers],0)),0)+IFERROR(INDEX(退院予定有無×在院期間区分[#All],MATCH($AL6,退院予定有無×在院期間区分[[#All],[行ラベル]],0),MATCH($AO$4,退院予定有無×在院期間区分[#Headers],0)),0)+IFERROR(INDEX(退院予定有無×在院期間区分[#All],MATCH($AL6,退院予定有無×在院期間区分[[#All],[行ラベル]],0),MATCH($AP$4,退院予定有無×在院期間区分[#Headers],0)),0)</f>
        <v>4398</v>
      </c>
      <c r="D5" s="128">
        <f>IFERROR(C5/C$7,"-")</f>
        <v>0.66899908731365987</v>
      </c>
      <c r="E5" s="127">
        <f>IFERROR(INDEX(退院予定有無×在院期間区分[#All],MATCH($AL6,退院予定有無×在院期間区分[[#All],[行ラベル]],0),MATCH($AQ$4,退院予定有無×在院期間区分[#Headers],0)),0)+IFERROR(INDEX(退院予定有無×在院期間区分[#All],MATCH($AL6,退院予定有無×在院期間区分[[#All],[行ラベル]],0),MATCH($AR$4,退院予定有無×在院期間区分[#Headers],0)),0)+IFERROR(INDEX(退院予定有無×在院期間区分[#All],MATCH($AL6,退院予定有無×在院期間区分[[#All],[行ラベル]],0),MATCH($AS$4,退院予定有無×在院期間区分[#Headers],0)),0)+IFERROR(INDEX(退院予定有無×在院期間区分[#All],MATCH($AL6,退院予定有無×在院期間区分[[#All],[行ラベル]],0),MATCH($AT$4,退院予定有無×在院期間区分[#Headers],0)),0)+IFERROR(INDEX(退院予定有無×在院期間区分[#All],MATCH($AL6,退院予定有無×在院期間区分[[#All],[行ラベル]],0),MATCH($AU$4,退院予定有無×在院期間区分[#Headers],0)),0)</f>
        <v>3126</v>
      </c>
      <c r="F5" s="128">
        <f>IFERROR(E5/E$7,"-")</f>
        <v>0.82632831086439329</v>
      </c>
      <c r="G5" s="127">
        <f>IFERROR(INDEX(退院予定有無×在院期間区分[#All],MATCH($AL6,退院予定有無×在院期間区分[[#All],[行ラベル]],0),MATCH($AV$4,退院予定有無×在院期間区分[#Headers],0))+INDEX(退院予定有無×在院期間区分[#All],MATCH($AL6,退院予定有無×在院期間区分[[#All],[行ラベル]],0),MATCH($AW$4,退院予定有無×在院期間区分[#Headers],0)),0)+IFERROR(INDEX(退院予定有無×在院期間区分[#All],MATCH($AL6,退院予定有無×在院期間区分[[#All],[行ラベル]],0),MATCH($AX$4,退院予定有無×在院期間区分[#Headers],0)),0)+IFERROR(INDEX(退院予定有無×在院期間区分[#All],MATCH($AL6,退院予定有無×在院期間区分[[#All],[行ラベル]],0),MATCH($AY$4,退院予定有無×在院期間区分[#Headers],0)),0)+IFERROR(INDEX(退院予定有無×在院期間区分[#All],MATCH($AL6,退院予定有無×在院期間区分[[#All],[行ラベル]],0),MATCH($AZ$4,退院予定有無×在院期間区分[#Headers],0)),0)</f>
        <v>1469</v>
      </c>
      <c r="H5" s="144">
        <f>IFERROR(G5/G$7,"-")</f>
        <v>0.84328358208955223</v>
      </c>
      <c r="I5" s="127">
        <f>IFERROR(INDEX(退院予定有無×在院期間区分[#All],MATCH($AL6,退院予定有無×在院期間区分[[#All],[行ラベル]],0),MATCH($BA$4,退院予定有無×在院期間区分[#Headers],0)),0)+IFERROR(INDEX(退院予定有無×在院期間区分[#All],MATCH($AL6,退院予定有無×在院期間区分[[#All],[行ラベル]],0),MATCH($BB$4,退院予定有無×在院期間区分[#Headers],0)),0)</f>
        <v>1626</v>
      </c>
      <c r="J5" s="129">
        <f>IFERROR(I5/I$7,"-")</f>
        <v>0.85220125786163525</v>
      </c>
      <c r="K5" s="745"/>
      <c r="L5" s="745"/>
      <c r="M5" s="745"/>
      <c r="N5" s="26">
        <f>C5+E5+G5+I5</f>
        <v>10619</v>
      </c>
      <c r="O5" s="21">
        <v>99</v>
      </c>
      <c r="P5" s="46">
        <v>481</v>
      </c>
      <c r="Q5" s="46">
        <v>614</v>
      </c>
      <c r="R5" s="46">
        <v>187</v>
      </c>
      <c r="S5" s="46">
        <v>134</v>
      </c>
      <c r="T5" s="46">
        <v>33</v>
      </c>
      <c r="U5" s="46">
        <v>18</v>
      </c>
      <c r="V5" s="46">
        <v>22</v>
      </c>
      <c r="W5" s="46">
        <v>9</v>
      </c>
      <c r="X5" s="46">
        <v>7</v>
      </c>
      <c r="Y5" s="46">
        <v>7</v>
      </c>
      <c r="Z5" s="46">
        <v>6</v>
      </c>
      <c r="AA5" s="46">
        <v>3</v>
      </c>
      <c r="AB5" s="46">
        <v>0</v>
      </c>
      <c r="AC5" s="46">
        <v>2</v>
      </c>
      <c r="AD5" s="46">
        <v>8</v>
      </c>
      <c r="AE5" s="46">
        <v>7</v>
      </c>
      <c r="AL5" s="21">
        <v>97</v>
      </c>
      <c r="AM5" s="43"/>
    </row>
    <row r="6" spans="2:54" ht="18.75" customHeight="1" x14ac:dyDescent="0.2">
      <c r="B6" s="76" t="s">
        <v>36</v>
      </c>
      <c r="C6" s="602">
        <f>IFERROR(INDEX(退院予定有無×在院期間区分[#All],MATCH($AL7,退院予定有無×在院期間区分[[#All],[行ラベル]],0),MATCH($AM$4,退院予定有無×在院期間区分[#Headers],0)),)+IFERROR(INDEX(退院予定有無×在院期間区分[#All],MATCH($AL7,退院予定有無×在院期間区分[[#All],[行ラベル]],0),MATCH($AN$4,退院予定有無×在院期間区分[#Headers],0)),0)+IFERROR(INDEX(退院予定有無×在院期間区分[#All],MATCH($AL7,退院予定有無×在院期間区分[[#All],[行ラベル]],0),MATCH($AO$4,退院予定有無×在院期間区分[#Headers],0)),0)+IFERROR(INDEX(退院予定有無×在院期間区分[#All],MATCH($AL7,退院予定有無×在院期間区分[[#All],[行ラベル]],0),MATCH($AP$4,退院予定有無×在院期間区分[#Headers],0)),0)</f>
        <v>1416</v>
      </c>
      <c r="D6" s="131">
        <f>IFERROR(C6/C$7,"-")</f>
        <v>0.21539397627015516</v>
      </c>
      <c r="E6" s="150">
        <f>IFERROR(INDEX(退院予定有無×在院期間区分[#All],MATCH($AL7,退院予定有無×在院期間区分[[#All],[行ラベル]],0),MATCH($AQ$4,退院予定有無×在院期間区分[#Headers],0)),0)+IFERROR(INDEX(退院予定有無×在院期間区分[#All],MATCH($AL7,退院予定有無×在院期間区分[[#All],[行ラベル]],0),MATCH($AR$4,退院予定有無×在院期間区分[#Headers],0)),0)+IFERROR(INDEX(退院予定有無×在院期間区分[#All],MATCH($AL7,退院予定有無×在院期間区分[[#All],[行ラベル]],0),MATCH($AS$4,退院予定有無×在院期間区分[#Headers],0)),0)+IFERROR(INDEX(退院予定有無×在院期間区分[#All],MATCH($AL7,退院予定有無×在院期間区分[[#All],[行ラベル]],0),MATCH($AT$4,退院予定有無×在院期間区分[#Headers],0)),0)+IFERROR(INDEX(退院予定有無×在院期間区分[#All],MATCH($AL7,退院予定有無×在院期間区分[[#All],[行ラベル]],0),MATCH($AU$4,退院予定有無×在院期間区分[#Headers],0)),0)</f>
        <v>89</v>
      </c>
      <c r="F6" s="132">
        <f>IFERROR(E6/E$7,"-")</f>
        <v>2.352630187681734E-2</v>
      </c>
      <c r="G6" s="150">
        <f>IFERROR(INDEX(退院予定有無×在院期間区分[#All],MATCH($AL7,退院予定有無×在院期間区分[[#All],[行ラベル]],0),MATCH($AV$4,退院予定有無×在院期間区分[#Headers],0))+INDEX(退院予定有無×在院期間区分[#All],MATCH($AL7,退院予定有無×在院期間区分[[#All],[行ラベル]],0),MATCH($AW$4,退院予定有無×在院期間区分[#Headers],0)),0)+IFERROR(INDEX(退院予定有無×在院期間区分[#All],MATCH($AL7,退院予定有無×在院期間区分[[#All],[行ラベル]],0),MATCH($AX$4,退院予定有無×在院期間区分[#Headers],0)),0)+IFERROR(INDEX(退院予定有無×在院期間区分[#All],MATCH($AL7,退院予定有無×在院期間区分[[#All],[行ラベル]],0),MATCH($AY$4,退院予定有無×在院期間区分[#Headers],0)),0)+IFERROR(INDEX(退院予定有無×在院期間区分[#All],MATCH($AL7,退院予定有無×在院期間区分[[#All],[行ラベル]],0),MATCH($AZ$4,退院予定有無×在院期間区分[#Headers],0)),0)</f>
        <v>18</v>
      </c>
      <c r="H6" s="132">
        <f>IFERROR(G6/G$7,"-")</f>
        <v>1.0332950631458095E-2</v>
      </c>
      <c r="I6" s="150">
        <f>IFERROR(INDEX(退院予定有無×在院期間区分[#All],MATCH($AL7,退院予定有無×在院期間区分[[#All],[行ラベル]],0),MATCH($BA$4,退院予定有無×在院期間区分[#Headers],0)),0)+IFERROR(INDEX(退院予定有無×在院期間区分[#All],MATCH($AL7,退院予定有無×在院期間区分[[#All],[行ラベル]],0),MATCH($BB$4,退院予定有無×在院期間区分[#Headers],0)),0)</f>
        <v>15</v>
      </c>
      <c r="J6" s="132">
        <f>IFERROR(I6/I$7,"-")</f>
        <v>7.8616352201257862E-3</v>
      </c>
      <c r="K6" s="745"/>
      <c r="L6" s="745"/>
      <c r="M6" s="745"/>
      <c r="N6" s="26">
        <f>C6+E6+G6+I6</f>
        <v>1538</v>
      </c>
      <c r="O6" s="21"/>
      <c r="P6" s="30"/>
      <c r="Q6" s="30"/>
      <c r="R6" s="30"/>
      <c r="S6" s="30"/>
      <c r="T6" s="30"/>
      <c r="U6" s="30"/>
      <c r="V6" s="30"/>
      <c r="W6" s="30"/>
      <c r="X6" s="30"/>
      <c r="Y6" s="30"/>
      <c r="Z6" s="30"/>
      <c r="AA6" s="30"/>
      <c r="AB6" s="30"/>
      <c r="AC6" s="30"/>
      <c r="AD6" s="30"/>
      <c r="AE6" s="30"/>
      <c r="AL6" s="21">
        <v>98</v>
      </c>
      <c r="AM6" s="43"/>
    </row>
    <row r="7" spans="2:54" ht="18.75" customHeight="1" thickBot="1" x14ac:dyDescent="0.25">
      <c r="B7" s="77" t="s">
        <v>149</v>
      </c>
      <c r="C7" s="133">
        <f t="shared" ref="C7:J7" si="0">SUM(C4:C6)</f>
        <v>6574</v>
      </c>
      <c r="D7" s="134">
        <f t="shared" si="0"/>
        <v>1</v>
      </c>
      <c r="E7" s="135">
        <f t="shared" si="0"/>
        <v>3783</v>
      </c>
      <c r="F7" s="134">
        <f t="shared" si="0"/>
        <v>1</v>
      </c>
      <c r="G7" s="603">
        <f t="shared" si="0"/>
        <v>1742</v>
      </c>
      <c r="H7" s="604">
        <f t="shared" si="0"/>
        <v>1</v>
      </c>
      <c r="I7" s="135">
        <f t="shared" si="0"/>
        <v>1908</v>
      </c>
      <c r="J7" s="134">
        <f t="shared" si="0"/>
        <v>1</v>
      </c>
      <c r="K7" s="765"/>
      <c r="L7" s="765"/>
      <c r="M7" s="765"/>
      <c r="N7" s="26">
        <f>C7+E7+G7+I7</f>
        <v>14007</v>
      </c>
      <c r="O7" s="21"/>
      <c r="P7" s="30"/>
      <c r="Q7" s="30"/>
      <c r="R7" s="30"/>
      <c r="S7" s="30"/>
      <c r="T7" s="30"/>
      <c r="U7" s="30"/>
      <c r="V7" s="30"/>
      <c r="W7" s="30"/>
      <c r="X7" s="30"/>
      <c r="Y7" s="30"/>
      <c r="Z7" s="30"/>
      <c r="AA7" s="30"/>
      <c r="AB7" s="30"/>
      <c r="AC7" s="30"/>
      <c r="AD7" s="30"/>
      <c r="AE7" s="30"/>
      <c r="AL7" s="21">
        <v>99</v>
      </c>
      <c r="AM7" s="43"/>
    </row>
    <row r="8" spans="2:54" ht="18.75" customHeight="1" thickTop="1" thickBot="1" x14ac:dyDescent="0.25">
      <c r="B8" s="64"/>
      <c r="C8" s="65"/>
      <c r="D8" s="66"/>
      <c r="E8" s="67"/>
      <c r="F8" s="66"/>
      <c r="G8" s="67"/>
      <c r="H8" s="66"/>
      <c r="I8" s="67"/>
      <c r="J8" s="66"/>
      <c r="K8" s="66"/>
      <c r="L8" s="66"/>
      <c r="M8" s="66"/>
      <c r="N8" s="26"/>
      <c r="O8" s="761" t="s">
        <v>655</v>
      </c>
      <c r="P8" s="43" t="s">
        <v>677</v>
      </c>
      <c r="Q8" s="43" t="s">
        <v>678</v>
      </c>
      <c r="R8" s="43" t="s">
        <v>679</v>
      </c>
      <c r="S8" s="43" t="s">
        <v>680</v>
      </c>
      <c r="T8" s="43" t="s">
        <v>681</v>
      </c>
      <c r="U8" s="43" t="s">
        <v>682</v>
      </c>
      <c r="V8" s="43" t="s">
        <v>683</v>
      </c>
      <c r="W8" s="43" t="s">
        <v>340</v>
      </c>
      <c r="X8" s="43" t="s">
        <v>684</v>
      </c>
      <c r="Y8" s="43" t="s">
        <v>685</v>
      </c>
      <c r="Z8" s="43" t="s">
        <v>686</v>
      </c>
      <c r="AA8" s="43" t="s">
        <v>687</v>
      </c>
      <c r="AB8" s="43" t="s">
        <v>688</v>
      </c>
      <c r="AC8" s="43" t="s">
        <v>689</v>
      </c>
      <c r="AD8" s="43" t="s">
        <v>690</v>
      </c>
      <c r="AE8" s="43" t="s">
        <v>691</v>
      </c>
      <c r="AL8" s="21"/>
      <c r="AM8" s="43"/>
    </row>
    <row r="9" spans="2:54" ht="18.75" customHeight="1" thickTop="1" x14ac:dyDescent="0.2">
      <c r="B9" s="68" t="s">
        <v>226</v>
      </c>
      <c r="C9" s="1033"/>
      <c r="D9" s="1034"/>
      <c r="E9" s="1034"/>
      <c r="F9" s="1034"/>
      <c r="G9" s="1034"/>
      <c r="H9" s="1034"/>
      <c r="I9" s="1034"/>
      <c r="J9" s="1035"/>
      <c r="K9" s="767"/>
      <c r="L9" s="767"/>
      <c r="M9" s="767"/>
      <c r="N9" s="26"/>
      <c r="O9" s="21">
        <v>91</v>
      </c>
      <c r="P9" s="46">
        <v>73</v>
      </c>
      <c r="Q9" s="46">
        <v>160</v>
      </c>
      <c r="R9" s="46">
        <v>156</v>
      </c>
      <c r="S9" s="46">
        <v>189</v>
      </c>
      <c r="T9" s="46">
        <v>130</v>
      </c>
      <c r="U9" s="46">
        <v>88</v>
      </c>
      <c r="V9" s="46">
        <v>143</v>
      </c>
      <c r="W9" s="46">
        <v>94</v>
      </c>
      <c r="X9" s="46">
        <v>84</v>
      </c>
      <c r="Y9" s="46">
        <v>66</v>
      </c>
      <c r="Z9" s="46">
        <v>57</v>
      </c>
      <c r="AA9" s="46">
        <v>53</v>
      </c>
      <c r="AB9" s="46">
        <v>37</v>
      </c>
      <c r="AC9" s="46">
        <v>32</v>
      </c>
      <c r="AD9" s="46">
        <v>160</v>
      </c>
      <c r="AE9" s="46">
        <v>96</v>
      </c>
      <c r="AL9" s="21"/>
      <c r="AM9" s="43"/>
    </row>
    <row r="10" spans="2:54" ht="18.75" customHeight="1" x14ac:dyDescent="0.2">
      <c r="B10" s="78" t="s">
        <v>34</v>
      </c>
      <c r="C10" s="600">
        <f>IFERROR(INDEX(阻害要因有無×在院期間区分[#All],MATCH($AL11,阻害要因有無×在院期間区分[[#All],[行ラベル]],0),MATCH($AM$4,阻害要因有無×在院期間区分[#Headers],0)),0)+IFERROR(INDEX(阻害要因有無×在院期間区分[#All],MATCH($AL11,阻害要因有無×在院期間区分[[#All],[行ラベル]],0),MATCH($AN$4,阻害要因有無×在院期間区分[#Headers],0)),0)+IFERROR(INDEX(阻害要因有無×在院期間区分[#All],MATCH($AL11,阻害要因有無×在院期間区分[[#All],[行ラベル]],0),MATCH($AO$4,阻害要因有無×在院期間区分[#Headers],0)),0)+IFERROR(INDEX(阻害要因有無×在院期間区分[#All],MATCH($AL11,阻害要因有無×在院期間区分[[#All],[行ラベル]],0),MATCH($AP$4,阻害要因有無×在院期間区分[#Headers],0)),0)</f>
        <v>578</v>
      </c>
      <c r="D10" s="126">
        <f>IFERROR(C10/C$4,"-")</f>
        <v>0.76052631578947372</v>
      </c>
      <c r="E10" s="124">
        <f>IFERROR(INDEX(阻害要因有無×在院期間区分[#All],MATCH($AL11,阻害要因有無×在院期間区分[[#All],[行ラベル]],0),MATCH($AQ$4,阻害要因有無×在院期間区分[#Headers],0)),0)+IFERROR(INDEX(阻害要因有無×在院期間区分[#All],MATCH($AL11,阻害要因有無×在院期間区分[[#All],[行ラベル]],0),MATCH($AR$4,阻害要因有無×在院期間区分[#Headers],0)),0)+IFERROR(INDEX(阻害要因有無×在院期間区分[#All],MATCH($AL11,阻害要因有無×在院期間区分[[#All],[行ラベル]],0),MATCH($AS$4,阻害要因有無×在院期間区分[#Headers],0)),0)+IFERROR(INDEX(阻害要因有無×在院期間区分[#All],MATCH($AL11,阻害要因有無×在院期間区分[[#All],[行ラベル]],0),MATCH($AT$4,阻害要因有無×在院期間区分[#Headers],0)),0)+IFERROR(INDEX(阻害要因有無×在院期間区分[#All],MATCH($AL11,阻害要因有無×在院期間区分[[#All],[行ラベル]],0),MATCH($AU$4,阻害要因有無×在院期間区分[#Headers],0)),0)</f>
        <v>539</v>
      </c>
      <c r="F10" s="126">
        <f>IFERROR(E10/E$4,"-")</f>
        <v>0.948943661971831</v>
      </c>
      <c r="G10" s="124">
        <f>IFERROR(INDEX(阻害要因有無×在院期間区分[#All],MATCH($AL11,阻害要因有無×在院期間区分[[#All],[行ラベル]],0),MATCH($AV$4,阻害要因有無×在院期間区分[#Headers],0)),0)+IFERROR(INDEX(阻害要因有無×在院期間区分[#All],MATCH($AL11,阻害要因有無×在院期間区分[[#All],[行ラベル]],0),MATCH($AW$4,阻害要因有無×在院期間区分[#Headers],0)),0)+IFERROR(INDEX(阻害要因有無×在院期間区分[#All],MATCH($AL11,阻害要因有無×在院期間区分[[#All],[行ラベル]],0),MATCH($AX$4,阻害要因有無×在院期間区分[#Headers],0)),0)+IFERROR(INDEX(阻害要因有無×在院期間区分[#All],MATCH($AL11,阻害要因有無×在院期間区分[[#All],[行ラベル]],0),MATCH($AY$4,阻害要因有無×在院期間区分[#Headers],0)),0)+IFERROR(INDEX(阻害要因有無×在院期間区分[#All],MATCH($AL11,阻害要因有無×在院期間区分[[#All],[行ラベル]],0),MATCH($AZ$4,阻害要因有無×在院期間区分[#Headers],0)),0)</f>
        <v>245</v>
      </c>
      <c r="H10" s="126">
        <f>IFERROR(G10/G$4,"-")</f>
        <v>0.96078431372549022</v>
      </c>
      <c r="I10" s="124">
        <f>IFERROR(INDEX(阻害要因有無×在院期間区分[#All],MATCH($AL11,阻害要因有無×在院期間区分[[#All],[行ラベル]],0),MATCH($BA$4,阻害要因有無×在院期間区分[#Headers],0)),0)+IFERROR(INDEX(阻害要因有無×在院期間区分[#All],MATCH($AL11,阻害要因有無×在院期間区分[[#All],[行ラベル]],0),MATCH($BB$4,阻害要因有無×在院期間区分[#Headers],0)),0)</f>
        <v>256</v>
      </c>
      <c r="J10" s="126">
        <f>IFERROR(I10/I$4,"-")</f>
        <v>0.95880149812734083</v>
      </c>
      <c r="K10" s="137"/>
      <c r="L10" s="137"/>
      <c r="M10" s="137"/>
      <c r="N10" s="26">
        <f>C10+E10+G10+I10</f>
        <v>1618</v>
      </c>
      <c r="O10" s="21">
        <v>90</v>
      </c>
      <c r="P10" s="46">
        <v>53</v>
      </c>
      <c r="Q10" s="46">
        <v>76</v>
      </c>
      <c r="R10" s="46">
        <v>27</v>
      </c>
      <c r="S10" s="46">
        <v>26</v>
      </c>
      <c r="T10" s="46">
        <v>7</v>
      </c>
      <c r="U10" s="46">
        <v>10</v>
      </c>
      <c r="V10" s="46">
        <v>9</v>
      </c>
      <c r="W10" s="46">
        <v>0</v>
      </c>
      <c r="X10" s="46">
        <v>3</v>
      </c>
      <c r="Y10" s="46">
        <v>0</v>
      </c>
      <c r="Z10" s="46">
        <v>4</v>
      </c>
      <c r="AA10" s="46">
        <v>3</v>
      </c>
      <c r="AB10" s="46">
        <v>3</v>
      </c>
      <c r="AC10" s="46">
        <v>0</v>
      </c>
      <c r="AD10" s="46">
        <v>10</v>
      </c>
      <c r="AE10" s="46">
        <v>1</v>
      </c>
      <c r="AL10" s="21"/>
      <c r="AM10" s="43"/>
    </row>
    <row r="11" spans="2:54" ht="18.75" customHeight="1" thickBot="1" x14ac:dyDescent="0.25">
      <c r="B11" s="79" t="s">
        <v>35</v>
      </c>
      <c r="C11" s="601">
        <f>IFERROR(INDEX(阻害要因有無×在院期間区分[#All],MATCH($AL12,阻害要因有無×在院期間区分[[#All],[行ラベル]],0),MATCH($AM$4,阻害要因有無×在院期間区分[#Headers],0)),0)+IFERROR(INDEX(阻害要因有無×在院期間区分[#All],MATCH($AL12,阻害要因有無×在院期間区分[[#All],[行ラベル]],0),MATCH($AN$4,阻害要因有無×在院期間区分[#Headers],0)),0)+IFERROR(INDEX(阻害要因有無×在院期間区分[#All],MATCH($AL12,阻害要因有無×在院期間区分[[#All],[行ラベル]],0),MATCH($AO$4,阻害要因有無×在院期間区分[#Headers],0)),0)+IFERROR(INDEX(阻害要因有無×在院期間区分[#All],MATCH($AL12,阻害要因有無×在院期間区分[[#All],[行ラベル]],0),MATCH($AP$4,阻害要因有無×在院期間区分[#Headers],0)),0)</f>
        <v>182</v>
      </c>
      <c r="D11" s="128">
        <f>IFERROR(C11/C$4,"-")</f>
        <v>0.23947368421052631</v>
      </c>
      <c r="E11" s="153">
        <f>IFERROR(INDEX(阻害要因有無×在院期間区分[#All],MATCH($AL12,阻害要因有無×在院期間区分[[#All],[行ラベル]],0),MATCH($AQ$4,阻害要因有無×在院期間区分[#Headers],0)),0)+IFERROR(INDEX(阻害要因有無×在院期間区分[#All],MATCH($AL12,阻害要因有無×在院期間区分[[#All],[行ラベル]],0),MATCH($AR$4,阻害要因有無×在院期間区分[#Headers],0)),0)+IFERROR(INDEX(阻害要因有無×在院期間区分[#All],MATCH($AL12,阻害要因有無×在院期間区分[[#All],[行ラベル]],0),MATCH($AS$4,阻害要因有無×在院期間区分[#Headers],0)),0)+IFERROR(INDEX(阻害要因有無×在院期間区分[#All],MATCH($AL12,阻害要因有無×在院期間区分[[#All],[行ラベル]],0),MATCH($AT$4,阻害要因有無×在院期間区分[#Headers],0)),0)+IFERROR(INDEX(阻害要因有無×在院期間区分[#All],MATCH($AL12,阻害要因有無×在院期間区分[[#All],[行ラベル]],0),MATCH($AU$4,阻害要因有無×在院期間区分[#Headers],0)),0)</f>
        <v>29</v>
      </c>
      <c r="F11" s="131">
        <f>IFERROR(E11/E$4,"-")</f>
        <v>5.1056338028169015E-2</v>
      </c>
      <c r="G11" s="153">
        <f>IFERROR(INDEX(阻害要因有無×在院期間区分[#All],MATCH($AL12,阻害要因有無×在院期間区分[[#All],[行ラベル]],0),MATCH($AV$4,阻害要因有無×在院期間区分[#Headers],0)),0)+IFERROR(INDEX(阻害要因有無×在院期間区分[#All],MATCH($AL12,阻害要因有無×在院期間区分[[#All],[行ラベル]],0),MATCH($AW$4,阻害要因有無×在院期間区分[#Headers],0)),0)+IFERROR(INDEX(阻害要因有無×在院期間区分[#All],MATCH($AL12,阻害要因有無×在院期間区分[[#All],[行ラベル]],0),MATCH($AX$4,阻害要因有無×在院期間区分[#Headers],0)),0)+IFERROR(INDEX(阻害要因有無×在院期間区分[#All],MATCH($AL12,阻害要因有無×在院期間区分[[#All],[行ラベル]],0),MATCH($AY$4,阻害要因有無×在院期間区分[#Headers],0)),0)+IFERROR(INDEX(阻害要因有無×在院期間区分[#All],MATCH($AL12,阻害要因有無×在院期間区分[[#All],[行ラベル]],0),MATCH($AZ$4,阻害要因有無×在院期間区分[#Headers],0)),0)</f>
        <v>10</v>
      </c>
      <c r="H11" s="131">
        <f>IFERROR(G11/G$4,"-")</f>
        <v>3.9215686274509803E-2</v>
      </c>
      <c r="I11" s="153">
        <f>IFERROR(INDEX(阻害要因有無×在院期間区分[#All],MATCH($AL12,阻害要因有無×在院期間区分[[#All],[行ラベル]],0),MATCH($BA$4,阻害要因有無×在院期間区分[#Headers],0)),0)+IFERROR(INDEX(阻害要因有無×在院期間区分[#All],MATCH($AL12,阻害要因有無×在院期間区分[[#All],[行ラベル]],0),MATCH($BB$4,阻害要因有無×在院期間区分[#Headers],0)),0)</f>
        <v>11</v>
      </c>
      <c r="J11" s="131">
        <f>IFERROR(I11/I$4,"-")</f>
        <v>4.1198501872659173E-2</v>
      </c>
      <c r="K11" s="745"/>
      <c r="L11" s="745"/>
      <c r="M11" s="745"/>
      <c r="N11" s="26">
        <f>C11+E11+G11+I11</f>
        <v>232</v>
      </c>
      <c r="O11" s="21"/>
      <c r="P11" s="46"/>
      <c r="Q11" s="46"/>
      <c r="R11" s="46"/>
      <c r="S11" s="46"/>
      <c r="T11" s="46"/>
      <c r="U11" s="46"/>
      <c r="V11" s="46"/>
      <c r="W11" s="46"/>
      <c r="X11" s="46"/>
      <c r="Y11" s="46"/>
      <c r="Z11" s="46"/>
      <c r="AA11" s="46"/>
      <c r="AB11" s="46"/>
      <c r="AC11" s="46"/>
      <c r="AD11" s="46"/>
      <c r="AE11" s="46"/>
      <c r="AL11" s="21">
        <v>91</v>
      </c>
      <c r="AM11" s="43"/>
    </row>
    <row r="12" spans="2:54" ht="18.75" customHeight="1" thickTop="1" thickBot="1" x14ac:dyDescent="0.25">
      <c r="B12" s="70" t="s">
        <v>245</v>
      </c>
      <c r="C12" s="1033"/>
      <c r="D12" s="1034"/>
      <c r="E12" s="1034"/>
      <c r="F12" s="1034"/>
      <c r="G12" s="1034"/>
      <c r="H12" s="1034"/>
      <c r="I12" s="1034"/>
      <c r="J12" s="1035"/>
      <c r="K12" s="767"/>
      <c r="L12" s="767"/>
      <c r="M12" s="767"/>
      <c r="N12" s="26"/>
      <c r="O12" s="761" t="s">
        <v>676</v>
      </c>
      <c r="P12" s="43" t="s">
        <v>677</v>
      </c>
      <c r="Q12" s="43" t="s">
        <v>678</v>
      </c>
      <c r="R12" s="43" t="s">
        <v>679</v>
      </c>
      <c r="S12" s="43" t="s">
        <v>680</v>
      </c>
      <c r="T12" s="43" t="s">
        <v>681</v>
      </c>
      <c r="U12" s="43" t="s">
        <v>682</v>
      </c>
      <c r="V12" s="43" t="s">
        <v>683</v>
      </c>
      <c r="W12" s="43" t="s">
        <v>340</v>
      </c>
      <c r="X12" s="43" t="s">
        <v>684</v>
      </c>
      <c r="Y12" s="43" t="s">
        <v>685</v>
      </c>
      <c r="Z12" s="43" t="s">
        <v>686</v>
      </c>
      <c r="AA12" s="43" t="s">
        <v>687</v>
      </c>
      <c r="AB12" s="43" t="s">
        <v>688</v>
      </c>
      <c r="AC12" s="43" t="s">
        <v>689</v>
      </c>
      <c r="AD12" s="43" t="s">
        <v>690</v>
      </c>
      <c r="AE12" s="43" t="s">
        <v>691</v>
      </c>
      <c r="AL12" s="21">
        <v>90</v>
      </c>
      <c r="AM12" s="43"/>
    </row>
    <row r="13" spans="2:54" ht="18.75" customHeight="1" thickTop="1" x14ac:dyDescent="0.2">
      <c r="B13" s="1030" t="s">
        <v>255</v>
      </c>
      <c r="C13" s="1031"/>
      <c r="D13" s="1031"/>
      <c r="E13" s="1031"/>
      <c r="F13" s="1031"/>
      <c r="G13" s="1031"/>
      <c r="H13" s="1031"/>
      <c r="I13" s="1031"/>
      <c r="J13" s="1032"/>
      <c r="K13" s="768"/>
      <c r="L13" s="768"/>
      <c r="M13" s="768"/>
      <c r="N13" s="26"/>
      <c r="O13" s="762" t="s">
        <v>692</v>
      </c>
      <c r="P13" s="49">
        <v>23</v>
      </c>
      <c r="Q13" s="49">
        <v>53</v>
      </c>
      <c r="R13" s="49">
        <v>44</v>
      </c>
      <c r="S13" s="49">
        <v>63</v>
      </c>
      <c r="T13" s="49">
        <v>45</v>
      </c>
      <c r="U13" s="49">
        <v>28</v>
      </c>
      <c r="V13" s="49">
        <v>53</v>
      </c>
      <c r="W13" s="49">
        <v>28</v>
      </c>
      <c r="X13" s="49">
        <v>39</v>
      </c>
      <c r="Y13" s="49">
        <v>24</v>
      </c>
      <c r="Z13" s="49">
        <v>18</v>
      </c>
      <c r="AA13" s="49">
        <v>15</v>
      </c>
      <c r="AB13" s="49">
        <v>15</v>
      </c>
      <c r="AC13" s="49">
        <v>14</v>
      </c>
      <c r="AD13" s="49">
        <v>57</v>
      </c>
      <c r="AE13" s="49">
        <v>36</v>
      </c>
      <c r="AM13" s="43"/>
    </row>
    <row r="14" spans="2:54" ht="37.5" customHeight="1" x14ac:dyDescent="0.2">
      <c r="B14" s="358" t="s">
        <v>221</v>
      </c>
      <c r="C14" s="605">
        <f>IFERROR(INDEX(阻害要因×在院期間区分[#All],MATCH($AL15,阻害要因×在院期間区分[[#All],[値]],0),MATCH($AM$4,阻害要因×在院期間区分[#Headers],0)),0)+IFERROR(INDEX(阻害要因×在院期間区分[#All],MATCH($AL15,阻害要因×在院期間区分[[#All],[値]],0),MATCH($AN$4,阻害要因×在院期間区分[#Headers],0)),0)+IFERROR(INDEX(阻害要因×在院期間区分[#All],MATCH($AL15,阻害要因×在院期間区分[[#All],[値]],0),MATCH($AO$4,阻害要因×在院期間区分[#Headers],0)),0)+IFERROR(INDEX(阻害要因×在院期間区分[#All],MATCH($AL15,阻害要因×在院期間区分[[#All],[値]],0),MATCH($AP$4,阻害要因×在院期間区分[#Headers],0)),0)</f>
        <v>183</v>
      </c>
      <c r="D14" s="161">
        <f t="shared" ref="D14:D30" si="1">IFERROR(C14/C$10,"-")</f>
        <v>0.31660899653979241</v>
      </c>
      <c r="E14" s="142">
        <f>IFERROR(INDEX(阻害要因×在院期間区分[#All],MATCH($AL15,阻害要因×在院期間区分[[#All],[値]],0),MATCH($AQ$4,阻害要因×在院期間区分[#Headers],0)),0)+IFERROR(INDEX(阻害要因×在院期間区分[#All],MATCH($AL15,阻害要因×在院期間区分[[#All],[値]],0),MATCH($AR$4,阻害要因×在院期間区分[#Headers],0)),0)+IFERROR(INDEX(阻害要因×在院期間区分[#All],MATCH($AL15,阻害要因×在院期間区分[[#All],[値]],0),MATCH($AS$4,阻害要因×在院期間区分[#Headers],0)),0)+IFERROR(INDEX(阻害要因×在院期間区分[#All],MATCH($AL15,阻害要因×在院期間区分[[#All],[値]],0),MATCH($AT$4,阻害要因×在院期間区分[#Headers],0)),0)+IFERROR(INDEX(阻害要因×在院期間区分[#All],MATCH($AL15,阻害要因×在院期間区分[[#All],[値]],0),MATCH($AU$4,阻害要因×在院期間区分[#Headers],0)),0)</f>
        <v>193</v>
      </c>
      <c r="F14" s="161">
        <f t="shared" ref="F14:F30" si="2">IFERROR(E14/E$10,"-")</f>
        <v>0.35807050092764381</v>
      </c>
      <c r="G14" s="142">
        <f>IFERROR(INDEX(阻害要因×在院期間区分[#All],MATCH($AL15,阻害要因×在院期間区分[[#All],[値]],0),MATCH($AV$4,阻害要因×在院期間区分[#Headers],0)),0)+IFERROR(INDEX(阻害要因×在院期間区分[#All],MATCH($AL15,阻害要因×在院期間区分[[#All],[値]],0),MATCH($AW$4,阻害要因×在院期間区分[#Headers],0)),0)+IFERROR(INDEX(阻害要因×在院期間区分[#All],MATCH($AL15,阻害要因×在院期間区分[[#All],[値]],0),MATCH($AX$4,阻害要因×在院期間区分[#Headers],0)),0)+IFERROR(INDEX(阻害要因×在院期間区分[#All],MATCH($AL15,阻害要因×在院期間区分[[#All],[値]],0),MATCH($AY$4,阻害要因×在院期間区分[#Headers],0)),0)+IFERROR(INDEX(阻害要因×在院期間区分[#All],MATCH($AL15,阻害要因×在院期間区分[[#All],[値]],0),MATCH($AZ$4,阻害要因×在院期間区分[#Headers],0)),0)</f>
        <v>86</v>
      </c>
      <c r="H14" s="161">
        <f t="shared" ref="H14:H30" si="3">IFERROR(G14/G$10,"-")</f>
        <v>0.3510204081632653</v>
      </c>
      <c r="I14" s="142">
        <f>IFERROR(INDEX(阻害要因×在院期間区分[#All],MATCH($AL15,阻害要因×在院期間区分[[#All],[値]],0),MATCH($BA$4,阻害要因×在院期間区分[#Headers],0)),0)+IFERROR(INDEX(阻害要因×在院期間区分[#All],MATCH($AL15,阻害要因×在院期間区分[[#All],[値]],0),MATCH($BB$4,阻害要因×在院期間区分[#Headers],0)),0)</f>
        <v>93</v>
      </c>
      <c r="J14" s="161">
        <f t="shared" ref="J14:J30" si="4">IFERROR(I14/I$10,"-")</f>
        <v>0.36328125</v>
      </c>
      <c r="K14" s="745"/>
      <c r="L14" s="745"/>
      <c r="M14" s="745"/>
      <c r="N14" s="26">
        <f>C14+E14+G14+I14</f>
        <v>555</v>
      </c>
      <c r="O14" s="43" t="s">
        <v>693</v>
      </c>
      <c r="P14" s="49">
        <v>9</v>
      </c>
      <c r="Q14" s="49">
        <v>36</v>
      </c>
      <c r="R14" s="49">
        <v>40</v>
      </c>
      <c r="S14" s="49">
        <v>46</v>
      </c>
      <c r="T14" s="49">
        <v>26</v>
      </c>
      <c r="U14" s="49">
        <v>14</v>
      </c>
      <c r="V14" s="49">
        <v>29</v>
      </c>
      <c r="W14" s="49">
        <v>26</v>
      </c>
      <c r="X14" s="49">
        <v>24</v>
      </c>
      <c r="Y14" s="49">
        <v>15</v>
      </c>
      <c r="Z14" s="49">
        <v>19</v>
      </c>
      <c r="AA14" s="49">
        <v>13</v>
      </c>
      <c r="AB14" s="49">
        <v>7</v>
      </c>
      <c r="AC14" s="49">
        <v>11</v>
      </c>
      <c r="AD14" s="49">
        <v>43</v>
      </c>
      <c r="AE14" s="49">
        <v>32</v>
      </c>
      <c r="AM14" s="43"/>
    </row>
    <row r="15" spans="2:54" ht="18.75" customHeight="1" x14ac:dyDescent="0.2">
      <c r="B15" s="72" t="s">
        <v>65</v>
      </c>
      <c r="C15" s="606">
        <f>IFERROR(INDEX(阻害要因×在院期間区分[#All],MATCH($AL16,阻害要因×在院期間区分[[#All],[値]],0),MATCH($AM$4,阻害要因×在院期間区分[#Headers],0)),0)+IFERROR(INDEX(阻害要因×在院期間区分[#All],MATCH($AL16,阻害要因×在院期間区分[[#All],[値]],0),MATCH($AN$4,阻害要因×在院期間区分[#Headers],0)),0)+IFERROR(INDEX(阻害要因×在院期間区分[#All],MATCH($AL16,阻害要因×在院期間区分[[#All],[値]],0),MATCH($AO$4,阻害要因×在院期間区分[#Headers],0)),0)+IFERROR(INDEX(阻害要因×在院期間区分[#All],MATCH($AL16,阻害要因×在院期間区分[[#All],[値]],0),MATCH($AP$4,阻害要因×在院期間区分[#Headers],0)),0)</f>
        <v>131</v>
      </c>
      <c r="D15" s="128">
        <f t="shared" si="1"/>
        <v>0.22664359861591696</v>
      </c>
      <c r="E15" s="151">
        <f>IFERROR(INDEX(阻害要因×在院期間区分[#All],MATCH($AL16,阻害要因×在院期間区分[[#All],[値]],0),MATCH($AQ$4,阻害要因×在院期間区分[#Headers],0)),0)+IFERROR(INDEX(阻害要因×在院期間区分[#All],MATCH($AL16,阻害要因×在院期間区分[[#All],[値]],0),MATCH($AR$4,阻害要因×在院期間区分[#Headers],0)),0)+IFERROR(INDEX(阻害要因×在院期間区分[#All],MATCH($AL16,阻害要因×在院期間区分[[#All],[値]],0),MATCH($AS$4,阻害要因×在院期間区分[#Headers],0)),0)+IFERROR(INDEX(阻害要因×在院期間区分[#All],MATCH($AL16,阻害要因×在院期間区分[[#All],[値]],0),MATCH($AT$4,阻害要因×在院期間区分[#Headers],0)),0)+IFERROR(INDEX(阻害要因×在院期間区分[#All],MATCH($AL16,阻害要因×在院期間区分[[#All],[値]],0),MATCH($AU$4,阻害要因×在院期間区分[#Headers],0)),0)</f>
        <v>119</v>
      </c>
      <c r="F15" s="128">
        <f t="shared" si="2"/>
        <v>0.22077922077922077</v>
      </c>
      <c r="G15" s="153">
        <f>IFERROR(INDEX(阻害要因×在院期間区分[#All],MATCH($AL16,阻害要因×在院期間区分[[#All],[値]],0),MATCH($AV$4,阻害要因×在院期間区分[#Headers],0)),0)+IFERROR(INDEX(阻害要因×在院期間区分[#All],MATCH($AL16,阻害要因×在院期間区分[[#All],[値]],0),MATCH($AW$4,阻害要因×在院期間区分[#Headers],0)),0)+IFERROR(INDEX(阻害要因×在院期間区分[#All],MATCH($AL16,阻害要因×在院期間区分[[#All],[値]],0),MATCH($AX$4,阻害要因×在院期間区分[#Headers],0)),0)+IFERROR(INDEX(阻害要因×在院期間区分[#All],MATCH($AL16,阻害要因×在院期間区分[[#All],[値]],0),MATCH($AY$4,阻害要因×在院期間区分[#Headers],0)),0)+IFERROR(INDEX(阻害要因×在院期間区分[#All],MATCH($AL16,阻害要因×在院期間区分[[#All],[値]],0),MATCH($AZ$4,阻害要因×在院期間区分[#Headers],0)),0)</f>
        <v>65</v>
      </c>
      <c r="H15" s="128">
        <f t="shared" si="3"/>
        <v>0.26530612244897961</v>
      </c>
      <c r="I15" s="153">
        <f>IFERROR(INDEX(阻害要因×在院期間区分[#All],MATCH($AL16,阻害要因×在院期間区分[[#All],[値]],0),MATCH($BA$4,阻害要因×在院期間区分[#Headers],0)),0)+IFERROR(INDEX(阻害要因×在院期間区分[#All],MATCH($AL16,阻害要因×在院期間区分[[#All],[値]],0),MATCH($BB$4,阻害要因×在院期間区分[#Headers],0)),0)</f>
        <v>75</v>
      </c>
      <c r="J15" s="128">
        <f t="shared" si="4"/>
        <v>0.29296875</v>
      </c>
      <c r="K15" s="745"/>
      <c r="L15" s="745"/>
      <c r="M15" s="745"/>
      <c r="N15" s="26">
        <f t="shared" ref="N15:N29" si="5">SUM(C15,E15,G15,I15)</f>
        <v>390</v>
      </c>
      <c r="O15" s="43" t="s">
        <v>694</v>
      </c>
      <c r="P15" s="49">
        <v>3</v>
      </c>
      <c r="Q15" s="49">
        <v>11</v>
      </c>
      <c r="R15" s="49">
        <v>7</v>
      </c>
      <c r="S15" s="49">
        <v>6</v>
      </c>
      <c r="T15" s="49">
        <v>7</v>
      </c>
      <c r="U15" s="49">
        <v>2</v>
      </c>
      <c r="V15" s="49">
        <v>10</v>
      </c>
      <c r="W15" s="49">
        <v>3</v>
      </c>
      <c r="X15" s="49">
        <v>2</v>
      </c>
      <c r="Y15" s="49">
        <v>4</v>
      </c>
      <c r="Z15" s="49">
        <v>3</v>
      </c>
      <c r="AA15" s="49">
        <v>0</v>
      </c>
      <c r="AB15" s="49">
        <v>1</v>
      </c>
      <c r="AC15" s="49">
        <v>0</v>
      </c>
      <c r="AD15" s="49">
        <v>5</v>
      </c>
      <c r="AE15" s="49">
        <v>2</v>
      </c>
      <c r="AL15" s="224" t="s">
        <v>286</v>
      </c>
      <c r="AM15" s="43"/>
    </row>
    <row r="16" spans="2:54" ht="18.75" customHeight="1" x14ac:dyDescent="0.2">
      <c r="B16" s="72" t="s">
        <v>37</v>
      </c>
      <c r="C16" s="602">
        <f>IFERROR(INDEX(阻害要因×在院期間区分[#All],MATCH($AL17,阻害要因×在院期間区分[[#All],[値]],0),MATCH($AM$4,阻害要因×在院期間区分[#Headers],0)),0)+IFERROR(INDEX(阻害要因×在院期間区分[#All],MATCH($AL17,阻害要因×在院期間区分[[#All],[値]],0),MATCH($AN$4,阻害要因×在院期間区分[#Headers],0)),0)+IFERROR(INDEX(阻害要因×在院期間区分[#All],MATCH($AL17,阻害要因×在院期間区分[[#All],[値]],0),MATCH($AO$4,阻害要因×在院期間区分[#Headers],0)),0)+IFERROR(INDEX(阻害要因×在院期間区分[#All],MATCH($AL17,阻害要因×在院期間区分[[#All],[値]],0),MATCH($AP$4,阻害要因×在院期間区分[#Headers],0)),0)</f>
        <v>27</v>
      </c>
      <c r="D16" s="128">
        <f t="shared" si="1"/>
        <v>4.6712802768166091E-2</v>
      </c>
      <c r="E16" s="127">
        <f>IFERROR(INDEX(阻害要因×在院期間区分[#All],MATCH($AL17,阻害要因×在院期間区分[[#All],[値]],0),MATCH($AQ$4,阻害要因×在院期間区分[#Headers],0)),0)+IFERROR(INDEX(阻害要因×在院期間区分[#All],MATCH($AL17,阻害要因×在院期間区分[[#All],[値]],0),MATCH($AR$4,阻害要因×在院期間区分[#Headers],0)),0)+IFERROR(INDEX(阻害要因×在院期間区分[#All],MATCH($AL17,阻害要因×在院期間区分[[#All],[値]],0),MATCH($AS$4,阻害要因×在院期間区分[#Headers],0)),0)+IFERROR(INDEX(阻害要因×在院期間区分[#All],MATCH($AL17,阻害要因×在院期間区分[[#All],[値]],0),MATCH($AT$4,阻害要因×在院期間区分[#Headers],0)),0)+IFERROR(INDEX(阻害要因×在院期間区分[#All],MATCH($AL17,阻害要因×在院期間区分[[#All],[値]],0),MATCH($AU$4,阻害要因×在院期間区分[#Headers],0)),0)</f>
        <v>24</v>
      </c>
      <c r="F16" s="128">
        <f t="shared" si="2"/>
        <v>4.4526901669758812E-2</v>
      </c>
      <c r="G16" s="127">
        <f>IFERROR(INDEX(阻害要因×在院期間区分[#All],MATCH($AL17,阻害要因×在院期間区分[[#All],[値]],0),MATCH($AV$4,阻害要因×在院期間区分[#Headers],0)),0)+IFERROR(INDEX(阻害要因×在院期間区分[#All],MATCH($AL17,阻害要因×在院期間区分[[#All],[値]],0),MATCH($AW$4,阻害要因×在院期間区分[#Headers],0)),0)+IFERROR(INDEX(阻害要因×在院期間区分[#All],MATCH($AL17,阻害要因×在院期間区分[[#All],[値]],0),MATCH($AX$4,阻害要因×在院期間区分[#Headers],0)),0)+IFERROR(INDEX(阻害要因×在院期間区分[#All],MATCH($AL17,阻害要因×在院期間区分[[#All],[値]],0),MATCH($AY$4,阻害要因×在院期間区分[#Headers],0)),0)+IFERROR(INDEX(阻害要因×在院期間区分[#All],MATCH($AL17,阻害要因×在院期間区分[[#All],[値]],0),MATCH($AZ$4,阻害要因×在院期間区分[#Headers],0)),0)</f>
        <v>8</v>
      </c>
      <c r="H16" s="128">
        <f t="shared" si="3"/>
        <v>3.2653061224489799E-2</v>
      </c>
      <c r="I16" s="127">
        <f>IFERROR(INDEX(阻害要因×在院期間区分[#All],MATCH($AL17,阻害要因×在院期間区分[[#All],[値]],0),MATCH($BA$4,阻害要因×在院期間区分[#Headers],0)),0)+IFERROR(INDEX(阻害要因×在院期間区分[#All],MATCH($AL17,阻害要因×在院期間区分[[#All],[値]],0),MATCH($BB$4,阻害要因×在院期間区分[#Headers],0)),0)</f>
        <v>7</v>
      </c>
      <c r="J16" s="128">
        <f t="shared" si="4"/>
        <v>2.734375E-2</v>
      </c>
      <c r="K16" s="745"/>
      <c r="L16" s="745"/>
      <c r="M16" s="745"/>
      <c r="N16" s="26">
        <f t="shared" si="5"/>
        <v>66</v>
      </c>
      <c r="O16" s="43" t="s">
        <v>695</v>
      </c>
      <c r="P16" s="49">
        <v>11</v>
      </c>
      <c r="Q16" s="49">
        <v>23</v>
      </c>
      <c r="R16" s="49">
        <v>23</v>
      </c>
      <c r="S16" s="49">
        <v>54</v>
      </c>
      <c r="T16" s="49">
        <v>48</v>
      </c>
      <c r="U16" s="49">
        <v>36</v>
      </c>
      <c r="V16" s="49">
        <v>56</v>
      </c>
      <c r="W16" s="49">
        <v>50</v>
      </c>
      <c r="X16" s="49">
        <v>40</v>
      </c>
      <c r="Y16" s="49">
        <v>34</v>
      </c>
      <c r="Z16" s="49">
        <v>33</v>
      </c>
      <c r="AA16" s="49">
        <v>21</v>
      </c>
      <c r="AB16" s="49">
        <v>24</v>
      </c>
      <c r="AC16" s="49">
        <v>18</v>
      </c>
      <c r="AD16" s="49">
        <v>98</v>
      </c>
      <c r="AE16" s="49">
        <v>63</v>
      </c>
      <c r="AL16" s="224" t="s">
        <v>287</v>
      </c>
      <c r="AM16" s="43"/>
    </row>
    <row r="17" spans="2:39" ht="18.75" customHeight="1" x14ac:dyDescent="0.2">
      <c r="B17" s="72" t="s">
        <v>38</v>
      </c>
      <c r="C17" s="601">
        <f>IFERROR(INDEX(阻害要因×在院期間区分[#All],MATCH($AL18,阻害要因×在院期間区分[[#All],[値]],0),MATCH($AM$4,阻害要因×在院期間区分[#Headers],0)),0)+IFERROR(INDEX(阻害要因×在院期間区分[#All],MATCH($AL18,阻害要因×在院期間区分[[#All],[値]],0),MATCH($AN$4,阻害要因×在院期間区分[#Headers],0)),0)+IFERROR(INDEX(阻害要因×在院期間区分[#All],MATCH($AL18,阻害要因×在院期間区分[[#All],[値]],0),MATCH($AO$4,阻害要因×在院期間区分[#Headers],0)),0)+IFERROR(INDEX(阻害要因×在院期間区分[#All],MATCH($AL18,阻害要因×在院期間区分[[#All],[値]],0),MATCH($AP$4,阻害要因×在院期間区分[#Headers],0)),0)</f>
        <v>111</v>
      </c>
      <c r="D17" s="128">
        <f t="shared" si="1"/>
        <v>0.19204152249134948</v>
      </c>
      <c r="E17" s="127">
        <f>IFERROR(INDEX(阻害要因×在院期間区分[#All],MATCH($AL18,阻害要因×在院期間区分[[#All],[値]],0),MATCH($AQ$4,阻害要因×在院期間区分[#Headers],0)),0)+IFERROR(INDEX(阻害要因×在院期間区分[#All],MATCH($AL18,阻害要因×在院期間区分[[#All],[値]],0),MATCH($AR$4,阻害要因×在院期間区分[#Headers],0)),0)+IFERROR(INDEX(阻害要因×在院期間区分[#All],MATCH($AL18,阻害要因×在院期間区分[[#All],[値]],0),MATCH($AS$4,阻害要因×在院期間区分[#Headers],0)),0)+IFERROR(INDEX(阻害要因×在院期間区分[#All],MATCH($AL18,阻害要因×在院期間区分[[#All],[値]],0),MATCH($AT$4,阻害要因×在院期間区分[#Headers],0)),0)+IFERROR(INDEX(阻害要因×在院期間区分[#All],MATCH($AL18,阻害要因×在院期間区分[[#All],[値]],0),MATCH($AU$4,阻害要因×在院期間区分[#Headers],0)),0)</f>
        <v>230</v>
      </c>
      <c r="F17" s="128">
        <f t="shared" si="2"/>
        <v>0.42671614100185529</v>
      </c>
      <c r="G17" s="127">
        <f>IFERROR(INDEX(阻害要因×在院期間区分[#All],MATCH($AL18,阻害要因×在院期間区分[[#All],[値]],0),MATCH($AV$4,阻害要因×在院期間区分[#Headers],0)),0)+IFERROR(INDEX(阻害要因×在院期間区分[#All],MATCH($AL18,阻害要因×在院期間区分[[#All],[値]],0),MATCH($AW$4,阻害要因×在院期間区分[#Headers],0)),0)+IFERROR(INDEX(阻害要因×在院期間区分[#All],MATCH($AL18,阻害要因×在院期間区分[[#All],[値]],0),MATCH($AX$4,阻害要因×在院期間区分[#Headers],0)),0)+IFERROR(INDEX(阻害要因×在院期間区分[#All],MATCH($AL18,阻害要因×在院期間区分[[#All],[値]],0),MATCH($AY$4,阻害要因×在院期間区分[#Headers],0)),0)+IFERROR(INDEX(阻害要因×在院期間区分[#All],MATCH($AL18,阻害要因×在院期間区分[[#All],[値]],0),MATCH($AZ$4,阻害要因×在院期間区分[#Headers],0)),0)</f>
        <v>130</v>
      </c>
      <c r="H17" s="128">
        <f t="shared" si="3"/>
        <v>0.53061224489795922</v>
      </c>
      <c r="I17" s="127">
        <f>IFERROR(INDEX(阻害要因×在院期間区分[#All],MATCH($AL18,阻害要因×在院期間区分[[#All],[値]],0),MATCH($BA$4,阻害要因×在院期間区分[#Headers],0)),0)+IFERROR(INDEX(阻害要因×在院期間区分[#All],MATCH($AL18,阻害要因×在院期間区分[[#All],[値]],0),MATCH($BB$4,阻害要因×在院期間区分[#Headers],0)),0)</f>
        <v>161</v>
      </c>
      <c r="J17" s="128">
        <f t="shared" si="4"/>
        <v>0.62890625</v>
      </c>
      <c r="K17" s="745"/>
      <c r="L17" s="745"/>
      <c r="M17" s="745"/>
      <c r="N17" s="26">
        <f t="shared" si="5"/>
        <v>632</v>
      </c>
      <c r="O17" s="43" t="s">
        <v>696</v>
      </c>
      <c r="P17" s="49">
        <v>15</v>
      </c>
      <c r="Q17" s="49">
        <v>55</v>
      </c>
      <c r="R17" s="49">
        <v>53</v>
      </c>
      <c r="S17" s="49">
        <v>71</v>
      </c>
      <c r="T17" s="49">
        <v>59</v>
      </c>
      <c r="U17" s="49">
        <v>39</v>
      </c>
      <c r="V17" s="49">
        <v>52</v>
      </c>
      <c r="W17" s="49">
        <v>39</v>
      </c>
      <c r="X17" s="49">
        <v>34</v>
      </c>
      <c r="Y17" s="49">
        <v>29</v>
      </c>
      <c r="Z17" s="49">
        <v>23</v>
      </c>
      <c r="AA17" s="49">
        <v>23</v>
      </c>
      <c r="AB17" s="49">
        <v>17</v>
      </c>
      <c r="AC17" s="49">
        <v>19</v>
      </c>
      <c r="AD17" s="49">
        <v>76</v>
      </c>
      <c r="AE17" s="49">
        <v>53</v>
      </c>
      <c r="AL17" s="224" t="s">
        <v>154</v>
      </c>
      <c r="AM17" s="43"/>
    </row>
    <row r="18" spans="2:39" ht="18.75" customHeight="1" x14ac:dyDescent="0.2">
      <c r="B18" s="72" t="s">
        <v>39</v>
      </c>
      <c r="C18" s="601">
        <f>IFERROR(INDEX(阻害要因×在院期間区分[#All],MATCH($AL19,阻害要因×在院期間区分[[#All],[値]],0),MATCH($AM$4,阻害要因×在院期間区分[#Headers],0)),0)+IFERROR(INDEX(阻害要因×在院期間区分[#All],MATCH($AL19,阻害要因×在院期間区分[[#All],[値]],0),MATCH($AN$4,阻害要因×在院期間区分[#Headers],0)),0)+IFERROR(INDEX(阻害要因×在院期間区分[#All],MATCH($AL19,阻害要因×在院期間区分[[#All],[値]],0),MATCH($AO$4,阻害要因×在院期間区分[#Headers],0)),0)+IFERROR(INDEX(阻害要因×在院期間区分[#All],MATCH($AL19,阻害要因×在院期間区分[[#All],[値]],0),MATCH($AP$4,阻害要因×在院期間区分[#Headers],0)),0)</f>
        <v>194</v>
      </c>
      <c r="D18" s="128">
        <f t="shared" si="1"/>
        <v>0.33564013840830448</v>
      </c>
      <c r="E18" s="127">
        <f>IFERROR(INDEX(阻害要因×在院期間区分[#All],MATCH($AL19,阻害要因×在院期間区分[[#All],[値]],0),MATCH($AQ$4,阻害要因×在院期間区分[#Headers],0)),0)+IFERROR(INDEX(阻害要因×在院期間区分[#All],MATCH($AL19,阻害要因×在院期間区分[[#All],[値]],0),MATCH($AR$4,阻害要因×在院期間区分[#Headers],0)),0)+IFERROR(INDEX(阻害要因×在院期間区分[#All],MATCH($AL19,阻害要因×在院期間区分[[#All],[値]],0),MATCH($AS$4,阻害要因×在院期間区分[#Headers],0)),0)+IFERROR(INDEX(阻害要因×在院期間区分[#All],MATCH($AL19,阻害要因×在院期間区分[[#All],[値]],0),MATCH($AT$4,阻害要因×在院期間区分[#Headers],0)),0)+IFERROR(INDEX(阻害要因×在院期間区分[#All],MATCH($AL19,阻害要因×在院期間区分[[#All],[値]],0),MATCH($AU$4,阻害要因×在院期間区分[#Headers],0)),0)</f>
        <v>223</v>
      </c>
      <c r="F18" s="128">
        <f t="shared" si="2"/>
        <v>0.4137291280148423</v>
      </c>
      <c r="G18" s="127">
        <f>IFERROR(INDEX(阻害要因×在院期間区分[#All],MATCH($AL19,阻害要因×在院期間区分[[#All],[値]],0),MATCH($AV$4,阻害要因×在院期間区分[#Headers],0)),0)+IFERROR(INDEX(阻害要因×在院期間区分[#All],MATCH($AL19,阻害要因×在院期間区分[[#All],[値]],0),MATCH($AW$4,阻害要因×在院期間区分[#Headers],0)),0)+IFERROR(INDEX(阻害要因×在院期間区分[#All],MATCH($AL19,阻害要因×在院期間区分[[#All],[値]],0),MATCH($AX$4,阻害要因×在院期間区分[#Headers],0)),0)+IFERROR(INDEX(阻害要因×在院期間区分[#All],MATCH($AL19,阻害要因×在院期間区分[[#All],[値]],0),MATCH($AY$4,阻害要因×在院期間区分[#Headers],0)),0)+IFERROR(INDEX(阻害要因×在院期間区分[#All],MATCH($AL19,阻害要因×在院期間区分[[#All],[値]],0),MATCH($AZ$4,阻害要因×在院期間区分[#Headers],0)),0)</f>
        <v>111</v>
      </c>
      <c r="H18" s="128">
        <f t="shared" si="3"/>
        <v>0.45306122448979591</v>
      </c>
      <c r="I18" s="127">
        <f>IFERROR(INDEX(阻害要因×在院期間区分[#All],MATCH($AL19,阻害要因×在院期間区分[[#All],[値]],0),MATCH($BA$4,阻害要因×在院期間区分[#Headers],0)),0)+IFERROR(INDEX(阻害要因×在院期間区分[#All],MATCH($AL19,阻害要因×在院期間区分[[#All],[値]],0),MATCH($BB$4,阻害要因×在院期間区分[#Headers],0)),0)</f>
        <v>129</v>
      </c>
      <c r="J18" s="128">
        <f t="shared" si="4"/>
        <v>0.50390625</v>
      </c>
      <c r="K18" s="745"/>
      <c r="L18" s="745"/>
      <c r="M18" s="745"/>
      <c r="N18" s="26">
        <f t="shared" si="5"/>
        <v>657</v>
      </c>
      <c r="O18" s="43" t="s">
        <v>697</v>
      </c>
      <c r="P18" s="49">
        <v>14</v>
      </c>
      <c r="Q18" s="49">
        <v>38</v>
      </c>
      <c r="R18" s="49">
        <v>36</v>
      </c>
      <c r="S18" s="49">
        <v>53</v>
      </c>
      <c r="T18" s="49">
        <v>42</v>
      </c>
      <c r="U18" s="49">
        <v>26</v>
      </c>
      <c r="V18" s="49">
        <v>44</v>
      </c>
      <c r="W18" s="49">
        <v>28</v>
      </c>
      <c r="X18" s="49">
        <v>27</v>
      </c>
      <c r="Y18" s="49">
        <v>15</v>
      </c>
      <c r="Z18" s="49">
        <v>18</v>
      </c>
      <c r="AA18" s="49">
        <v>17</v>
      </c>
      <c r="AB18" s="49">
        <v>15</v>
      </c>
      <c r="AC18" s="49">
        <v>15</v>
      </c>
      <c r="AD18" s="49">
        <v>69</v>
      </c>
      <c r="AE18" s="49">
        <v>31</v>
      </c>
      <c r="AL18" s="224" t="s">
        <v>155</v>
      </c>
      <c r="AM18" s="43"/>
    </row>
    <row r="19" spans="2:39" ht="18.75" customHeight="1" x14ac:dyDescent="0.2">
      <c r="B19" s="72" t="s">
        <v>40</v>
      </c>
      <c r="C19" s="607">
        <f>IFERROR(INDEX(阻害要因×在院期間区分[#All],MATCH($AL20,阻害要因×在院期間区分[[#All],[値]],0),MATCH($AM$4,阻害要因×在院期間区分[#Headers],0)),0)+IFERROR(INDEX(阻害要因×在院期間区分[#All],MATCH($AL20,阻害要因×在院期間区分[[#All],[値]],0),MATCH($AN$4,阻害要因×在院期間区分[#Headers],0)),0)+IFERROR(INDEX(阻害要因×在院期間区分[#All],MATCH($AL20,阻害要因×在院期間区分[[#All],[値]],0),MATCH($AO$4,阻害要因×在院期間区分[#Headers],0)),0)+IFERROR(INDEX(阻害要因×在院期間区分[#All],MATCH($AL20,阻害要因×在院期間区分[[#All],[値]],0),MATCH($AP$4,阻害要因×在院期間区分[#Headers],0)),0)</f>
        <v>141</v>
      </c>
      <c r="D19" s="128">
        <f t="shared" si="1"/>
        <v>0.24394463667820068</v>
      </c>
      <c r="E19" s="153">
        <f>IFERROR(INDEX(阻害要因×在院期間区分[#All],MATCH($AL20,阻害要因×在院期間区分[[#All],[値]],0),MATCH($AQ$4,阻害要因×在院期間区分[#Headers],0)),0)+IFERROR(INDEX(阻害要因×在院期間区分[#All],MATCH($AL20,阻害要因×在院期間区分[[#All],[値]],0),MATCH($AR$4,阻害要因×在院期間区分[#Headers],0)),0)+IFERROR(INDEX(阻害要因×在院期間区分[#All],MATCH($AL20,阻害要因×在院期間区分[[#All],[値]],0),MATCH($AS$4,阻害要因×在院期間区分[#Headers],0)),0)+IFERROR(INDEX(阻害要因×在院期間区分[#All],MATCH($AL20,阻害要因×在院期間区分[[#All],[値]],0),MATCH($AT$4,阻害要因×在院期間区分[#Headers],0)),0)+IFERROR(INDEX(阻害要因×在院期間区分[#All],MATCH($AL20,阻害要因×在院期間区分[[#All],[値]],0),MATCH($AU$4,阻害要因×在院期間区分[#Headers],0)),0)</f>
        <v>167</v>
      </c>
      <c r="F19" s="128">
        <f t="shared" si="2"/>
        <v>0.30983302411873842</v>
      </c>
      <c r="G19" s="153">
        <f>IFERROR(INDEX(阻害要因×在院期間区分[#All],MATCH($AL20,阻害要因×在院期間区分[[#All],[値]],0),MATCH($AV$4,阻害要因×在院期間区分[#Headers],0)),0)+IFERROR(INDEX(阻害要因×在院期間区分[#All],MATCH($AL20,阻害要因×在院期間区分[[#All],[値]],0),MATCH($AW$4,阻害要因×在院期間区分[#Headers],0)),0)+IFERROR(INDEX(阻害要因×在院期間区分[#All],MATCH($AL20,阻害要因×在院期間区分[[#All],[値]],0),MATCH($AX$4,阻害要因×在院期間区分[#Headers],0)),0)+IFERROR(INDEX(阻害要因×在院期間区分[#All],MATCH($AL20,阻害要因×在院期間区分[[#All],[値]],0),MATCH($AY$4,阻害要因×在院期間区分[#Headers],0)),0)+IFERROR(INDEX(阻害要因×在院期間区分[#All],MATCH($AL20,阻害要因×在院期間区分[[#All],[値]],0),MATCH($AZ$4,阻害要因×在院期間区分[#Headers],0)),0)</f>
        <v>80</v>
      </c>
      <c r="H19" s="128">
        <f t="shared" si="3"/>
        <v>0.32653061224489793</v>
      </c>
      <c r="I19" s="153">
        <f>IFERROR(INDEX(阻害要因×在院期間区分[#All],MATCH($AL20,阻害要因×在院期間区分[[#All],[値]],0),MATCH($BA$4,阻害要因×在院期間区分[#Headers],0)),0)+IFERROR(INDEX(阻害要因×在院期間区分[#All],MATCH($AL20,阻害要因×在院期間区分[[#All],[値]],0),MATCH($BB$4,阻害要因×在院期間区分[#Headers],0)),0)</f>
        <v>100</v>
      </c>
      <c r="J19" s="128">
        <f t="shared" si="4"/>
        <v>0.390625</v>
      </c>
      <c r="K19" s="745"/>
      <c r="L19" s="745"/>
      <c r="M19" s="745"/>
      <c r="N19" s="26">
        <f t="shared" si="5"/>
        <v>488</v>
      </c>
      <c r="O19" s="43" t="s">
        <v>698</v>
      </c>
      <c r="P19" s="49">
        <v>5</v>
      </c>
      <c r="Q19" s="49">
        <v>16</v>
      </c>
      <c r="R19" s="49">
        <v>14</v>
      </c>
      <c r="S19" s="49">
        <v>16</v>
      </c>
      <c r="T19" s="49">
        <v>8</v>
      </c>
      <c r="U19" s="49">
        <v>5</v>
      </c>
      <c r="V19" s="49">
        <v>13</v>
      </c>
      <c r="W19" s="49">
        <v>5</v>
      </c>
      <c r="X19" s="49">
        <v>6</v>
      </c>
      <c r="Y19" s="49">
        <v>7</v>
      </c>
      <c r="Z19" s="49">
        <v>8</v>
      </c>
      <c r="AA19" s="49">
        <v>2</v>
      </c>
      <c r="AB19" s="49">
        <v>4</v>
      </c>
      <c r="AC19" s="49">
        <v>2</v>
      </c>
      <c r="AD19" s="49">
        <v>18</v>
      </c>
      <c r="AE19" s="49">
        <v>7</v>
      </c>
      <c r="AL19" s="224" t="s">
        <v>156</v>
      </c>
      <c r="AM19" s="43"/>
    </row>
    <row r="20" spans="2:39" ht="18.75" customHeight="1" x14ac:dyDescent="0.2">
      <c r="B20" s="72" t="s">
        <v>41</v>
      </c>
      <c r="C20" s="601">
        <f>IFERROR(INDEX(阻害要因×在院期間区分[#All],MATCH($AL21,阻害要因×在院期間区分[[#All],[値]],0),MATCH($AM$4,阻害要因×在院期間区分[#Headers],0)),0)+IFERROR(INDEX(阻害要因×在院期間区分[#All],MATCH($AL21,阻害要因×在院期間区分[[#All],[値]],0),MATCH($AN$4,阻害要因×在院期間区分[#Headers],0)),0)+IFERROR(INDEX(阻害要因×在院期間区分[#All],MATCH($AL21,阻害要因×在院期間区分[[#All],[値]],0),MATCH($AO$4,阻害要因×在院期間区分[#Headers],0)),0)+IFERROR(INDEX(阻害要因×在院期間区分[#All],MATCH($AL21,阻害要因×在院期間区分[[#All],[値]],0),MATCH($AP$4,阻害要因×在院期間区分[#Headers],0)),0)</f>
        <v>51</v>
      </c>
      <c r="D20" s="128">
        <f t="shared" si="1"/>
        <v>8.8235294117647065E-2</v>
      </c>
      <c r="E20" s="127">
        <f>IFERROR(INDEX(阻害要因×在院期間区分[#All],MATCH($AL21,阻害要因×在院期間区分[[#All],[値]],0),MATCH($AQ$4,阻害要因×在院期間区分[#Headers],0)),0)+IFERROR(INDEX(阻害要因×在院期間区分[#All],MATCH($AL21,阻害要因×在院期間区分[[#All],[値]],0),MATCH($AR$4,阻害要因×在院期間区分[#Headers],0)),0)+IFERROR(INDEX(阻害要因×在院期間区分[#All],MATCH($AL21,阻害要因×在院期間区分[[#All],[値]],0),MATCH($AS$4,阻害要因×在院期間区分[#Headers],0)),0)+IFERROR(INDEX(阻害要因×在院期間区分[#All],MATCH($AL21,阻害要因×在院期間区分[[#All],[値]],0),MATCH($AT$4,阻害要因×在院期間区分[#Headers],0)),0)+IFERROR(INDEX(阻害要因×在院期間区分[#All],MATCH($AL21,阻害要因×在院期間区分[[#All],[値]],0),MATCH($AU$4,阻害要因×在院期間区分[#Headers],0)),0)</f>
        <v>37</v>
      </c>
      <c r="F20" s="128">
        <f t="shared" si="2"/>
        <v>6.8645640074211506E-2</v>
      </c>
      <c r="G20" s="127">
        <f>IFERROR(INDEX(阻害要因×在院期間区分[#All],MATCH($AL21,阻害要因×在院期間区分[[#All],[値]],0),MATCH($AV$4,阻害要因×在院期間区分[#Headers],0)),0)+IFERROR(INDEX(阻害要因×在院期間区分[#All],MATCH($AL21,阻害要因×在院期間区分[[#All],[値]],0),MATCH($AW$4,阻害要因×在院期間区分[#Headers],0)),0)+IFERROR(INDEX(阻害要因×在院期間区分[#All],MATCH($AL21,阻害要因×在院期間区分[[#All],[値]],0),MATCH($AX$4,阻害要因×在院期間区分[#Headers],0)),0)+IFERROR(INDEX(阻害要因×在院期間区分[#All],MATCH($AL21,阻害要因×在院期間区分[[#All],[値]],0),MATCH($AY$4,阻害要因×在院期間区分[#Headers],0)),0)+IFERROR(INDEX(阻害要因×在院期間区分[#All],MATCH($AL21,阻害要因×在院期間区分[[#All],[値]],0),MATCH($AZ$4,阻害要因×在院期間区分[#Headers],0)),0)</f>
        <v>23</v>
      </c>
      <c r="H20" s="128">
        <f t="shared" si="3"/>
        <v>9.3877551020408165E-2</v>
      </c>
      <c r="I20" s="127">
        <f>IFERROR(INDEX(阻害要因×在院期間区分[#All],MATCH($AL21,阻害要因×在院期間区分[[#All],[値]],0),MATCH($BA$4,阻害要因×在院期間区分[#Headers],0)),0)+IFERROR(INDEX(阻害要因×在院期間区分[#All],MATCH($AL21,阻害要因×在院期間区分[[#All],[値]],0),MATCH($BB$4,阻害要因×在院期間区分[#Headers],0)),0)</f>
        <v>25</v>
      </c>
      <c r="J20" s="128">
        <f t="shared" si="4"/>
        <v>9.765625E-2</v>
      </c>
      <c r="K20" s="745"/>
      <c r="L20" s="745"/>
      <c r="M20" s="745"/>
      <c r="N20" s="26">
        <f t="shared" si="5"/>
        <v>136</v>
      </c>
      <c r="O20" s="43" t="s">
        <v>699</v>
      </c>
      <c r="P20" s="49">
        <v>18</v>
      </c>
      <c r="Q20" s="49">
        <v>45</v>
      </c>
      <c r="R20" s="49">
        <v>46</v>
      </c>
      <c r="S20" s="49">
        <v>68</v>
      </c>
      <c r="T20" s="49">
        <v>46</v>
      </c>
      <c r="U20" s="49">
        <v>35</v>
      </c>
      <c r="V20" s="49">
        <v>45</v>
      </c>
      <c r="W20" s="49">
        <v>35</v>
      </c>
      <c r="X20" s="49">
        <v>17</v>
      </c>
      <c r="Y20" s="49">
        <v>16</v>
      </c>
      <c r="Z20" s="49">
        <v>22</v>
      </c>
      <c r="AA20" s="49">
        <v>18</v>
      </c>
      <c r="AB20" s="49">
        <v>13</v>
      </c>
      <c r="AC20" s="49">
        <v>20</v>
      </c>
      <c r="AD20" s="49">
        <v>51</v>
      </c>
      <c r="AE20" s="49">
        <v>35</v>
      </c>
      <c r="AL20" s="224" t="s">
        <v>157</v>
      </c>
    </row>
    <row r="21" spans="2:39" ht="18.75" customHeight="1" x14ac:dyDescent="0.2">
      <c r="B21" s="72" t="s">
        <v>42</v>
      </c>
      <c r="C21" s="601">
        <f>IFERROR(INDEX(阻害要因×在院期間区分[#All],MATCH($AL22,阻害要因×在院期間区分[[#All],[値]],0),MATCH($AM$4,阻害要因×在院期間区分[#Headers],0)),0)+IFERROR(INDEX(阻害要因×在院期間区分[#All],MATCH($AL22,阻害要因×在院期間区分[[#All],[値]],0),MATCH($AN$4,阻害要因×在院期間区分[#Headers],0)),0)+IFERROR(INDEX(阻害要因×在院期間区分[#All],MATCH($AL22,阻害要因×在院期間区分[[#All],[値]],0),MATCH($AO$4,阻害要因×在院期間区分[#Headers],0)),0)+IFERROR(INDEX(阻害要因×在院期間区分[#All],MATCH($AL22,阻害要因×在院期間区分[[#All],[値]],0),MATCH($AP$4,阻害要因×在院期間区分[#Headers],0)),0)</f>
        <v>177</v>
      </c>
      <c r="D21" s="128">
        <f t="shared" si="1"/>
        <v>0.30622837370242212</v>
      </c>
      <c r="E21" s="127">
        <f>IFERROR(INDEX(阻害要因×在院期間区分[#All],MATCH($AL22,阻害要因×在院期間区分[[#All],[値]],0),MATCH($AQ$4,阻害要因×在院期間区分[#Headers],0)),0)+IFERROR(INDEX(阻害要因×在院期間区分[#All],MATCH($AL22,阻害要因×在院期間区分[[#All],[値]],0),MATCH($AR$4,阻害要因×在院期間区分[#Headers],0)),0)+IFERROR(INDEX(阻害要因×在院期間区分[#All],MATCH($AL22,阻害要因×在院期間区分[[#All],[値]],0),MATCH($AS$4,阻害要因×在院期間区分[#Headers],0)),0)+IFERROR(INDEX(阻害要因×在院期間区分[#All],MATCH($AL22,阻害要因×在院期間区分[[#All],[値]],0),MATCH($AT$4,阻害要因×在院期間区分[#Headers],0)),0)+IFERROR(INDEX(阻害要因×在院期間区分[#All],MATCH($AL22,阻害要因×在院期間区分[[#All],[値]],0),MATCH($AU$4,阻害要因×在院期間区分[#Headers],0)),0)</f>
        <v>178</v>
      </c>
      <c r="F21" s="128">
        <f t="shared" si="2"/>
        <v>0.33024118738404451</v>
      </c>
      <c r="G21" s="127">
        <f>IFERROR(INDEX(阻害要因×在院期間区分[#All],MATCH($AL22,阻害要因×在院期間区分[[#All],[値]],0),MATCH($AV$4,阻害要因×在院期間区分[#Headers],0)),0)+IFERROR(INDEX(阻害要因×在院期間区分[#All],MATCH($AL22,阻害要因×在院期間区分[[#All],[値]],0),MATCH($AW$4,阻害要因×在院期間区分[#Headers],0)),0)+IFERROR(INDEX(阻害要因×在院期間区分[#All],MATCH($AL22,阻害要因×在院期間区分[[#All],[値]],0),MATCH($AX$4,阻害要因×在院期間区分[#Headers],0)),0)+IFERROR(INDEX(阻害要因×在院期間区分[#All],MATCH($AL22,阻害要因×在院期間区分[[#All],[値]],0),MATCH($AY$4,阻害要因×在院期間区分[#Headers],0)),0)+IFERROR(INDEX(阻害要因×在院期間区分[#All],MATCH($AL22,阻害要因×在院期間区分[[#All],[値]],0),MATCH($AZ$4,阻害要因×在院期間区分[#Headers],0)),0)</f>
        <v>89</v>
      </c>
      <c r="H21" s="128">
        <f t="shared" si="3"/>
        <v>0.36326530612244901</v>
      </c>
      <c r="I21" s="127">
        <f>IFERROR(INDEX(阻害要因×在院期間区分[#All],MATCH($AL22,阻害要因×在院期間区分[[#All],[値]],0),MATCH($BA$4,阻害要因×在院期間区分[#Headers],0)),0)+IFERROR(INDEX(阻害要因×在院期間区分[#All],MATCH($AL22,阻害要因×在院期間区分[[#All],[値]],0),MATCH($BB$4,阻害要因×在院期間区分[#Headers],0)),0)</f>
        <v>86</v>
      </c>
      <c r="J21" s="128">
        <f t="shared" si="4"/>
        <v>0.3359375</v>
      </c>
      <c r="K21" s="745"/>
      <c r="L21" s="745"/>
      <c r="M21" s="745"/>
      <c r="N21" s="26">
        <f t="shared" si="5"/>
        <v>530</v>
      </c>
      <c r="O21" s="43" t="s">
        <v>700</v>
      </c>
      <c r="P21" s="49">
        <v>10</v>
      </c>
      <c r="Q21" s="49">
        <v>20</v>
      </c>
      <c r="R21" s="49">
        <v>15</v>
      </c>
      <c r="S21" s="49">
        <v>27</v>
      </c>
      <c r="T21" s="49">
        <v>18</v>
      </c>
      <c r="U21" s="49">
        <v>20</v>
      </c>
      <c r="V21" s="49">
        <v>27</v>
      </c>
      <c r="W21" s="49">
        <v>24</v>
      </c>
      <c r="X21" s="49">
        <v>19</v>
      </c>
      <c r="Y21" s="49">
        <v>14</v>
      </c>
      <c r="Z21" s="49">
        <v>11</v>
      </c>
      <c r="AA21" s="49">
        <v>7</v>
      </c>
      <c r="AB21" s="49">
        <v>6</v>
      </c>
      <c r="AC21" s="49">
        <v>8</v>
      </c>
      <c r="AD21" s="49">
        <v>36</v>
      </c>
      <c r="AE21" s="49">
        <v>26</v>
      </c>
      <c r="AL21" s="224" t="s">
        <v>158</v>
      </c>
    </row>
    <row r="22" spans="2:39" ht="18.75" customHeight="1" x14ac:dyDescent="0.2">
      <c r="B22" s="72" t="s">
        <v>43</v>
      </c>
      <c r="C22" s="601">
        <f>IFERROR(INDEX(阻害要因×在院期間区分[#All],MATCH($AL23,阻害要因×在院期間区分[[#All],[値]],0),MATCH($AM$4,阻害要因×在院期間区分[#Headers],0)),0)+IFERROR(INDEX(阻害要因×在院期間区分[#All],MATCH($AL23,阻害要因×在院期間区分[[#All],[値]],0),MATCH($AN$4,阻害要因×在院期間区分[#Headers],0)),0)+IFERROR(INDEX(阻害要因×在院期間区分[#All],MATCH($AL23,阻害要因×在院期間区分[[#All],[値]],0),MATCH($AO$4,阻害要因×在院期間区分[#Headers],0)),0)+IFERROR(INDEX(阻害要因×在院期間区分[#All],MATCH($AL23,阻害要因×在院期間区分[[#All],[値]],0),MATCH($AP$4,阻害要因×在院期間区分[#Headers],0)),0)</f>
        <v>72</v>
      </c>
      <c r="D22" s="128">
        <f t="shared" si="1"/>
        <v>0.1245674740484429</v>
      </c>
      <c r="E22" s="127">
        <f>IFERROR(INDEX(阻害要因×在院期間区分[#All],MATCH($AL23,阻害要因×在院期間区分[[#All],[値]],0),MATCH($AQ$4,阻害要因×在院期間区分[#Headers],0)),0)+IFERROR(INDEX(阻害要因×在院期間区分[#All],MATCH($AL23,阻害要因×在院期間区分[[#All],[値]],0),MATCH($AR$4,阻害要因×在院期間区分[#Headers],0)),0)+IFERROR(INDEX(阻害要因×在院期間区分[#All],MATCH($AL23,阻害要因×在院期間区分[[#All],[値]],0),MATCH($AS$4,阻害要因×在院期間区分[#Headers],0)),0)+IFERROR(INDEX(阻害要因×在院期間区分[#All],MATCH($AL23,阻害要因×在院期間区分[[#All],[値]],0),MATCH($AT$4,阻害要因×在院期間区分[#Headers],0)),0)+IFERROR(INDEX(阻害要因×在院期間区分[#All],MATCH($AL23,阻害要因×在院期間区分[[#All],[値]],0),MATCH($AU$4,阻害要因×在院期間区分[#Headers],0)),0)</f>
        <v>108</v>
      </c>
      <c r="F22" s="128">
        <f t="shared" si="2"/>
        <v>0.20037105751391465</v>
      </c>
      <c r="G22" s="127">
        <f>IFERROR(INDEX(阻害要因×在院期間区分[#All],MATCH($AL23,阻害要因×在院期間区分[[#All],[値]],0),MATCH($AV$4,阻害要因×在院期間区分[#Headers],0)),0)+IFERROR(INDEX(阻害要因×在院期間区分[#All],MATCH($AL23,阻害要因×在院期間区分[[#All],[値]],0),MATCH($AW$4,阻害要因×在院期間区分[#Headers],0)),0)+IFERROR(INDEX(阻害要因×在院期間区分[#All],MATCH($AL23,阻害要因×在院期間区分[[#All],[値]],0),MATCH($AX$4,阻害要因×在院期間区分[#Headers],0)),0)+IFERROR(INDEX(阻害要因×在院期間区分[#All],MATCH($AL23,阻害要因×在院期間区分[[#All],[値]],0),MATCH($AY$4,阻害要因×在院期間区分[#Headers],0)),0)+IFERROR(INDEX(阻害要因×在院期間区分[#All],MATCH($AL23,阻害要因×在院期間区分[[#All],[値]],0),MATCH($AZ$4,阻害要因×在院期間区分[#Headers],0)),0)</f>
        <v>46</v>
      </c>
      <c r="H22" s="128">
        <f t="shared" si="3"/>
        <v>0.18775510204081633</v>
      </c>
      <c r="I22" s="127">
        <f>IFERROR(INDEX(阻害要因×在院期間区分[#All],MATCH($AL23,阻害要因×在院期間区分[[#All],[値]],0),MATCH($BA$4,阻害要因×在院期間区分[#Headers],0)),0)+IFERROR(INDEX(阻害要因×在院期間区分[#All],MATCH($AL23,阻害要因×在院期間区分[[#All],[値]],0),MATCH($BB$4,阻害要因×在院期間区分[#Headers],0)),0)</f>
        <v>62</v>
      </c>
      <c r="J22" s="128">
        <f t="shared" si="4"/>
        <v>0.2421875</v>
      </c>
      <c r="K22" s="745"/>
      <c r="L22" s="745"/>
      <c r="M22" s="745"/>
      <c r="N22" s="26">
        <f t="shared" si="5"/>
        <v>288</v>
      </c>
      <c r="O22" s="43" t="s">
        <v>701</v>
      </c>
      <c r="P22" s="49">
        <v>6</v>
      </c>
      <c r="Q22" s="49">
        <v>17</v>
      </c>
      <c r="R22" s="49">
        <v>22</v>
      </c>
      <c r="S22" s="49">
        <v>26</v>
      </c>
      <c r="T22" s="49">
        <v>24</v>
      </c>
      <c r="U22" s="49">
        <v>20</v>
      </c>
      <c r="V22" s="49">
        <v>24</v>
      </c>
      <c r="W22" s="49">
        <v>26</v>
      </c>
      <c r="X22" s="49">
        <v>15</v>
      </c>
      <c r="Y22" s="49">
        <v>17</v>
      </c>
      <c r="Z22" s="49">
        <v>11</v>
      </c>
      <c r="AA22" s="49">
        <v>8</v>
      </c>
      <c r="AB22" s="49">
        <v>10</v>
      </c>
      <c r="AC22" s="49">
        <v>7</v>
      </c>
      <c r="AD22" s="49">
        <v>25</v>
      </c>
      <c r="AE22" s="49">
        <v>10</v>
      </c>
      <c r="AL22" s="224" t="s">
        <v>159</v>
      </c>
    </row>
    <row r="23" spans="2:39" ht="18.75" customHeight="1" x14ac:dyDescent="0.2">
      <c r="B23" s="72" t="s">
        <v>228</v>
      </c>
      <c r="C23" s="601">
        <f>IFERROR(INDEX(阻害要因×在院期間区分[#All],MATCH($AL24,阻害要因×在院期間区分[[#All],[値]],0),MATCH($AM$4,阻害要因×在院期間区分[#Headers],0)),0)+IFERROR(INDEX(阻害要因×在院期間区分[#All],MATCH($AL24,阻害要因×在院期間区分[[#All],[値]],0),MATCH($AN$4,阻害要因×在院期間区分[#Headers],0)),0)+IFERROR(INDEX(阻害要因×在院期間区分[#All],MATCH($AL24,阻害要因×在院期間区分[[#All],[値]],0),MATCH($AO$4,阻害要因×在院期間区分[#Headers],0)),0)+IFERROR(INDEX(阻害要因×在院期間区分[#All],MATCH($AL24,阻害要因×在院期間区分[[#All],[値]],0),MATCH($AP$4,阻害要因×在院期間区分[#Headers],0)),0)</f>
        <v>71</v>
      </c>
      <c r="D23" s="128">
        <f t="shared" si="1"/>
        <v>0.12283737024221453</v>
      </c>
      <c r="E23" s="127">
        <f>IFERROR(INDEX(阻害要因×在院期間区分[#All],MATCH($AL24,阻害要因×在院期間区分[[#All],[値]],0),MATCH($AQ$4,阻害要因×在院期間区分[#Headers],0)),0)+IFERROR(INDEX(阻害要因×在院期間区分[#All],MATCH($AL24,阻害要因×在院期間区分[[#All],[値]],0),MATCH($AR$4,阻害要因×在院期間区分[#Headers],0)),0)+IFERROR(INDEX(阻害要因×在院期間区分[#All],MATCH($AL24,阻害要因×在院期間区分[[#All],[値]],0),MATCH($AS$4,阻害要因×在院期間区分[#Headers],0)),0)+IFERROR(INDEX(阻害要因×在院期間区分[#All],MATCH($AL24,阻害要因×在院期間区分[[#All],[値]],0),MATCH($AT$4,阻害要因×在院期間区分[#Headers],0)),0)+IFERROR(INDEX(阻害要因×在院期間区分[#All],MATCH($AL24,阻害要因×在院期間区分[[#All],[値]],0),MATCH($AU$4,阻害要因×在院期間区分[#Headers],0)),0)</f>
        <v>109</v>
      </c>
      <c r="F23" s="128">
        <f t="shared" si="2"/>
        <v>0.20222634508348794</v>
      </c>
      <c r="G23" s="127">
        <f>IFERROR(INDEX(阻害要因×在院期間区分[#All],MATCH($AL24,阻害要因×在院期間区分[[#All],[値]],0),MATCH($AV$4,阻害要因×在院期間区分[#Headers],0)),0)+IFERROR(INDEX(阻害要因×在院期間区分[#All],MATCH($AL24,阻害要因×在院期間区分[[#All],[値]],0),MATCH($AW$4,阻害要因×在院期間区分[#Headers],0)),0)+IFERROR(INDEX(阻害要因×在院期間区分[#All],MATCH($AL24,阻害要因×在院期間区分[[#All],[値]],0),MATCH($AX$4,阻害要因×在院期間区分[#Headers],0)),0)+IFERROR(INDEX(阻害要因×在院期間区分[#All],MATCH($AL24,阻害要因×在院期間区分[[#All],[値]],0),MATCH($AY$4,阻害要因×在院期間区分[#Headers],0)),0)+IFERROR(INDEX(阻害要因×在院期間区分[#All],MATCH($AL24,阻害要因×在院期間区分[[#All],[値]],0),MATCH($AZ$4,阻害要因×在院期間区分[#Headers],0)),0)</f>
        <v>53</v>
      </c>
      <c r="H23" s="128">
        <f t="shared" si="3"/>
        <v>0.21632653061224491</v>
      </c>
      <c r="I23" s="127">
        <f>IFERROR(INDEX(阻害要因×在院期間区分[#All],MATCH($AL24,阻害要因×在院期間区分[[#All],[値]],0),MATCH($BA$4,阻害要因×在院期間区分[#Headers],0)),0)+IFERROR(INDEX(阻害要因×在院期間区分[#All],MATCH($AL24,阻害要因×在院期間区分[[#All],[値]],0),MATCH($BB$4,阻害要因×在院期間区分[#Headers],0)),0)</f>
        <v>35</v>
      </c>
      <c r="J23" s="128">
        <f t="shared" si="4"/>
        <v>0.13671875</v>
      </c>
      <c r="K23" s="745"/>
      <c r="L23" s="745"/>
      <c r="M23" s="745"/>
      <c r="N23" s="26">
        <f t="shared" si="5"/>
        <v>268</v>
      </c>
      <c r="O23" s="43" t="s">
        <v>702</v>
      </c>
      <c r="P23" s="49">
        <v>22</v>
      </c>
      <c r="Q23" s="49">
        <v>74</v>
      </c>
      <c r="R23" s="49">
        <v>62</v>
      </c>
      <c r="S23" s="49">
        <v>90</v>
      </c>
      <c r="T23" s="49">
        <v>48</v>
      </c>
      <c r="U23" s="49">
        <v>32</v>
      </c>
      <c r="V23" s="49">
        <v>44</v>
      </c>
      <c r="W23" s="49">
        <v>35</v>
      </c>
      <c r="X23" s="49">
        <v>20</v>
      </c>
      <c r="Y23" s="49">
        <v>17</v>
      </c>
      <c r="Z23" s="49">
        <v>13</v>
      </c>
      <c r="AA23" s="49">
        <v>12</v>
      </c>
      <c r="AB23" s="49">
        <v>8</v>
      </c>
      <c r="AC23" s="49">
        <v>11</v>
      </c>
      <c r="AD23" s="49">
        <v>31</v>
      </c>
      <c r="AE23" s="49">
        <v>29</v>
      </c>
      <c r="AL23" s="224" t="s">
        <v>160</v>
      </c>
    </row>
    <row r="24" spans="2:39" ht="18.75" customHeight="1" x14ac:dyDescent="0.2">
      <c r="B24" s="72" t="s">
        <v>45</v>
      </c>
      <c r="C24" s="601">
        <f>IFERROR(INDEX(阻害要因×在院期間区分[#All],MATCH($AL25,阻害要因×在院期間区分[[#All],[値]],0),MATCH($AM$4,阻害要因×在院期間区分[#Headers],0)),0)+IFERROR(INDEX(阻害要因×在院期間区分[#All],MATCH($AL25,阻害要因×在院期間区分[[#All],[値]],0),MATCH($AN$4,阻害要因×在院期間区分[#Headers],0)),0)+IFERROR(INDEX(阻害要因×在院期間区分[#All],MATCH($AL25,阻害要因×在院期間区分[[#All],[値]],0),MATCH($AO$4,阻害要因×在院期間区分[#Headers],0)),0)+IFERROR(INDEX(阻害要因×在院期間区分[#All],MATCH($AL25,阻害要因×在院期間区分[[#All],[値]],0),MATCH($AP$4,阻害要因×在院期間区分[#Headers],0)),0)</f>
        <v>248</v>
      </c>
      <c r="D24" s="128">
        <f t="shared" si="1"/>
        <v>0.4290657439446367</v>
      </c>
      <c r="E24" s="127">
        <f>IFERROR(INDEX(阻害要因×在院期間区分[#All],MATCH($AL25,阻害要因×在院期間区分[[#All],[値]],0),MATCH($AQ$4,阻害要因×在院期間区分[#Headers],0)),0)+IFERROR(INDEX(阻害要因×在院期間区分[#All],MATCH($AL25,阻害要因×在院期間区分[[#All],[値]],0),MATCH($AR$4,阻害要因×在院期間区分[#Headers],0)),0)+IFERROR(INDEX(阻害要因×在院期間区分[#All],MATCH($AL25,阻害要因×在院期間区分[[#All],[値]],0),MATCH($AS$4,阻害要因×在院期間区分[#Headers],0)),0)+IFERROR(INDEX(阻害要因×在院期間区分[#All],MATCH($AL25,阻害要因×在院期間区分[[#All],[値]],0),MATCH($AT$4,阻害要因×在院期間区分[#Headers],0)),0)+IFERROR(INDEX(阻害要因×在院期間区分[#All],MATCH($AL25,阻害要因×在院期間区分[[#All],[値]],0),MATCH($AU$4,阻害要因×在院期間区分[#Headers],0)),0)</f>
        <v>179</v>
      </c>
      <c r="F24" s="128">
        <f t="shared" si="2"/>
        <v>0.33209647495361783</v>
      </c>
      <c r="G24" s="127">
        <f>IFERROR(INDEX(阻害要因×在院期間区分[#All],MATCH($AL25,阻害要因×在院期間区分[[#All],[値]],0),MATCH($AV$4,阻害要因×在院期間区分[#Headers],0)),0)+IFERROR(INDEX(阻害要因×在院期間区分[#All],MATCH($AL25,阻害要因×在院期間区分[[#All],[値]],0),MATCH($AW$4,阻害要因×在院期間区分[#Headers],0)),0)+IFERROR(INDEX(阻害要因×在院期間区分[#All],MATCH($AL25,阻害要因×在院期間区分[[#All],[値]],0),MATCH($AX$4,阻害要因×在院期間区分[#Headers],0)),0)+IFERROR(INDEX(阻害要因×在院期間区分[#All],MATCH($AL25,阻害要因×在院期間区分[[#All],[値]],0),MATCH($AY$4,阻害要因×在院期間区分[#Headers],0)),0)+IFERROR(INDEX(阻害要因×在院期間区分[#All],MATCH($AL25,阻害要因×在院期間区分[[#All],[値]],0),MATCH($AZ$4,阻害要因×在院期間区分[#Headers],0)),0)</f>
        <v>61</v>
      </c>
      <c r="H24" s="128">
        <f t="shared" si="3"/>
        <v>0.24897959183673468</v>
      </c>
      <c r="I24" s="127">
        <f>IFERROR(INDEX(阻害要因×在院期間区分[#All],MATCH($AL25,阻害要因×在院期間区分[[#All],[値]],0),MATCH($BA$4,阻害要因×在院期間区分[#Headers],0)),0)+IFERROR(INDEX(阻害要因×在院期間区分[#All],MATCH($AL25,阻害要因×在院期間区分[[#All],[値]],0),MATCH($BB$4,阻害要因×在院期間区分[#Headers],0)),0)</f>
        <v>60</v>
      </c>
      <c r="J24" s="128">
        <f t="shared" si="4"/>
        <v>0.234375</v>
      </c>
      <c r="K24" s="745"/>
      <c r="L24" s="745"/>
      <c r="M24" s="745"/>
      <c r="N24" s="26">
        <f t="shared" si="5"/>
        <v>548</v>
      </c>
      <c r="O24" s="43" t="s">
        <v>703</v>
      </c>
      <c r="P24" s="49">
        <v>3</v>
      </c>
      <c r="Q24" s="49">
        <v>14</v>
      </c>
      <c r="R24" s="49">
        <v>12</v>
      </c>
      <c r="S24" s="49">
        <v>20</v>
      </c>
      <c r="T24" s="49">
        <v>9</v>
      </c>
      <c r="U24" s="49">
        <v>5</v>
      </c>
      <c r="V24" s="49">
        <v>6</v>
      </c>
      <c r="W24" s="49">
        <v>8</v>
      </c>
      <c r="X24" s="49">
        <v>4</v>
      </c>
      <c r="Y24" s="49">
        <v>5</v>
      </c>
      <c r="Z24" s="49">
        <v>2</v>
      </c>
      <c r="AA24" s="49">
        <v>4</v>
      </c>
      <c r="AB24" s="49">
        <v>0</v>
      </c>
      <c r="AC24" s="49">
        <v>2</v>
      </c>
      <c r="AD24" s="49">
        <v>9</v>
      </c>
      <c r="AE24" s="49">
        <v>4</v>
      </c>
      <c r="AL24" s="224" t="s">
        <v>161</v>
      </c>
    </row>
    <row r="25" spans="2:39" ht="18.75" customHeight="1" x14ac:dyDescent="0.2">
      <c r="B25" s="72" t="s">
        <v>46</v>
      </c>
      <c r="C25" s="601">
        <f>IFERROR(INDEX(阻害要因×在院期間区分[#All],MATCH($AL26,阻害要因×在院期間区分[[#All],[値]],0),MATCH($AM$4,阻害要因×在院期間区分[#Headers],0)),0)+IFERROR(INDEX(阻害要因×在院期間区分[#All],MATCH($AL26,阻害要因×在院期間区分[[#All],[値]],0),MATCH($AN$4,阻害要因×在院期間区分[#Headers],0)),0)+IFERROR(INDEX(阻害要因×在院期間区分[#All],MATCH($AL26,阻害要因×在院期間区分[[#All],[値]],0),MATCH($AO$4,阻害要因×在院期間区分[#Headers],0)),0)+IFERROR(INDEX(阻害要因×在院期間区分[#All],MATCH($AL26,阻害要因×在院期間区分[[#All],[値]],0),MATCH($AP$4,阻害要因×在院期間区分[#Headers],0)),0)</f>
        <v>49</v>
      </c>
      <c r="D25" s="128">
        <f t="shared" si="1"/>
        <v>8.4775086505190306E-2</v>
      </c>
      <c r="E25" s="127">
        <f>IFERROR(INDEX(阻害要因×在院期間区分[#All],MATCH($AL26,阻害要因×在院期間区分[[#All],[値]],0),MATCH($AQ$4,阻害要因×在院期間区分[#Headers],0)),0)+IFERROR(INDEX(阻害要因×在院期間区分[#All],MATCH($AL26,阻害要因×在院期間区分[[#All],[値]],0),MATCH($AR$4,阻害要因×在院期間区分[#Headers],0)),0)+IFERROR(INDEX(阻害要因×在院期間区分[#All],MATCH($AL26,阻害要因×在院期間区分[[#All],[値]],0),MATCH($AS$4,阻害要因×在院期間区分[#Headers],0)),0)+IFERROR(INDEX(阻害要因×在院期間区分[#All],MATCH($AL26,阻害要因×在院期間区分[[#All],[値]],0),MATCH($AT$4,阻害要因×在院期間区分[#Headers],0)),0)+IFERROR(INDEX(阻害要因×在院期間区分[#All],MATCH($AL26,阻害要因×在院期間区分[[#All],[値]],0),MATCH($AU$4,阻害要因×在院期間区分[#Headers],0)),0)</f>
        <v>32</v>
      </c>
      <c r="F25" s="128">
        <f t="shared" si="2"/>
        <v>5.9369202226345084E-2</v>
      </c>
      <c r="G25" s="127">
        <f>IFERROR(INDEX(阻害要因×在院期間区分[#All],MATCH($AL26,阻害要因×在院期間区分[[#All],[値]],0),MATCH($AV$4,阻害要因×在院期間区分[#Headers],0)),0)+IFERROR(INDEX(阻害要因×在院期間区分[#All],MATCH($AL26,阻害要因×在院期間区分[[#All],[値]],0),MATCH($AW$4,阻害要因×在院期間区分[#Headers],0)),0)+IFERROR(INDEX(阻害要因×在院期間区分[#All],MATCH($AL26,阻害要因×在院期間区分[[#All],[値]],0),MATCH($AX$4,阻害要因×在院期間区分[#Headers],0)),0)+IFERROR(INDEX(阻害要因×在院期間区分[#All],MATCH($AL26,阻害要因×在院期間区分[[#All],[値]],0),MATCH($AY$4,阻害要因×在院期間区分[#Headers],0)),0)+IFERROR(INDEX(阻害要因×在院期間区分[#All],MATCH($AL26,阻害要因×在院期間区分[[#All],[値]],0),MATCH($AZ$4,阻害要因×在院期間区分[#Headers],0)),0)</f>
        <v>13</v>
      </c>
      <c r="H25" s="128">
        <f t="shared" si="3"/>
        <v>5.3061224489795916E-2</v>
      </c>
      <c r="I25" s="127">
        <f>IFERROR(INDEX(阻害要因×在院期間区分[#All],MATCH($AL26,阻害要因×在院期間区分[[#All],[値]],0),MATCH($BA$4,阻害要因×在院期間区分[#Headers],0)),0)+IFERROR(INDEX(阻害要因×在院期間区分[#All],MATCH($AL26,阻害要因×在院期間区分[[#All],[値]],0),MATCH($BB$4,阻害要因×在院期間区分[#Headers],0)),0)</f>
        <v>13</v>
      </c>
      <c r="J25" s="128">
        <f t="shared" si="4"/>
        <v>5.078125E-2</v>
      </c>
      <c r="K25" s="745"/>
      <c r="L25" s="745"/>
      <c r="M25" s="745"/>
      <c r="N25" s="26">
        <f t="shared" si="5"/>
        <v>107</v>
      </c>
      <c r="O25" s="43" t="s">
        <v>704</v>
      </c>
      <c r="P25" s="49">
        <v>3</v>
      </c>
      <c r="Q25" s="49">
        <v>13</v>
      </c>
      <c r="R25" s="49">
        <v>13</v>
      </c>
      <c r="S25" s="49">
        <v>10</v>
      </c>
      <c r="T25" s="49">
        <v>7</v>
      </c>
      <c r="U25" s="49">
        <v>6</v>
      </c>
      <c r="V25" s="49">
        <v>3</v>
      </c>
      <c r="W25" s="49">
        <v>5</v>
      </c>
      <c r="X25" s="49">
        <v>2</v>
      </c>
      <c r="Y25" s="49">
        <v>4</v>
      </c>
      <c r="Z25" s="49">
        <v>2</v>
      </c>
      <c r="AA25" s="49">
        <v>1</v>
      </c>
      <c r="AB25" s="49">
        <v>0</v>
      </c>
      <c r="AC25" s="49">
        <v>2</v>
      </c>
      <c r="AD25" s="49">
        <v>5</v>
      </c>
      <c r="AE25" s="49">
        <v>4</v>
      </c>
      <c r="AL25" s="224" t="s">
        <v>162</v>
      </c>
    </row>
    <row r="26" spans="2:39" ht="18.75" customHeight="1" x14ac:dyDescent="0.2">
      <c r="B26" s="72" t="s">
        <v>47</v>
      </c>
      <c r="C26" s="601">
        <f>IFERROR(INDEX(阻害要因×在院期間区分[#All],MATCH($AL27,阻害要因×在院期間区分[[#All],[値]],0),MATCH($AM$4,阻害要因×在院期間区分[#Headers],0)),0)+IFERROR(INDEX(阻害要因×在院期間区分[#All],MATCH($AL27,阻害要因×在院期間区分[[#All],[値]],0),MATCH($AN$4,阻害要因×在院期間区分[#Headers],0)),0)+IFERROR(INDEX(阻害要因×在院期間区分[#All],MATCH($AL27,阻害要因×在院期間区分[[#All],[値]],0),MATCH($AO$4,阻害要因×在院期間区分[#Headers],0)),0)+IFERROR(INDEX(阻害要因×在院期間区分[#All],MATCH($AL27,阻害要因×在院期間区分[[#All],[値]],0),MATCH($AP$4,阻害要因×在院期間区分[#Headers],0)),0)</f>
        <v>39</v>
      </c>
      <c r="D26" s="128">
        <f t="shared" si="1"/>
        <v>6.7474048442906581E-2</v>
      </c>
      <c r="E26" s="127">
        <f>IFERROR(INDEX(阻害要因×在院期間区分[#All],MATCH($AL27,阻害要因×在院期間区分[[#All],[値]],0),MATCH($AQ$4,阻害要因×在院期間区分[#Headers],0)),0)+IFERROR(INDEX(阻害要因×在院期間区分[#All],MATCH($AL27,阻害要因×在院期間区分[[#All],[値]],0),MATCH($AR$4,阻害要因×在院期間区分[#Headers],0)),0)+IFERROR(INDEX(阻害要因×在院期間区分[#All],MATCH($AL27,阻害要因×在院期間区分[[#All],[値]],0),MATCH($AS$4,阻害要因×在院期間区分[#Headers],0)),0)+IFERROR(INDEX(阻害要因×在院期間区分[#All],MATCH($AL27,阻害要因×在院期間区分[[#All],[値]],0),MATCH($AT$4,阻害要因×在院期間区分[#Headers],0)),0)+IFERROR(INDEX(阻害要因×在院期間区分[#All],MATCH($AL27,阻害要因×在院期間区分[[#All],[値]],0),MATCH($AU$4,阻害要因×在院期間区分[#Headers],0)),0)</f>
        <v>23</v>
      </c>
      <c r="F26" s="128">
        <f t="shared" si="2"/>
        <v>4.267161410018553E-2</v>
      </c>
      <c r="G26" s="127">
        <f>IFERROR(INDEX(阻害要因×在院期間区分[#All],MATCH($AL27,阻害要因×在院期間区分[[#All],[値]],0),MATCH($AV$4,阻害要因×在院期間区分[#Headers],0)),0)+IFERROR(INDEX(阻害要因×在院期間区分[#All],MATCH($AL27,阻害要因×在院期間区分[[#All],[値]],0),MATCH($AW$4,阻害要因×在院期間区分[#Headers],0)),0)+IFERROR(INDEX(阻害要因×在院期間区分[#All],MATCH($AL27,阻害要因×在院期間区分[[#All],[値]],0),MATCH($AX$4,阻害要因×在院期間区分[#Headers],0)),0)+IFERROR(INDEX(阻害要因×在院期間区分[#All],MATCH($AL27,阻害要因×在院期間区分[[#All],[値]],0),MATCH($AY$4,阻害要因×在院期間区分[#Headers],0)),0)+IFERROR(INDEX(阻害要因×在院期間区分[#All],MATCH($AL27,阻害要因×在院期間区分[[#All],[値]],0),MATCH($AZ$4,阻害要因×在院期間区分[#Headers],0)),0)</f>
        <v>9</v>
      </c>
      <c r="H26" s="128">
        <f t="shared" si="3"/>
        <v>3.6734693877551024E-2</v>
      </c>
      <c r="I26" s="127">
        <f>IFERROR(INDEX(阻害要因×在院期間区分[#All],MATCH($AL27,阻害要因×在院期間区分[[#All],[値]],0),MATCH($BA$4,阻害要因×在院期間区分[#Headers],0)),0)+IFERROR(INDEX(阻害要因×在院期間区分[#All],MATCH($AL27,阻害要因×在院期間区分[[#All],[値]],0),MATCH($BB$4,阻害要因×在院期間区分[#Headers],0)),0)</f>
        <v>9</v>
      </c>
      <c r="J26" s="128">
        <f t="shared" si="4"/>
        <v>3.515625E-2</v>
      </c>
      <c r="K26" s="745"/>
      <c r="L26" s="745"/>
      <c r="M26" s="745"/>
      <c r="N26" s="26">
        <f t="shared" si="5"/>
        <v>80</v>
      </c>
      <c r="O26" s="43" t="s">
        <v>705</v>
      </c>
      <c r="P26" s="49">
        <v>0</v>
      </c>
      <c r="Q26" s="49">
        <v>5</v>
      </c>
      <c r="R26" s="49">
        <v>3</v>
      </c>
      <c r="S26" s="49">
        <v>6</v>
      </c>
      <c r="T26" s="49">
        <v>2</v>
      </c>
      <c r="U26" s="49">
        <v>0</v>
      </c>
      <c r="V26" s="49">
        <v>0</v>
      </c>
      <c r="W26" s="49">
        <v>1</v>
      </c>
      <c r="X26" s="49">
        <v>0</v>
      </c>
      <c r="Y26" s="49">
        <v>0</v>
      </c>
      <c r="Z26" s="49">
        <v>0</v>
      </c>
      <c r="AA26" s="49">
        <v>1</v>
      </c>
      <c r="AB26" s="49">
        <v>0</v>
      </c>
      <c r="AC26" s="49">
        <v>0</v>
      </c>
      <c r="AD26" s="49">
        <v>0</v>
      </c>
      <c r="AE26" s="49">
        <v>0</v>
      </c>
      <c r="AL26" s="224" t="s">
        <v>163</v>
      </c>
    </row>
    <row r="27" spans="2:39" ht="18.75" customHeight="1" x14ac:dyDescent="0.2">
      <c r="B27" s="72" t="s">
        <v>48</v>
      </c>
      <c r="C27" s="602">
        <f>IFERROR(INDEX(阻害要因×在院期間区分[#All],MATCH($AL28,阻害要因×在院期間区分[[#All],[値]],0),MATCH($AM$4,阻害要因×在院期間区分[#Headers],0)),0)+IFERROR(INDEX(阻害要因×在院期間区分[#All],MATCH($AL28,阻害要因×在院期間区分[[#All],[値]],0),MATCH($AN$4,阻害要因×在院期間区分[#Headers],0)),0)+IFERROR(INDEX(阻害要因×在院期間区分[#All],MATCH($AL28,阻害要因×在院期間区分[[#All],[値]],0),MATCH($AO$4,阻害要因×在院期間区分[#Headers],0)),0)+IFERROR(INDEX(阻害要因×在院期間区分[#All],MATCH($AL28,阻害要因×在院期間区分[[#All],[値]],0),MATCH($AP$4,阻害要因×在院期間区分[#Headers],0)),0)</f>
        <v>14</v>
      </c>
      <c r="D27" s="128">
        <f t="shared" si="1"/>
        <v>2.4221453287197232E-2</v>
      </c>
      <c r="E27" s="150">
        <f>IFERROR(INDEX(阻害要因×在院期間区分[#All],MATCH($AL28,阻害要因×在院期間区分[[#All],[値]],0),MATCH($AQ$4,阻害要因×在院期間区分[#Headers],0)),0)+IFERROR(INDEX(阻害要因×在院期間区分[#All],MATCH($AL28,阻害要因×在院期間区分[[#All],[値]],0),MATCH($AR$4,阻害要因×在院期間区分[#Headers],0)),0)+IFERROR(INDEX(阻害要因×在院期間区分[#All],MATCH($AL28,阻害要因×在院期間区分[[#All],[値]],0),MATCH($AS$4,阻害要因×在院期間区分[#Headers],0)),0)+IFERROR(INDEX(阻害要因×在院期間区分[#All],MATCH($AL28,阻害要因×在院期間区分[[#All],[値]],0),MATCH($AT$4,阻害要因×在院期間区分[#Headers],0)),0)+IFERROR(INDEX(阻害要因×在院期間区分[#All],MATCH($AL28,阻害要因×在院期間区分[[#All],[値]],0),MATCH($AU$4,阻害要因×在院期間区分[#Headers],0)),0)</f>
        <v>3</v>
      </c>
      <c r="F27" s="128">
        <f t="shared" si="2"/>
        <v>5.5658627087198514E-3</v>
      </c>
      <c r="G27" s="150">
        <f>IFERROR(INDEX(阻害要因×在院期間区分[#All],MATCH($AL28,阻害要因×在院期間区分[[#All],[値]],0),MATCH($AV$4,阻害要因×在院期間区分[#Headers],0)),0)+IFERROR(INDEX(阻害要因×在院期間区分[#All],MATCH($AL28,阻害要因×在院期間区分[[#All],[値]],0),MATCH($AW$4,阻害要因×在院期間区分[#Headers],0)),0)+IFERROR(INDEX(阻害要因×在院期間区分[#All],MATCH($AL28,阻害要因×在院期間区分[[#All],[値]],0),MATCH($AX$4,阻害要因×在院期間区分[#Headers],0)),0)+IFERROR(INDEX(阻害要因×在院期間区分[#All],MATCH($AL28,阻害要因×在院期間区分[[#All],[値]],0),MATCH($AY$4,阻害要因×在院期間区分[#Headers],0)),0)+IFERROR(INDEX(阻害要因×在院期間区分[#All],MATCH($AL28,阻害要因×在院期間区分[[#All],[値]],0),MATCH($AZ$4,阻害要因×在院期間区分[#Headers],0)),0)</f>
        <v>1</v>
      </c>
      <c r="H27" s="128">
        <f t="shared" si="3"/>
        <v>4.0816326530612249E-3</v>
      </c>
      <c r="I27" s="150">
        <f>IFERROR(INDEX(阻害要因×在院期間区分[#All],MATCH($AL28,阻害要因×在院期間区分[[#All],[値]],0),MATCH($BA$4,阻害要因×在院期間区分[#Headers],0)),0)+IFERROR(INDEX(阻害要因×在院期間区分[#All],MATCH($AL28,阻害要因×在院期間区分[[#All],[値]],0),MATCH($BB$4,阻害要因×在院期間区分[#Headers],0)),0)</f>
        <v>0</v>
      </c>
      <c r="J27" s="128">
        <f t="shared" si="4"/>
        <v>0</v>
      </c>
      <c r="K27" s="745"/>
      <c r="L27" s="745"/>
      <c r="M27" s="745"/>
      <c r="N27" s="26">
        <f t="shared" si="5"/>
        <v>18</v>
      </c>
      <c r="O27" s="43" t="s">
        <v>706</v>
      </c>
      <c r="P27" s="49">
        <v>6</v>
      </c>
      <c r="Q27" s="49">
        <v>16</v>
      </c>
      <c r="R27" s="49">
        <v>13</v>
      </c>
      <c r="S27" s="49">
        <v>12</v>
      </c>
      <c r="T27" s="49">
        <v>10</v>
      </c>
      <c r="U27" s="49">
        <v>7</v>
      </c>
      <c r="V27" s="49">
        <v>14</v>
      </c>
      <c r="W27" s="49">
        <v>8</v>
      </c>
      <c r="X27" s="49">
        <v>10</v>
      </c>
      <c r="Y27" s="49">
        <v>3</v>
      </c>
      <c r="Z27" s="49">
        <v>7</v>
      </c>
      <c r="AA27" s="49">
        <v>2</v>
      </c>
      <c r="AB27" s="49">
        <v>2</v>
      </c>
      <c r="AC27" s="49">
        <v>2</v>
      </c>
      <c r="AD27" s="49">
        <v>17</v>
      </c>
      <c r="AE27" s="49">
        <v>14</v>
      </c>
      <c r="AL27" s="224" t="s">
        <v>164</v>
      </c>
    </row>
    <row r="28" spans="2:39" ht="18.75" customHeight="1" x14ac:dyDescent="0.2">
      <c r="B28" s="72" t="s">
        <v>49</v>
      </c>
      <c r="C28" s="601">
        <f>IFERROR(INDEX(阻害要因×在院期間区分[#All],MATCH($AL29,阻害要因×在院期間区分[[#All],[値]],0),MATCH($AM$4,阻害要因×在院期間区分[#Headers],0)),0)+IFERROR(INDEX(阻害要因×在院期間区分[#All],MATCH($AL29,阻害要因×在院期間区分[[#All],[値]],0),MATCH($AN$4,阻害要因×在院期間区分[#Headers],0)),0)+IFERROR(INDEX(阻害要因×在院期間区分[#All],MATCH($AL29,阻害要因×在院期間区分[[#All],[値]],0),MATCH($AO$4,阻害要因×在院期間区分[#Headers],0)),0)+IFERROR(INDEX(阻害要因×在院期間区分[#All],MATCH($AL29,阻害要因×在院期間区分[[#All],[値]],0),MATCH($AP$4,阻害要因×在院期間区分[#Headers],0)),0)</f>
        <v>47</v>
      </c>
      <c r="D28" s="128">
        <f t="shared" si="1"/>
        <v>8.1314878892733561E-2</v>
      </c>
      <c r="E28" s="127">
        <f>IFERROR(INDEX(阻害要因×在院期間区分[#All],MATCH($AL29,阻害要因×在院期間区分[[#All],[値]],0),MATCH($AQ$4,阻害要因×在院期間区分[#Headers],0)),0)+IFERROR(INDEX(阻害要因×在院期間区分[#All],MATCH($AL29,阻害要因×在院期間区分[[#All],[値]],0),MATCH($AR$4,阻害要因×在院期間区分[#Headers],0)),0)+IFERROR(INDEX(阻害要因×在院期間区分[#All],MATCH($AL29,阻害要因×在院期間区分[[#All],[値]],0),MATCH($AS$4,阻害要因×在院期間区分[#Headers],0)),0)+IFERROR(INDEX(阻害要因×在院期間区分[#All],MATCH($AL29,阻害要因×在院期間区分[[#All],[値]],0),MATCH($AT$4,阻害要因×在院期間区分[#Headers],0)),0)+IFERROR(INDEX(阻害要因×在院期間区分[#All],MATCH($AL29,阻害要因×在院期間区分[[#All],[値]],0),MATCH($AU$4,阻害要因×在院期間区分[#Headers],0)),0)</f>
        <v>49</v>
      </c>
      <c r="F28" s="128">
        <f t="shared" si="2"/>
        <v>9.0909090909090912E-2</v>
      </c>
      <c r="G28" s="127">
        <f>IFERROR(INDEX(阻害要因×在院期間区分[#All],MATCH($AL29,阻害要因×在院期間区分[[#All],[値]],0),MATCH($AV$4,阻害要因×在院期間区分[#Headers],0)),0)+IFERROR(INDEX(阻害要因×在院期間区分[#All],MATCH($AL29,阻害要因×在院期間区分[[#All],[値]],0),MATCH($AW$4,阻害要因×在院期間区分[#Headers],0)),0)+IFERROR(INDEX(阻害要因×在院期間区分[#All],MATCH($AL29,阻害要因×在院期間区分[[#All],[値]],0),MATCH($AX$4,阻害要因×在院期間区分[#Headers],0)),0)+IFERROR(INDEX(阻害要因×在院期間区分[#All],MATCH($AL29,阻害要因×在院期間区分[[#All],[値]],0),MATCH($AY$4,阻害要因×在院期間区分[#Headers],0)),0)+IFERROR(INDEX(阻害要因×在院期間区分[#All],MATCH($AL29,阻害要因×在院期間区分[[#All],[値]],0),MATCH($AZ$4,阻害要因×在院期間区分[#Headers],0)),0)</f>
        <v>16</v>
      </c>
      <c r="H28" s="128">
        <f t="shared" si="3"/>
        <v>6.5306122448979598E-2</v>
      </c>
      <c r="I28" s="127">
        <f>IFERROR(INDEX(阻害要因×在院期間区分[#All],MATCH($AL29,阻害要因×在院期間区分[[#All],[値]],0),MATCH($BA$4,阻害要因×在院期間区分[#Headers],0)),0)+IFERROR(INDEX(阻害要因×在院期間区分[#All],MATCH($AL29,阻害要因×在院期間区分[[#All],[値]],0),MATCH($BB$4,阻害要因×在院期間区分[#Headers],0)),0)</f>
        <v>31</v>
      </c>
      <c r="J28" s="128">
        <f t="shared" si="4"/>
        <v>0.12109375</v>
      </c>
      <c r="K28" s="745"/>
      <c r="L28" s="745"/>
      <c r="M28" s="745"/>
      <c r="N28" s="26">
        <f t="shared" si="5"/>
        <v>143</v>
      </c>
      <c r="O28" s="43" t="s">
        <v>707</v>
      </c>
      <c r="P28" s="49">
        <v>4</v>
      </c>
      <c r="Q28" s="49">
        <v>19</v>
      </c>
      <c r="R28" s="49">
        <v>15</v>
      </c>
      <c r="S28" s="49">
        <v>16</v>
      </c>
      <c r="T28" s="49">
        <v>8</v>
      </c>
      <c r="U28" s="49">
        <v>3</v>
      </c>
      <c r="V28" s="49">
        <v>5</v>
      </c>
      <c r="W28" s="49">
        <v>7</v>
      </c>
      <c r="X28" s="49">
        <v>7</v>
      </c>
      <c r="Y28" s="49">
        <v>4</v>
      </c>
      <c r="Z28" s="49">
        <v>7</v>
      </c>
      <c r="AA28" s="49">
        <v>5</v>
      </c>
      <c r="AB28" s="49">
        <v>6</v>
      </c>
      <c r="AC28" s="49">
        <v>3</v>
      </c>
      <c r="AD28" s="49">
        <v>17</v>
      </c>
      <c r="AE28" s="49">
        <v>12</v>
      </c>
      <c r="AL28" s="224" t="s">
        <v>165</v>
      </c>
    </row>
    <row r="29" spans="2:39" ht="18.75" customHeight="1" x14ac:dyDescent="0.2">
      <c r="B29" s="72" t="s">
        <v>50</v>
      </c>
      <c r="C29" s="601">
        <f>IFERROR(INDEX(阻害要因×在院期間区分[#All],MATCH($AL30,阻害要因×在院期間区分[[#All],[値]],0),MATCH($AM$4,阻害要因×在院期間区分[#Headers],0)),0)+IFERROR(INDEX(阻害要因×在院期間区分[#All],MATCH($AL30,阻害要因×在院期間区分[[#All],[値]],0),MATCH($AN$4,阻害要因×在院期間区分[#Headers],0)),0)+IFERROR(INDEX(阻害要因×在院期間区分[#All],MATCH($AL30,阻害要因×在院期間区分[[#All],[値]],0),MATCH($AO$4,阻害要因×在院期間区分[#Headers],0)),0)+IFERROR(INDEX(阻害要因×在院期間区分[#All],MATCH($AL30,阻害要因×在院期間区分[[#All],[値]],0),MATCH($AP$4,阻害要因×在院期間区分[#Headers],0)),0)</f>
        <v>54</v>
      </c>
      <c r="D29" s="128">
        <f t="shared" si="1"/>
        <v>9.3425605536332182E-2</v>
      </c>
      <c r="E29" s="127">
        <f>IFERROR(INDEX(阻害要因×在院期間区分[#All],MATCH($AL30,阻害要因×在院期間区分[[#All],[値]],0),MATCH($AQ$4,阻害要因×在院期間区分[#Headers],0)),0)+IFERROR(INDEX(阻害要因×在院期間区分[#All],MATCH($AL30,阻害要因×在院期間区分[[#All],[値]],0),MATCH($AR$4,阻害要因×在院期間区分[#Headers],0)),0)+IFERROR(INDEX(阻害要因×在院期間区分[#All],MATCH($AL30,阻害要因×在院期間区分[[#All],[値]],0),MATCH($AS$4,阻害要因×在院期間区分[#Headers],0)),0)+IFERROR(INDEX(阻害要因×在院期間区分[#All],MATCH($AL30,阻害要因×在院期間区分[[#All],[値]],0),MATCH($AT$4,阻害要因×在院期間区分[#Headers],0)),0)+IFERROR(INDEX(阻害要因×在院期間区分[#All],MATCH($AL30,阻害要因×在院期間区分[[#All],[値]],0),MATCH($AU$4,阻害要因×在院期間区分[#Headers],0)),0)</f>
        <v>30</v>
      </c>
      <c r="F29" s="128">
        <f t="shared" si="2"/>
        <v>5.5658627087198514E-2</v>
      </c>
      <c r="G29" s="127">
        <f>IFERROR(INDEX(阻害要因×在院期間区分[#All],MATCH($AL30,阻害要因×在院期間区分[[#All],[値]],0),MATCH($AV$4,阻害要因×在院期間区分[#Headers],0)),0)+IFERROR(INDEX(阻害要因×在院期間区分[#All],MATCH($AL30,阻害要因×在院期間区分[[#All],[値]],0),MATCH($AW$4,阻害要因×在院期間区分[#Headers],0)),0)+IFERROR(INDEX(阻害要因×在院期間区分[#All],MATCH($AL30,阻害要因×在院期間区分[[#All],[値]],0),MATCH($AX$4,阻害要因×在院期間区分[#Headers],0)),0)+IFERROR(INDEX(阻害要因×在院期間区分[#All],MATCH($AL30,阻害要因×在院期間区分[[#All],[値]],0),MATCH($AY$4,阻害要因×在院期間区分[#Headers],0)),0)+IFERROR(INDEX(阻害要因×在院期間区分[#All],MATCH($AL30,阻害要因×在院期間区分[[#All],[値]],0),MATCH($AZ$4,阻害要因×在院期間区分[#Headers],0)),0)</f>
        <v>25</v>
      </c>
      <c r="H29" s="128">
        <f t="shared" si="3"/>
        <v>0.10204081632653061</v>
      </c>
      <c r="I29" s="127">
        <f>IFERROR(INDEX(阻害要因×在院期間区分[#All],MATCH($AL30,阻害要因×在院期間区分[[#All],[値]],0),MATCH($BA$4,阻害要因×在院期間区分[#Headers],0)),0)+IFERROR(INDEX(阻害要因×在院期間区分[#All],MATCH($AL30,阻害要因×在院期間区分[[#All],[値]],0),MATCH($BB$4,阻害要因×在院期間区分[#Headers],0)),0)</f>
        <v>29</v>
      </c>
      <c r="J29" s="128">
        <f t="shared" si="4"/>
        <v>0.11328125</v>
      </c>
      <c r="K29" s="745"/>
      <c r="L29" s="745"/>
      <c r="M29" s="745"/>
      <c r="N29" s="26">
        <f t="shared" si="5"/>
        <v>138</v>
      </c>
      <c r="O29" s="43" t="s">
        <v>708</v>
      </c>
      <c r="P29" s="49">
        <v>0</v>
      </c>
      <c r="Q29" s="49">
        <v>1</v>
      </c>
      <c r="R29" s="49">
        <v>4</v>
      </c>
      <c r="S29" s="49">
        <v>2</v>
      </c>
      <c r="T29" s="49">
        <v>1</v>
      </c>
      <c r="U29" s="49">
        <v>1</v>
      </c>
      <c r="V29" s="49">
        <v>3</v>
      </c>
      <c r="W29" s="49">
        <v>2</v>
      </c>
      <c r="X29" s="49">
        <v>2</v>
      </c>
      <c r="Y29" s="49">
        <v>0</v>
      </c>
      <c r="Z29" s="49">
        <v>1</v>
      </c>
      <c r="AA29" s="49">
        <v>0</v>
      </c>
      <c r="AB29" s="49">
        <v>1</v>
      </c>
      <c r="AC29" s="49">
        <v>1</v>
      </c>
      <c r="AD29" s="49">
        <v>1</v>
      </c>
      <c r="AE29" s="49">
        <v>0</v>
      </c>
      <c r="AL29" s="224" t="s">
        <v>166</v>
      </c>
    </row>
    <row r="30" spans="2:39" ht="18.75" customHeight="1" x14ac:dyDescent="0.2">
      <c r="B30" s="72" t="s">
        <v>230</v>
      </c>
      <c r="C30" s="601">
        <f>IFERROR(INDEX(阻害要因×在院期間区分[#All],MATCH($AL31,阻害要因×在院期間区分[[#All],[値]],0),MATCH($AM$4,阻害要因×在院期間区分[#Headers],0)),0)+IFERROR(INDEX(阻害要因×在院期間区分[#All],MATCH($AL31,阻害要因×在院期間区分[[#All],[値]],0),MATCH($AN$4,阻害要因×在院期間区分[#Headers],0)),0)+IFERROR(INDEX(阻害要因×在院期間区分[#All],MATCH($AL31,阻害要因×在院期間区分[[#All],[値]],0),MATCH($AO$4,阻害要因×在院期間区分[#Headers],0)),0)+IFERROR(INDEX(阻害要因×在院期間区分[#All],MATCH($AL31,阻害要因×在院期間区分[[#All],[値]],0),MATCH($AP$4,阻害要因×在院期間区分[#Headers],0)),0)</f>
        <v>7</v>
      </c>
      <c r="D30" s="128">
        <f t="shared" si="1"/>
        <v>1.2110726643598616E-2</v>
      </c>
      <c r="E30" s="127">
        <f>IFERROR(INDEX(阻害要因×在院期間区分[#All],MATCH($AL31,阻害要因×在院期間区分[[#All],[値]],0),MATCH($AQ$4,阻害要因×在院期間区分[#Headers],0)),0)+IFERROR(INDEX(阻害要因×在院期間区分[#All],MATCH($AL31,阻害要因×在院期間区分[[#All],[値]],0),MATCH($AR$4,阻害要因×在院期間区分[#Headers],0)),0)+IFERROR(INDEX(阻害要因×在院期間区分[#All],MATCH($AL31,阻害要因×在院期間区分[[#All],[値]],0),MATCH($AS$4,阻害要因×在院期間区分[#Headers],0)),0)+IFERROR(INDEX(阻害要因×在院期間区分[#All],MATCH($AL31,阻害要因×在院期間区分[[#All],[値]],0),MATCH($AT$4,阻害要因×在院期間区分[#Headers],0)),0)+IFERROR(INDEX(阻害要因×在院期間区分[#All],MATCH($AL31,阻害要因×在院期間区分[[#All],[値]],0),MATCH($AU$4,阻害要因×在院期間区分[#Headers],0)),0)</f>
        <v>9</v>
      </c>
      <c r="F30" s="128">
        <f t="shared" si="2"/>
        <v>1.6697588126159554E-2</v>
      </c>
      <c r="G30" s="127">
        <f>IFERROR(INDEX(阻害要因×在院期間区分[#All],MATCH($AL31,阻害要因×在院期間区分[[#All],[値]],0),MATCH($AV$4,阻害要因×在院期間区分[#Headers],0)),0)+IFERROR(INDEX(阻害要因×在院期間区分[#All],MATCH($AL31,阻害要因×在院期間区分[[#All],[値]],0),MATCH($AW$4,阻害要因×在院期間区分[#Headers],0)),0)+IFERROR(INDEX(阻害要因×在院期間区分[#All],MATCH($AL31,阻害要因×在院期間区分[[#All],[値]],0),MATCH($AX$4,阻害要因×在院期間区分[#Headers],0)),0)+IFERROR(INDEX(阻害要因×在院期間区分[#All],MATCH($AL31,阻害要因×在院期間区分[[#All],[値]],0),MATCH($AY$4,阻害要因×在院期間区分[#Headers],0)),0)+IFERROR(INDEX(阻害要因×在院期間区分[#All],MATCH($AL31,阻害要因×在院期間区分[[#All],[値]],0),MATCH($AZ$4,阻害要因×在院期間区分[#Headers],0)),0)</f>
        <v>3</v>
      </c>
      <c r="H30" s="128">
        <f t="shared" si="3"/>
        <v>1.2244897959183673E-2</v>
      </c>
      <c r="I30" s="127">
        <f>IFERROR(INDEX(阻害要因×在院期間区分[#All],MATCH($AL31,阻害要因×在院期間区分[[#All],[値]],0),MATCH($BA$4,阻害要因×在院期間区分[#Headers],0)),0)+IFERROR(INDEX(阻害要因×在院期間区分[#All],MATCH($AL31,阻害要因×在院期間区分[[#All],[値]],0),MATCH($BB$4,阻害要因×在院期間区分[#Headers],0)),0)</f>
        <v>1</v>
      </c>
      <c r="J30" s="128">
        <f t="shared" si="4"/>
        <v>3.90625E-3</v>
      </c>
      <c r="K30" s="745"/>
      <c r="L30" s="745"/>
      <c r="M30" s="745"/>
      <c r="N30" s="26">
        <f>SUM(C30,E30,G30,I30)</f>
        <v>20</v>
      </c>
      <c r="O30" s="43" t="s">
        <v>709</v>
      </c>
      <c r="P30" s="355">
        <v>13</v>
      </c>
      <c r="Q30" s="49">
        <v>26</v>
      </c>
      <c r="R30" s="49">
        <v>36</v>
      </c>
      <c r="S30" s="49">
        <v>46</v>
      </c>
      <c r="T30" s="49">
        <v>28</v>
      </c>
      <c r="U30" s="49">
        <v>27</v>
      </c>
      <c r="V30" s="49">
        <v>32</v>
      </c>
      <c r="W30" s="49">
        <v>19</v>
      </c>
      <c r="X30" s="49">
        <v>16</v>
      </c>
      <c r="Y30" s="49">
        <v>10</v>
      </c>
      <c r="Z30" s="49">
        <v>8</v>
      </c>
      <c r="AA30" s="49">
        <v>10</v>
      </c>
      <c r="AB30" s="49">
        <v>7</v>
      </c>
      <c r="AC30" s="49">
        <v>6</v>
      </c>
      <c r="AD30" s="49">
        <v>17</v>
      </c>
      <c r="AE30" s="49">
        <v>10</v>
      </c>
      <c r="AL30" s="224" t="s">
        <v>167</v>
      </c>
    </row>
    <row r="31" spans="2:39" s="352" customFormat="1" ht="18.75" customHeight="1" x14ac:dyDescent="0.2">
      <c r="B31" s="356" t="s">
        <v>352</v>
      </c>
      <c r="C31" s="601">
        <f>IFERROR(INDEX(阻害要因×在院期間区分[#All],MATCH($AL32,阻害要因×在院期間区分[[#All],[値]],0),MATCH($AM$4,阻害要因×在院期間区分[#Headers],0)),0)+IFERROR(INDEX(阻害要因×在院期間区分[#All],MATCH($AL32,阻害要因×在院期間区分[[#All],[値]],0),MATCH($AN$4,阻害要因×在院期間区分[#Headers],0)),0)+IFERROR(INDEX(阻害要因×在院期間区分[#All],MATCH($AL32,阻害要因×在院期間区分[[#All],[値]],0),MATCH($AO$4,阻害要因×在院期間区分[#Headers],0)),0)+IFERROR(INDEX(阻害要因×在院期間区分[#All],MATCH($AL32,阻害要因×在院期間区分[[#All],[値]],0),MATCH($AP$4,阻害要因×在院期間区分[#Headers],0)),0)</f>
        <v>121</v>
      </c>
      <c r="D31" s="128">
        <f t="shared" ref="D31:D33" si="6">IFERROR(C31/C$10,"-")</f>
        <v>0.20934256055363321</v>
      </c>
      <c r="E31" s="127">
        <f>IFERROR(INDEX(阻害要因×在院期間区分[#All],MATCH($AL32,阻害要因×在院期間区分[[#All],[値]],0),MATCH($AQ$4,阻害要因×在院期間区分[#Headers],0)),0)+IFERROR(INDEX(阻害要因×在院期間区分[#All],MATCH($AL32,阻害要因×在院期間区分[[#All],[値]],0),MATCH($AR$4,阻害要因×在院期間区分[#Headers],0)),0)+IFERROR(INDEX(阻害要因×在院期間区分[#All],MATCH($AL32,阻害要因×在院期間区分[[#All],[値]],0),MATCH($AS$4,阻害要因×在院期間区分[#Headers],0)),0)+IFERROR(INDEX(阻害要因×在院期間区分[#All],MATCH($AL32,阻害要因×在院期間区分[[#All],[値]],0),MATCH($AT$4,阻害要因×在院期間区分[#Headers],0)),0)+IFERROR(INDEX(阻害要因×在院期間区分[#All],MATCH($AL32,阻害要因×在院期間区分[[#All],[値]],0),MATCH($AU$4,阻害要因×在院期間区分[#Headers],0)),0)</f>
        <v>122</v>
      </c>
      <c r="F31" s="128">
        <f t="shared" ref="F31:F33" si="7">IFERROR(E31/E$10,"-")</f>
        <v>0.22634508348794063</v>
      </c>
      <c r="G31" s="127">
        <f>IFERROR(INDEX(阻害要因×在院期間区分[#All],MATCH($AL32,阻害要因×在院期間区分[[#All],[値]],0),MATCH($AV$4,阻害要因×在院期間区分[#Headers],0)),0)+IFERROR(INDEX(阻害要因×在院期間区分[#All],MATCH($AL32,阻害要因×在院期間区分[[#All],[値]],0),MATCH($AW$4,阻害要因×在院期間区分[#Headers],0)),0)+IFERROR(INDEX(阻害要因×在院期間区分[#All],MATCH($AL32,阻害要因×在院期間区分[[#All],[値]],0),MATCH($AX$4,阻害要因×在院期間区分[#Headers],0)),0)+IFERROR(INDEX(阻害要因×在院期間区分[#All],MATCH($AL32,阻害要因×在院期間区分[[#All],[値]],0),MATCH($AY$4,阻害要因×在院期間区分[#Headers],0)),0)+IFERROR(INDEX(阻害要因×在院期間区分[#All],MATCH($AL32,阻害要因×在院期間区分[[#All],[値]],0),MATCH($AZ$4,阻害要因×在院期間区分[#Headers],0)),0)</f>
        <v>41</v>
      </c>
      <c r="H31" s="128">
        <f t="shared" ref="H31:H33" si="8">IFERROR(G31/G$10,"-")</f>
        <v>0.16734693877551021</v>
      </c>
      <c r="I31" s="127">
        <f>IFERROR(INDEX(阻害要因×在院期間区分[#All],MATCH($AL32,阻害要因×在院期間区分[[#All],[値]],0),MATCH($BA$4,阻害要因×在院期間区分[#Headers],0)),0)+IFERROR(INDEX(阻害要因×在院期間区分[#All],MATCH($AL32,阻害要因×在院期間区分[[#All],[値]],0),MATCH($BB$4,阻害要因×在院期間区分[#Headers],0)),0)</f>
        <v>27</v>
      </c>
      <c r="J31" s="128">
        <f t="shared" ref="J31:J33" si="9">IFERROR(I31/I$10,"-")</f>
        <v>0.10546875</v>
      </c>
      <c r="K31" s="745"/>
      <c r="L31" s="745"/>
      <c r="M31" s="745"/>
      <c r="N31" s="26">
        <f t="shared" ref="N31:N33" si="10">SUM(C31,E31,G31,I31)</f>
        <v>311</v>
      </c>
      <c r="O31" s="43" t="s">
        <v>710</v>
      </c>
      <c r="P31" s="355">
        <v>14</v>
      </c>
      <c r="Q31" s="49">
        <v>11</v>
      </c>
      <c r="R31" s="49">
        <v>18</v>
      </c>
      <c r="S31" s="49">
        <v>14</v>
      </c>
      <c r="T31" s="49">
        <v>9</v>
      </c>
      <c r="U31" s="49">
        <v>10</v>
      </c>
      <c r="V31" s="49">
        <v>12</v>
      </c>
      <c r="W31" s="49">
        <v>5</v>
      </c>
      <c r="X31" s="49">
        <v>3</v>
      </c>
      <c r="Y31" s="49">
        <v>3</v>
      </c>
      <c r="Z31" s="49">
        <v>5</v>
      </c>
      <c r="AA31" s="49">
        <v>4</v>
      </c>
      <c r="AB31" s="49">
        <v>2</v>
      </c>
      <c r="AC31" s="49">
        <v>2</v>
      </c>
      <c r="AD31" s="49">
        <v>8</v>
      </c>
      <c r="AE31" s="49">
        <v>3</v>
      </c>
      <c r="AL31" s="224" t="s">
        <v>168</v>
      </c>
    </row>
    <row r="32" spans="2:39" s="352" customFormat="1" ht="29.25" customHeight="1" x14ac:dyDescent="0.2">
      <c r="B32" s="357" t="s">
        <v>353</v>
      </c>
      <c r="C32" s="601">
        <f>IFERROR(INDEX(阻害要因×在院期間区分[#All],MATCH($AL33,阻害要因×在院期間区分[[#All],[値]],0),MATCH($AM$4,阻害要因×在院期間区分[#Headers],0)),0)+IFERROR(INDEX(阻害要因×在院期間区分[#All],MATCH($AL33,阻害要因×在院期間区分[[#All],[値]],0),MATCH($AN$4,阻害要因×在院期間区分[#Headers],0)),0)+IFERROR(INDEX(阻害要因×在院期間区分[#All],MATCH($AL33,阻害要因×在院期間区分[[#All],[値]],0),MATCH($AO$4,阻害要因×在院期間区分[#Headers],0)),0)+IFERROR(INDEX(阻害要因×在院期間区分[#All],MATCH($AL33,阻害要因×在院期間区分[[#All],[値]],0),MATCH($AP$4,阻害要因×在院期間区分[#Headers],0)),0)</f>
        <v>57</v>
      </c>
      <c r="D32" s="128">
        <f t="shared" si="6"/>
        <v>9.8615916955017299E-2</v>
      </c>
      <c r="E32" s="127">
        <f>IFERROR(INDEX(阻害要因×在院期間区分[#All],MATCH($AL33,阻害要因×在院期間区分[[#All],[値]],0),MATCH($AQ$4,阻害要因×在院期間区分[#Headers],0)),0)+IFERROR(INDEX(阻害要因×在院期間区分[#All],MATCH($AL33,阻害要因×在院期間区分[[#All],[値]],0),MATCH($AR$4,阻害要因×在院期間区分[#Headers],0)),0)+IFERROR(INDEX(阻害要因×在院期間区分[#All],MATCH($AL33,阻害要因×在院期間区分[[#All],[値]],0),MATCH($AS$4,阻害要因×在院期間区分[#Headers],0)),0)+IFERROR(INDEX(阻害要因×在院期間区分[#All],MATCH($AL33,阻害要因×在院期間区分[[#All],[値]],0),MATCH($AT$4,阻害要因×在院期間区分[#Headers],0)),0)+IFERROR(INDEX(阻害要因×在院期間区分[#All],MATCH($AL33,阻害要因×在院期間区分[[#All],[値]],0),MATCH($AU$4,阻害要因×在院期間区分[#Headers],0)),0)</f>
        <v>39</v>
      </c>
      <c r="F32" s="128">
        <f t="shared" si="7"/>
        <v>7.2356215213358069E-2</v>
      </c>
      <c r="G32" s="127">
        <f>IFERROR(INDEX(阻害要因×在院期間区分[#All],MATCH($AL33,阻害要因×在院期間区分[[#All],[値]],0),MATCH($AV$4,阻害要因×在院期間区分[#Headers],0)),0)+IFERROR(INDEX(阻害要因×在院期間区分[#All],MATCH($AL33,阻害要因×在院期間区分[[#All],[値]],0),MATCH($AW$4,阻害要因×在院期間区分[#Headers],0)),0)+IFERROR(INDEX(阻害要因×在院期間区分[#All],MATCH($AL33,阻害要因×在院期間区分[[#All],[値]],0),MATCH($AX$4,阻害要因×在院期間区分[#Headers],0)),0)+IFERROR(INDEX(阻害要因×在院期間区分[#All],MATCH($AL33,阻害要因×在院期間区分[[#All],[値]],0),MATCH($AY$4,阻害要因×在院期間区分[#Headers],0)),0)+IFERROR(INDEX(阻害要因×在院期間区分[#All],MATCH($AL33,阻害要因×在院期間区分[[#All],[値]],0),MATCH($AZ$4,阻害要因×在院期間区分[#Headers],0)),0)</f>
        <v>16</v>
      </c>
      <c r="H32" s="128">
        <f t="shared" si="8"/>
        <v>6.5306122448979598E-2</v>
      </c>
      <c r="I32" s="127">
        <f>IFERROR(INDEX(阻害要因×在院期間区分[#All],MATCH($AL33,阻害要因×在院期間区分[[#All],[値]],0),MATCH($BA$4,阻害要因×在院期間区分[#Headers],0)),0)+IFERROR(INDEX(阻害要因×在院期間区分[#All],MATCH($AL33,阻害要因×在院期間区分[[#All],[値]],0),MATCH($BB$4,阻害要因×在院期間区分[#Headers],0)),0)</f>
        <v>11</v>
      </c>
      <c r="J32" s="128">
        <f t="shared" si="9"/>
        <v>4.296875E-2</v>
      </c>
      <c r="K32" s="745"/>
      <c r="L32" s="745"/>
      <c r="M32" s="745"/>
      <c r="N32" s="26">
        <f t="shared" si="10"/>
        <v>123</v>
      </c>
      <c r="O32" s="43" t="s">
        <v>711</v>
      </c>
      <c r="P32" s="49">
        <v>1</v>
      </c>
      <c r="Q32" s="49">
        <v>6</v>
      </c>
      <c r="R32" s="49">
        <v>6</v>
      </c>
      <c r="S32" s="49">
        <v>10</v>
      </c>
      <c r="T32" s="49">
        <v>3</v>
      </c>
      <c r="U32" s="49">
        <v>2</v>
      </c>
      <c r="V32" s="49">
        <v>1</v>
      </c>
      <c r="W32" s="49">
        <v>4</v>
      </c>
      <c r="X32" s="49">
        <v>0</v>
      </c>
      <c r="Y32" s="49">
        <v>0</v>
      </c>
      <c r="Z32" s="49">
        <v>1</v>
      </c>
      <c r="AA32" s="49">
        <v>0</v>
      </c>
      <c r="AB32" s="49">
        <v>0</v>
      </c>
      <c r="AC32" s="49">
        <v>2</v>
      </c>
      <c r="AD32" s="49">
        <v>3</v>
      </c>
      <c r="AE32" s="49">
        <v>0</v>
      </c>
      <c r="AL32" s="224" t="s">
        <v>354</v>
      </c>
    </row>
    <row r="33" spans="2:38" ht="18.75" customHeight="1" x14ac:dyDescent="0.2">
      <c r="B33" s="73" t="s">
        <v>52</v>
      </c>
      <c r="C33" s="608">
        <f>IFERROR(INDEX(阻害要因×在院期間区分[#All],MATCH($AL34,阻害要因×在院期間区分[[#All],[値]],0),MATCH($AM$4,阻害要因×在院期間区分[#Headers],0)),0)+IFERROR(INDEX(阻害要因×在院期間区分[#All],MATCH($AL34,阻害要因×在院期間区分[[#All],[値]],0),MATCH($AN$4,阻害要因×在院期間区分[#Headers],0)),0)+IFERROR(INDEX(阻害要因×在院期間区分[#All],MATCH($AL34,阻害要因×在院期間区分[[#All],[値]],0),MATCH($AO$4,阻害要因×在院期間区分[#Headers],0)),0)+IFERROR(INDEX(阻害要因×在院期間区分[#All],MATCH($AL34,阻害要因×在院期間区分[[#All],[値]],0),MATCH($AP$4,阻害要因×在院期間区分[#Headers],0)),0)</f>
        <v>23</v>
      </c>
      <c r="D33" s="132">
        <f t="shared" si="6"/>
        <v>3.9792387543252594E-2</v>
      </c>
      <c r="E33" s="130">
        <f>IFERROR(INDEX(阻害要因×在院期間区分[#All],MATCH($AL34,阻害要因×在院期間区分[[#All],[値]],0),MATCH($AQ$4,阻害要因×在院期間区分[#Headers],0)),0)+IFERROR(INDEX(阻害要因×在院期間区分[#All],MATCH($AL34,阻害要因×在院期間区分[[#All],[値]],0),MATCH($AR$4,阻害要因×在院期間区分[#Headers],0)),0)+IFERROR(INDEX(阻害要因×在院期間区分[#All],MATCH($AL34,阻害要因×在院期間区分[[#All],[値]],0),MATCH($AS$4,阻害要因×在院期間区分[#Headers],0)),0)+IFERROR(INDEX(阻害要因×在院期間区分[#All],MATCH($AL34,阻害要因×在院期間区分[[#All],[値]],0),MATCH($AT$4,阻害要因×在院期間区分[#Headers],0)),0)+IFERROR(INDEX(阻害要因×在院期間区分[#All],MATCH($AL34,阻害要因×在院期間区分[[#All],[値]],0),MATCH($AU$4,阻害要因×在院期間区分[#Headers],0)),0)</f>
        <v>10</v>
      </c>
      <c r="F33" s="132">
        <f t="shared" si="7"/>
        <v>1.8552875695732839E-2</v>
      </c>
      <c r="G33" s="130">
        <f>IFERROR(INDEX(阻害要因×在院期間区分[#All],MATCH($AL34,阻害要因×在院期間区分[[#All],[値]],0),MATCH($AV$4,阻害要因×在院期間区分[#Headers],0)),0)+IFERROR(INDEX(阻害要因×在院期間区分[#All],MATCH($AL34,阻害要因×在院期間区分[[#All],[値]],0),MATCH($AW$4,阻害要因×在院期間区分[#Headers],0)),0)+IFERROR(INDEX(阻害要因×在院期間区分[#All],MATCH($AL34,阻害要因×在院期間区分[[#All],[値]],0),MATCH($AX$4,阻害要因×在院期間区分[#Headers],0)),0)+IFERROR(INDEX(阻害要因×在院期間区分[#All],MATCH($AL34,阻害要因×在院期間区分[[#All],[値]],0),MATCH($AY$4,阻害要因×在院期間区分[#Headers],0)),0)+IFERROR(INDEX(阻害要因×在院期間区分[#All],MATCH($AL34,阻害要因×在院期間区分[[#All],[値]],0),MATCH($AZ$4,阻害要因×在院期間区分[#Headers],0)),0)</f>
        <v>3</v>
      </c>
      <c r="H33" s="132">
        <f t="shared" si="8"/>
        <v>1.2244897959183673E-2</v>
      </c>
      <c r="I33" s="130">
        <f>IFERROR(INDEX(阻害要因×在院期間区分[#All],MATCH($AL34,阻害要因×在院期間区分[[#All],[値]],0),MATCH($BA$4,阻害要因×在院期間区分[#Headers],0)),0)+IFERROR(INDEX(阻害要因×在院期間区分[#All],MATCH($AL34,阻害要因×在院期間区分[[#All],[値]],0),MATCH($BB$4,阻害要因×在院期間区分[#Headers],0)),0)</f>
        <v>3</v>
      </c>
      <c r="J33" s="132">
        <f t="shared" si="9"/>
        <v>1.171875E-2</v>
      </c>
      <c r="K33" s="745"/>
      <c r="L33" s="745"/>
      <c r="M33" s="745"/>
      <c r="N33" s="26">
        <f t="shared" si="10"/>
        <v>39</v>
      </c>
      <c r="AL33" s="30" t="s">
        <v>355</v>
      </c>
    </row>
    <row r="34" spans="2:38" ht="18.75" customHeight="1" x14ac:dyDescent="0.2">
      <c r="D34" s="16"/>
      <c r="E34" s="26"/>
      <c r="J34" s="16"/>
      <c r="K34" s="16"/>
      <c r="L34" s="16"/>
      <c r="M34" s="16"/>
      <c r="N34" s="26"/>
      <c r="AL34" s="224" t="s">
        <v>169</v>
      </c>
    </row>
    <row r="35" spans="2:38" ht="18.75" customHeight="1" thickBot="1" x14ac:dyDescent="0.25">
      <c r="B35" s="2" t="s">
        <v>75</v>
      </c>
      <c r="E35" s="80"/>
      <c r="N35" s="26"/>
      <c r="O35" s="40"/>
    </row>
    <row r="36" spans="2:38" ht="18.75" customHeight="1" thickTop="1" thickBot="1" x14ac:dyDescent="0.25">
      <c r="B36" s="1036" t="s">
        <v>224</v>
      </c>
      <c r="C36" s="1022" t="s">
        <v>63</v>
      </c>
      <c r="D36" s="1023"/>
      <c r="E36" s="1023"/>
      <c r="F36" s="1023"/>
      <c r="G36" s="1023"/>
      <c r="H36" s="1023"/>
      <c r="I36" s="1023"/>
      <c r="J36" s="1024"/>
      <c r="K36" s="763"/>
      <c r="L36" s="763"/>
      <c r="M36" s="763"/>
      <c r="N36" s="26"/>
      <c r="O36" s="761" t="s">
        <v>655</v>
      </c>
      <c r="P36" s="43" t="s">
        <v>677</v>
      </c>
      <c r="Q36" s="43" t="s">
        <v>678</v>
      </c>
      <c r="R36" s="43" t="s">
        <v>679</v>
      </c>
      <c r="S36" s="43" t="s">
        <v>680</v>
      </c>
      <c r="T36" s="43" t="s">
        <v>681</v>
      </c>
      <c r="U36" s="43" t="s">
        <v>682</v>
      </c>
      <c r="V36" s="43" t="s">
        <v>683</v>
      </c>
      <c r="W36" s="43" t="s">
        <v>340</v>
      </c>
      <c r="X36" s="43" t="s">
        <v>684</v>
      </c>
      <c r="Y36" s="43" t="s">
        <v>685</v>
      </c>
      <c r="Z36" s="43" t="s">
        <v>686</v>
      </c>
      <c r="AA36" s="43" t="s">
        <v>687</v>
      </c>
      <c r="AB36" s="43" t="s">
        <v>688</v>
      </c>
      <c r="AC36" s="43" t="s">
        <v>689</v>
      </c>
      <c r="AD36" s="43" t="s">
        <v>690</v>
      </c>
      <c r="AE36" s="43" t="s">
        <v>691</v>
      </c>
    </row>
    <row r="37" spans="2:38" ht="18.75" customHeight="1" thickTop="1" x14ac:dyDescent="0.2">
      <c r="B37" s="1037"/>
      <c r="C37" s="1038" t="s">
        <v>68</v>
      </c>
      <c r="D37" s="1039"/>
      <c r="E37" s="1040" t="s">
        <v>251</v>
      </c>
      <c r="F37" s="1041"/>
      <c r="G37" s="1040" t="s">
        <v>252</v>
      </c>
      <c r="H37" s="1041"/>
      <c r="I37" s="1038" t="s">
        <v>71</v>
      </c>
      <c r="J37" s="1039"/>
      <c r="K37" s="775"/>
      <c r="L37" s="775"/>
      <c r="M37" s="775"/>
      <c r="N37" s="26"/>
      <c r="O37" s="21">
        <v>98</v>
      </c>
      <c r="P37" s="46">
        <v>73</v>
      </c>
      <c r="Q37" s="46">
        <v>83</v>
      </c>
      <c r="R37" s="46">
        <v>25</v>
      </c>
      <c r="S37" s="46">
        <v>42</v>
      </c>
      <c r="T37" s="46">
        <v>18</v>
      </c>
      <c r="U37" s="46">
        <v>15</v>
      </c>
      <c r="V37" s="46">
        <v>25</v>
      </c>
      <c r="W37" s="46">
        <v>15</v>
      </c>
      <c r="X37" s="46">
        <v>7</v>
      </c>
      <c r="Y37" s="46">
        <v>13</v>
      </c>
      <c r="Z37" s="46">
        <v>15</v>
      </c>
      <c r="AA37" s="46">
        <v>13</v>
      </c>
      <c r="AB37" s="46">
        <v>6</v>
      </c>
      <c r="AC37" s="46">
        <v>2</v>
      </c>
      <c r="AD37" s="46">
        <v>24</v>
      </c>
      <c r="AE37" s="46">
        <v>11</v>
      </c>
    </row>
    <row r="38" spans="2:38" ht="37.5" customHeight="1" x14ac:dyDescent="0.2">
      <c r="B38" s="60" t="s">
        <v>218</v>
      </c>
      <c r="C38" s="124">
        <f>IFERROR(INDEX(退院予定有無×在院期間区分＿寛解・院内寛解[#All],MATCH($AL39,退院予定有無×在院期間区分＿寛解・院内寛解[[#All],[行ラベル]],0),MATCH($AM$4,退院予定有無×在院期間区分＿寛解・院内寛解[#Headers],0)),0)+IFERROR(INDEX(退院予定有無×在院期間区分＿寛解・院内寛解[#All],MATCH($AL39,退院予定有無×在院期間区分＿寛解・院内寛解[[#All],[行ラベル]],0),MATCH($AN$4,退院予定有無×在院期間区分＿寛解・院内寛解[#Headers],0)),0)+IFERROR(INDEX(退院予定有無×在院期間区分＿寛解・院内寛解[#All],MATCH($AL39,退院予定有無×在院期間区分＿寛解・院内寛解[[#All],[行ラベル]],0),MATCH($AO$4,退院予定有無×在院期間区分＿寛解・院内寛解[#Headers],0)),0)+IFERROR(INDEX(退院予定有無×在院期間区分＿寛解・院内寛解[#All],MATCH($AL39,退院予定有無×在院期間区分＿寛解・院内寛解[[#All],[行ラベル]],0),MATCH($AP$4,退院予定有無×在院期間区分＿寛解・院内寛解[#Headers],0)),0)</f>
        <v>283</v>
      </c>
      <c r="D38" s="126">
        <f>IFERROR(C38/C$41,"-")</f>
        <v>0.24911971830985916</v>
      </c>
      <c r="E38" s="124">
        <f>IFERROR(INDEX(退院予定有無×在院期間区分＿寛解・院内寛解[#All],MATCH($AL39,退院予定有無×在院期間区分＿寛解・院内寛解[[#All],[行ラベル]],0),MATCH($AQ$4,退院予定有無×在院期間区分＿寛解・院内寛解[#Headers],0)),0)+IFERROR(INDEX(退院予定有無×在院期間区分＿寛解・院内寛解[#All],MATCH($AL39,退院予定有無×在院期間区分＿寛解・院内寛解[[#All],[行ラベル]],0),MATCH($AR$4,退院予定有無×在院期間区分＿寛解・院内寛解[#Headers],0)),0)+IFERROR(INDEX(退院予定有無×在院期間区分＿寛解・院内寛解[#All],MATCH($AL39,退院予定有無×在院期間区分＿寛解・院内寛解[[#All],[行ラベル]],0),MATCH($AS$4,退院予定有無×在院期間区分＿寛解・院内寛解[#Headers],0)),0)+IFERROR(INDEX(退院予定有無×在院期間区分＿寛解・院内寛解[#All],MATCH($AL39,退院予定有無×在院期間区分＿寛解・院内寛解[[#All],[行ラベル]],0),MATCH($AT$4,退院予定有無×在院期間区分＿寛解・院内寛解[#Headers],0)),0)+IFERROR(INDEX(退院予定有無×在院期間区分＿寛解・院内寛解[#All],MATCH($AL39,退院予定有無×在院期間区分＿寛解・院内寛解[[#All],[行ラベル]],0),MATCH($AU$4,退院予定有無×在院期間区分＿寛解・院内寛解[#Headers],0)),0)</f>
        <v>170</v>
      </c>
      <c r="F38" s="126">
        <f>IFERROR(E38/E$41,"-")</f>
        <v>0.6028368794326241</v>
      </c>
      <c r="G38" s="124">
        <f>IFERROR(INDEX(退院予定有無×在院期間区分＿寛解・院内寛解[#All],MATCH($AL39,退院予定有無×在院期間区分＿寛解・院内寛解[[#All],[行ラベル]],0),MATCH($AV$4,退院予定有無×在院期間区分＿寛解・院内寛解[#Headers],0)),0)+IFERROR(INDEX(退院予定有無×在院期間区分＿寛解・院内寛解[#All],MATCH($AL39,退院予定有無×在院期間区分＿寛解・院内寛解[[#All],[行ラベル]],0),MATCH($AW$4,退院予定有無×在院期間区分＿寛解・院内寛解[#Headers],0)),0)+IFERROR(INDEX(退院予定有無×在院期間区分＿寛解・院内寛解[#All],MATCH($AL39,退院予定有無×在院期間区分＿寛解・院内寛解[[#All],[行ラベル]],0),MATCH($AX$4,退院予定有無×在院期間区分＿寛解・院内寛解[#Headers],0)),0)+IFERROR(INDEX(退院予定有無×在院期間区分＿寛解・院内寛解[#All],MATCH($AL39,退院予定有無×在院期間区分＿寛解・院内寛解[[#All],[行ラベル]],0),MATCH($AY$4,退院予定有無×在院期間区分＿寛解・院内寛解[#Headers],0)),0)+IFERROR(INDEX(退院予定有無×在院期間区分＿寛解・院内寛解[#All],MATCH($AL39,退院予定有無×在院期間区分＿寛解・院内寛解[[#All],[行ラベル]],0),MATCH($AZ$4,退院予定有無×在院期間区分＿寛解・院内寛解[#Headers],0)),0)</f>
        <v>69</v>
      </c>
      <c r="H38" s="126">
        <f>IFERROR(G38/G$41,"-")</f>
        <v>0.54330708661417326</v>
      </c>
      <c r="I38" s="124">
        <f>IFERROR(INDEX(退院予定有無×在院期間区分＿寛解・院内寛解[#All],MATCH($AL39,退院予定有無×在院期間区分＿寛解・院内寛解[[#All],[行ラベル]],0),MATCH($BA$4,退院予定有無×在院期間区分＿寛解・院内寛解[#Headers],0)),0)+IFERROR(INDEX(退院予定有無×在院期間区分＿寛解・院内寛解[#All],MATCH($AL39,退院予定有無×在院期間区分＿寛解・院内寛解[[#All],[行ラベル]],0),MATCH($BB$4,退院予定有無×在院期間区分＿寛解・院内寛解[#Headers],0)),0)</f>
        <v>77</v>
      </c>
      <c r="J38" s="126">
        <f>IFERROR(I38/I$41,"-")</f>
        <v>0.66379310344827591</v>
      </c>
      <c r="K38" s="137"/>
      <c r="L38" s="137"/>
      <c r="M38" s="137"/>
      <c r="N38" s="26">
        <f>SUM(C38,E38,G38,I38)</f>
        <v>599</v>
      </c>
      <c r="O38" s="21">
        <v>97</v>
      </c>
      <c r="P38" s="46">
        <v>52</v>
      </c>
      <c r="Q38" s="46">
        <v>95</v>
      </c>
      <c r="R38" s="46">
        <v>74</v>
      </c>
      <c r="S38" s="46">
        <v>62</v>
      </c>
      <c r="T38" s="46">
        <v>42</v>
      </c>
      <c r="U38" s="46">
        <v>24</v>
      </c>
      <c r="V38" s="46">
        <v>50</v>
      </c>
      <c r="W38" s="46">
        <v>34</v>
      </c>
      <c r="X38" s="46">
        <v>20</v>
      </c>
      <c r="Y38" s="46">
        <v>15</v>
      </c>
      <c r="Z38" s="46">
        <v>15</v>
      </c>
      <c r="AA38" s="46">
        <v>13</v>
      </c>
      <c r="AB38" s="46">
        <v>15</v>
      </c>
      <c r="AC38" s="46">
        <v>11</v>
      </c>
      <c r="AD38" s="46">
        <v>50</v>
      </c>
      <c r="AE38" s="46">
        <v>27</v>
      </c>
    </row>
    <row r="39" spans="2:38" ht="18.75" customHeight="1" x14ac:dyDescent="0.2">
      <c r="B39" s="61" t="s">
        <v>225</v>
      </c>
      <c r="C39" s="127">
        <f>IFERROR(INDEX(退院予定有無×在院期間区分＿寛解・院内寛解[#All],MATCH($AL40,退院予定有無×在院期間区分＿寛解・院内寛解[[#All],[行ラベル]],0),MATCH($AM$4,退院予定有無×在院期間区分＿寛解・院内寛解[#Headers],0)),0)+IFERROR(INDEX(退院予定有無×在院期間区分＿寛解・院内寛解[#All],MATCH($AL40,退院予定有無×在院期間区分＿寛解・院内寛解[[#All],[行ラベル]],0),MATCH($AN$4,退院予定有無×在院期間区分＿寛解・院内寛解[#Headers],0)),0)+IFERROR(INDEX(退院予定有無×在院期間区分＿寛解・院内寛解[#All],MATCH($AL40,退院予定有無×在院期間区分＿寛解・院内寛解[[#All],[行ラベル]],0),MATCH($AO$4,退院予定有無×在院期間区分＿寛解・院内寛解[#Headers],0)),0)+IFERROR(INDEX(退院予定有無×在院期間区分＿寛解・院内寛解[#All],MATCH($AL40,退院予定有無×在院期間区分＿寛解・院内寛解[[#All],[行ラベル]],0),MATCH($AP$4,退院予定有無×在院期間区分＿寛解・院内寛解[#Headers],0)),0)</f>
        <v>223</v>
      </c>
      <c r="D39" s="128">
        <f>IFERROR(C39/C$41,"-")</f>
        <v>0.19630281690140844</v>
      </c>
      <c r="E39" s="127">
        <f>IFERROR(INDEX(退院予定有無×在院期間区分＿寛解・院内寛解[#All],MATCH($AL40,退院予定有無×在院期間区分＿寛解・院内寛解[[#All],[行ラベル]],0),MATCH($AQ$4,退院予定有無×在院期間区分＿寛解・院内寛解[#Headers],0)),0)+IFERROR(INDEX(退院予定有無×在院期間区分＿寛解・院内寛解[#All],MATCH($AL40,退院予定有無×在院期間区分＿寛解・院内寛解[[#All],[行ラベル]],0),MATCH($AR$4,退院予定有無×在院期間区分＿寛解・院内寛解[#Headers],0)),0)+IFERROR(INDEX(退院予定有無×在院期間区分＿寛解・院内寛解[#All],MATCH($AL40,退院予定有無×在院期間区分＿寛解・院内寛解[[#All],[行ラベル]],0),MATCH($AS$4,退院予定有無×在院期間区分＿寛解・院内寛解[#Headers],0)),0)+IFERROR(INDEX(退院予定有無×在院期間区分＿寛解・院内寛解[#All],MATCH($AL40,退院予定有無×在院期間区分＿寛解・院内寛解[[#All],[行ラベル]],0),MATCH($AT$4,退院予定有無×在院期間区分＿寛解・院内寛解[#Headers],0)),0)+IFERROR(INDEX(退院予定有無×在院期間区分＿寛解・院内寛解[#All],MATCH($AL40,退院予定有無×在院期間区分＿寛解・院内寛解[[#All],[行ラベル]],0),MATCH($AU$4,退院予定有無×在院期間区分＿寛解・院内寛解[#Headers],0)),0)</f>
        <v>80</v>
      </c>
      <c r="F39" s="128">
        <f>IFERROR(E39/E$41,"-")</f>
        <v>0.28368794326241137</v>
      </c>
      <c r="G39" s="127">
        <f>IFERROR(INDEX(退院予定有無×在院期間区分＿寛解・院内寛解[#All],MATCH($AL40,退院予定有無×在院期間区分＿寛解・院内寛解[[#All],[行ラベル]],0),MATCH($AV$4,退院予定有無×在院期間区分＿寛解・院内寛解[#Headers],0)),0)+IFERROR(INDEX(退院予定有無×在院期間区分＿寛解・院内寛解[#All],MATCH($AL40,退院予定有無×在院期間区分＿寛解・院内寛解[[#All],[行ラベル]],0),MATCH($AW$4,退院予定有無×在院期間区分＿寛解・院内寛解[#Headers],0)),0)+IFERROR(INDEX(退院予定有無×在院期間区分＿寛解・院内寛解[#All],MATCH($AL40,退院予定有無×在院期間区分＿寛解・院内寛解[[#All],[行ラベル]],0),MATCH($AX$4,退院予定有無×在院期間区分＿寛解・院内寛解[#Headers],0)),0)+IFERROR(INDEX(退院予定有無×在院期間区分＿寛解・院内寛解[#All],MATCH($AL40,退院予定有無×在院期間区分＿寛解・院内寛解[[#All],[行ラベル]],0),MATCH($AY$4,退院予定有無×在院期間区分＿寛解・院内寛解[#Headers],0)),0)+IFERROR(INDEX(退院予定有無×在院期間区分＿寛解・院内寛解[#All],MATCH($AL40,退院予定有無×在院期間区分＿寛解・院内寛解[[#All],[行ラベル]],0),MATCH($AZ$4,退院予定有無×在院期間区分＿寛解・院内寛解[#Headers],0)),0)</f>
        <v>49</v>
      </c>
      <c r="H39" s="128">
        <f>IFERROR(G39/G$41,"-")</f>
        <v>0.38582677165354329</v>
      </c>
      <c r="I39" s="127">
        <f>IFERROR(INDEX(退院予定有無×在院期間区分＿寛解・院内寛解[#All],MATCH($AL40,退院予定有無×在院期間区分＿寛解・院内寛解[[#All],[行ラベル]],0),MATCH($BA$4,退院予定有無×在院期間区分＿寛解・院内寛解[#Headers],0)),0)+IFERROR(INDEX(退院予定有無×在院期間区分＿寛解・院内寛解[#All],MATCH($AL40,退院予定有無×在院期間区分＿寛解・院内寛解[[#All],[行ラベル]],0),MATCH($BB$4,退院予定有無×在院期間区分＿寛解・院内寛解[#Headers],0)),0)</f>
        <v>35</v>
      </c>
      <c r="J39" s="128">
        <f>IFERROR(I39/I$41,"-")</f>
        <v>0.30172413793103448</v>
      </c>
      <c r="K39" s="745"/>
      <c r="L39" s="745"/>
      <c r="M39" s="745"/>
      <c r="N39" s="26">
        <f>SUM(C39,E39,G39,I39)</f>
        <v>387</v>
      </c>
      <c r="O39" s="21">
        <v>99</v>
      </c>
      <c r="P39" s="46">
        <v>210</v>
      </c>
      <c r="Q39" s="46">
        <v>283</v>
      </c>
      <c r="R39" s="46">
        <v>79</v>
      </c>
      <c r="S39" s="46">
        <v>58</v>
      </c>
      <c r="T39" s="46">
        <v>9</v>
      </c>
      <c r="U39" s="46">
        <v>8</v>
      </c>
      <c r="V39" s="46">
        <v>6</v>
      </c>
      <c r="W39" s="46">
        <v>6</v>
      </c>
      <c r="X39" s="46">
        <v>3</v>
      </c>
      <c r="Y39" s="46">
        <v>3</v>
      </c>
      <c r="Z39" s="46">
        <v>2</v>
      </c>
      <c r="AA39" s="46">
        <v>2</v>
      </c>
      <c r="AB39" s="46">
        <v>0</v>
      </c>
      <c r="AC39" s="46">
        <v>2</v>
      </c>
      <c r="AD39" s="46">
        <v>2</v>
      </c>
      <c r="AE39" s="46">
        <v>2</v>
      </c>
      <c r="AL39" s="249">
        <v>97</v>
      </c>
    </row>
    <row r="40" spans="2:38" ht="18.75" customHeight="1" x14ac:dyDescent="0.2">
      <c r="B40" s="81" t="s">
        <v>36</v>
      </c>
      <c r="C40" s="609">
        <f>IFERROR(INDEX(退院予定有無×在院期間区分＿寛解・院内寛解[#All],MATCH($AL41,退院予定有無×在院期間区分＿寛解・院内寛解[[#All],[行ラベル]],0),MATCH($AM$4,退院予定有無×在院期間区分＿寛解・院内寛解[#Headers],0)),0)+IFERROR(INDEX(退院予定有無×在院期間区分＿寛解・院内寛解[#All],MATCH($AL41,退院予定有無×在院期間区分＿寛解・院内寛解[[#All],[行ラベル]],0),MATCH($AN$4,退院予定有無×在院期間区分＿寛解・院内寛解[#Headers],0)),0)+IFERROR(INDEX(退院予定有無×在院期間区分＿寛解・院内寛解[#All],MATCH($AL41,退院予定有無×在院期間区分＿寛解・院内寛解[[#All],[行ラベル]],0),MATCH($AO$4,退院予定有無×在院期間区分＿寛解・院内寛解[#Headers],0)),0)+IFERROR(INDEX(退院予定有無×在院期間区分＿寛解・院内寛解[#All],MATCH($AL41,退院予定有無×在院期間区分＿寛解・院内寛解[[#All],[行ラベル]],0),MATCH($AP$4,退院予定有無×在院期間区分＿寛解・院内寛解[#Headers],0)),0)</f>
        <v>630</v>
      </c>
      <c r="D40" s="610">
        <f>IFERROR(C40/C$41,"-")</f>
        <v>0.55457746478873238</v>
      </c>
      <c r="E40" s="609">
        <f>IFERROR(INDEX(退院予定有無×在院期間区分＿寛解・院内寛解[#All],MATCH($AL41,退院予定有無×在院期間区分＿寛解・院内寛解[[#All],[行ラベル]],0),MATCH($AQ$4,退院予定有無×在院期間区分＿寛解・院内寛解[#Headers],0)),0)+IFERROR(INDEX(退院予定有無×在院期間区分＿寛解・院内寛解[#All],MATCH($AL41,退院予定有無×在院期間区分＿寛解・院内寛解[[#All],[行ラベル]],0),MATCH($AR$4,退院予定有無×在院期間区分＿寛解・院内寛解[#Headers],0)),0)+IFERROR(INDEX(退院予定有無×在院期間区分＿寛解・院内寛解[#All],MATCH($AL41,退院予定有無×在院期間区分＿寛解・院内寛解[[#All],[行ラベル]],0),MATCH($AS$4,退院予定有無×在院期間区分＿寛解・院内寛解[#Headers],0)),0)+IFERROR(INDEX(退院予定有無×在院期間区分＿寛解・院内寛解[#All],MATCH($AL41,退院予定有無×在院期間区分＿寛解・院内寛解[[#All],[行ラベル]],0),MATCH($AT$4,退院予定有無×在院期間区分＿寛解・院内寛解[#Headers],0)),0)+IFERROR(INDEX(退院予定有無×在院期間区分＿寛解・院内寛解[#All],MATCH($AL41,退院予定有無×在院期間区分＿寛解・院内寛解[[#All],[行ラベル]],0),MATCH($AU$4,退院予定有無×在院期間区分＿寛解・院内寛解[#Headers],0)),0)</f>
        <v>32</v>
      </c>
      <c r="F40" s="610">
        <f>IFERROR(E40/E$41,"-")</f>
        <v>0.11347517730496454</v>
      </c>
      <c r="G40" s="609">
        <f>IFERROR(INDEX(退院予定有無×在院期間区分＿寛解・院内寛解[#All],MATCH($AL41,退院予定有無×在院期間区分＿寛解・院内寛解[[#All],[行ラベル]],0),MATCH($AV$4,退院予定有無×在院期間区分＿寛解・院内寛解[#Headers],0)),0)+IFERROR(INDEX(退院予定有無×在院期間区分＿寛解・院内寛解[#All],MATCH($AL41,退院予定有無×在院期間区分＿寛解・院内寛解[[#All],[行ラベル]],0),MATCH($AW$4,退院予定有無×在院期間区分＿寛解・院内寛解[#Headers],0)),0)+IFERROR(INDEX(退院予定有無×在院期間区分＿寛解・院内寛解[#All],MATCH($AL41,退院予定有無×在院期間区分＿寛解・院内寛解[[#All],[行ラベル]],0),MATCH($AX$4,退院予定有無×在院期間区分＿寛解・院内寛解[#Headers],0)),0)+IFERROR(INDEX(退院予定有無×在院期間区分＿寛解・院内寛解[#All],MATCH($AL41,退院予定有無×在院期間区分＿寛解・院内寛解[[#All],[行ラベル]],0),MATCH($AY$4,退院予定有無×在院期間区分＿寛解・院内寛解[#Headers],0)),0)+IFERROR(INDEX(退院予定有無×在院期間区分＿寛解・院内寛解[#All],MATCH($AL41,退院予定有無×在院期間区分＿寛解・院内寛解[[#All],[行ラベル]],0),MATCH($AZ$4,退院予定有無×在院期間区分＿寛解・院内寛解[#Headers],0)),0)</f>
        <v>9</v>
      </c>
      <c r="H40" s="610">
        <f>IFERROR(G40/G$41,"-")</f>
        <v>7.0866141732283464E-2</v>
      </c>
      <c r="I40" s="609">
        <f>IFERROR(INDEX(退院予定有無×在院期間区分＿寛解・院内寛解[#All],MATCH($AL41,退院予定有無×在院期間区分＿寛解・院内寛解[[#All],[行ラベル]],0),MATCH($BA$4,退院予定有無×在院期間区分＿寛解・院内寛解[#Headers],0)),0)+IFERROR(INDEX(退院予定有無×在院期間区分＿寛解・院内寛解[#All],MATCH($AL41,退院予定有無×在院期間区分＿寛解・院内寛解[[#All],[行ラベル]],0),MATCH($BB$4,退院予定有無×在院期間区分＿寛解・院内寛解[#Headers],0)),0)</f>
        <v>4</v>
      </c>
      <c r="J40" s="610">
        <f>IFERROR(I40/I$41,"-")</f>
        <v>3.4482758620689655E-2</v>
      </c>
      <c r="K40" s="745"/>
      <c r="L40" s="745"/>
      <c r="M40" s="745"/>
      <c r="N40" s="26">
        <f>SUM(C40,E40,G40,I40)</f>
        <v>675</v>
      </c>
      <c r="O40" s="21"/>
      <c r="P40" s="30"/>
      <c r="Q40" s="30"/>
      <c r="R40" s="30"/>
      <c r="S40" s="30"/>
      <c r="T40" s="30"/>
      <c r="U40" s="30"/>
      <c r="V40" s="30"/>
      <c r="W40" s="30"/>
      <c r="X40" s="30"/>
      <c r="Y40" s="30"/>
      <c r="Z40" s="30"/>
      <c r="AA40" s="30"/>
      <c r="AB40" s="30"/>
      <c r="AC40" s="30"/>
      <c r="AD40" s="30"/>
      <c r="AE40" s="30"/>
      <c r="AL40" s="250">
        <v>98</v>
      </c>
    </row>
    <row r="41" spans="2:38" ht="18.75" customHeight="1" thickBot="1" x14ac:dyDescent="0.25">
      <c r="B41" s="63" t="s">
        <v>149</v>
      </c>
      <c r="C41" s="133">
        <f t="shared" ref="C41:J41" si="11">SUM(C38:C40)</f>
        <v>1136</v>
      </c>
      <c r="D41" s="134">
        <f t="shared" si="11"/>
        <v>1</v>
      </c>
      <c r="E41" s="135">
        <f t="shared" si="11"/>
        <v>282</v>
      </c>
      <c r="F41" s="134">
        <f t="shared" si="11"/>
        <v>1</v>
      </c>
      <c r="G41" s="603">
        <f t="shared" si="11"/>
        <v>127</v>
      </c>
      <c r="H41" s="604">
        <f t="shared" si="11"/>
        <v>1</v>
      </c>
      <c r="I41" s="603">
        <f t="shared" si="11"/>
        <v>116</v>
      </c>
      <c r="J41" s="604">
        <f t="shared" si="11"/>
        <v>1</v>
      </c>
      <c r="K41" s="765"/>
      <c r="L41" s="765"/>
      <c r="M41" s="765"/>
      <c r="N41" s="26">
        <f>SUM(C41,E41,G41,I41)</f>
        <v>1661</v>
      </c>
      <c r="O41" s="21"/>
      <c r="P41" s="30"/>
      <c r="Q41" s="30"/>
      <c r="R41" s="30"/>
      <c r="S41" s="30"/>
      <c r="T41" s="30"/>
      <c r="U41" s="30"/>
      <c r="V41" s="30"/>
      <c r="W41" s="30"/>
      <c r="X41" s="30"/>
      <c r="Y41" s="30"/>
      <c r="Z41" s="30"/>
      <c r="AA41" s="30"/>
      <c r="AB41" s="30"/>
      <c r="AC41" s="30"/>
      <c r="AD41" s="30"/>
      <c r="AE41" s="30"/>
      <c r="AL41" s="250">
        <v>99</v>
      </c>
    </row>
    <row r="42" spans="2:38" ht="18.75" customHeight="1" thickTop="1" thickBot="1" x14ac:dyDescent="0.25">
      <c r="B42" s="64"/>
      <c r="C42" s="65"/>
      <c r="D42" s="66"/>
      <c r="E42" s="67"/>
      <c r="F42" s="66"/>
      <c r="G42" s="67"/>
      <c r="H42" s="66"/>
      <c r="I42" s="67"/>
      <c r="J42" s="66"/>
      <c r="K42" s="66"/>
      <c r="L42" s="66"/>
      <c r="M42" s="66"/>
      <c r="N42" s="26"/>
      <c r="O42" s="761" t="s">
        <v>655</v>
      </c>
      <c r="P42" s="43" t="s">
        <v>677</v>
      </c>
      <c r="Q42" s="43" t="s">
        <v>678</v>
      </c>
      <c r="R42" s="43" t="s">
        <v>679</v>
      </c>
      <c r="S42" s="43" t="s">
        <v>680</v>
      </c>
      <c r="T42" s="43" t="s">
        <v>681</v>
      </c>
      <c r="U42" s="43" t="s">
        <v>682</v>
      </c>
      <c r="V42" s="43" t="s">
        <v>683</v>
      </c>
      <c r="W42" s="43" t="s">
        <v>340</v>
      </c>
      <c r="X42" s="43" t="s">
        <v>684</v>
      </c>
      <c r="Y42" s="43" t="s">
        <v>685</v>
      </c>
      <c r="Z42" s="43" t="s">
        <v>686</v>
      </c>
      <c r="AA42" s="43" t="s">
        <v>687</v>
      </c>
      <c r="AB42" s="43" t="s">
        <v>688</v>
      </c>
      <c r="AC42" s="43" t="s">
        <v>689</v>
      </c>
      <c r="AD42" s="43" t="s">
        <v>690</v>
      </c>
      <c r="AE42" s="43" t="s">
        <v>691</v>
      </c>
      <c r="AL42" s="250"/>
    </row>
    <row r="43" spans="2:38" ht="18.75" customHeight="1" thickTop="1" x14ac:dyDescent="0.2">
      <c r="B43" s="68" t="s">
        <v>226</v>
      </c>
      <c r="C43" s="1033"/>
      <c r="D43" s="1034"/>
      <c r="E43" s="1034"/>
      <c r="F43" s="1034"/>
      <c r="G43" s="1034"/>
      <c r="H43" s="1034"/>
      <c r="I43" s="1034"/>
      <c r="J43" s="1035"/>
      <c r="K43" s="767"/>
      <c r="L43" s="767"/>
      <c r="M43" s="767"/>
      <c r="N43" s="26"/>
      <c r="O43" s="21">
        <v>91</v>
      </c>
      <c r="P43" s="46">
        <v>26</v>
      </c>
      <c r="Q43" s="46">
        <v>57</v>
      </c>
      <c r="R43" s="46">
        <v>57</v>
      </c>
      <c r="S43" s="46">
        <v>53</v>
      </c>
      <c r="T43" s="46">
        <v>39</v>
      </c>
      <c r="U43" s="46">
        <v>20</v>
      </c>
      <c r="V43" s="46">
        <v>46</v>
      </c>
      <c r="W43" s="46">
        <v>34</v>
      </c>
      <c r="X43" s="46">
        <v>18</v>
      </c>
      <c r="Y43" s="46">
        <v>15</v>
      </c>
      <c r="Z43" s="46">
        <v>13</v>
      </c>
      <c r="AA43" s="46">
        <v>11</v>
      </c>
      <c r="AB43" s="46">
        <v>14</v>
      </c>
      <c r="AC43" s="46">
        <v>11</v>
      </c>
      <c r="AD43" s="46">
        <v>44</v>
      </c>
      <c r="AE43" s="46">
        <v>27</v>
      </c>
      <c r="AL43" s="250"/>
    </row>
    <row r="44" spans="2:38" ht="18.75" customHeight="1" x14ac:dyDescent="0.2">
      <c r="B44" s="69" t="s">
        <v>34</v>
      </c>
      <c r="C44" s="124">
        <f>IFERROR(INDEX(阻害要因有無×在院期間区分＿寛解・院内寛解[#All],MATCH($AL45,阻害要因有無×在院期間区分＿寛解・院内寛解[[#All],[行ラベル]],0),MATCH($AM$4,阻害要因有無×在院期間区分＿寛解・院内寛解[#Headers],0)),0)+IFERROR(INDEX(阻害要因有無×在院期間区分＿寛解・院内寛解[#All],MATCH($AL45,阻害要因有無×在院期間区分＿寛解・院内寛解[[#All],[行ラベル]],0),MATCH($AN$4,阻害要因有無×在院期間区分＿寛解・院内寛解[#Headers],0)),0)+IFERROR(INDEX(阻害要因有無×在院期間区分＿寛解・院内寛解[#All],MATCH($AL45,阻害要因有無×在院期間区分＿寛解・院内寛解[[#All],[行ラベル]],0),MATCH($AO$4,阻害要因有無×在院期間区分＿寛解・院内寛解[#Headers],0)),0)+IFERROR(INDEX(阻害要因有無×在院期間区分＿寛解・院内寛解[#All],MATCH($AL45,阻害要因有無×在院期間区分＿寛解・院内寛解[[#All],[行ラベル]],0),MATCH($AP$4,阻害要因有無×在院期間区分＿寛解・院内寛解[#Headers],0)),0)</f>
        <v>193</v>
      </c>
      <c r="D44" s="126">
        <f>IFERROR(C44/C$38,"-")</f>
        <v>0.6819787985865724</v>
      </c>
      <c r="E44" s="124">
        <f>IFERROR(INDEX(阻害要因有無×在院期間区分＿寛解・院内寛解[#All],MATCH($AL45,阻害要因有無×在院期間区分＿寛解・院内寛解[[#All],[行ラベル]],0),MATCH($AQ$4,阻害要因有無×在院期間区分＿寛解・院内寛解[#Headers],0)),0)+IFERROR(INDEX(阻害要因有無×在院期間区分＿寛解・院内寛解[#All],MATCH($AL45,阻害要因有無×在院期間区分＿寛解・院内寛解[[#All],[行ラベル]],0),MATCH($AR$4,阻害要因有無×在院期間区分＿寛解・院内寛解[#Headers],0)),0)+IFERROR(INDEX(阻害要因有無×在院期間区分＿寛解・院内寛解[#All],MATCH($AL45,阻害要因有無×在院期間区分＿寛解・院内寛解[[#All],[行ラベル]],0),MATCH($AS$4,阻害要因有無×在院期間区分＿寛解・院内寛解[#Headers],0)),0)+IFERROR(INDEX(阻害要因有無×在院期間区分＿寛解・院内寛解[#All],MATCH($AL45,阻害要因有無×在院期間区分＿寛解・院内寛解[[#All],[行ラベル]],0),MATCH($AT$4,阻害要因有無×在院期間区分＿寛解・院内寛解[#Headers],0)),0)+IFERROR(INDEX(阻害要因有無×在院期間区分＿寛解・院内寛解[#All],MATCH($AL45,阻害要因有無×在院期間区分＿寛解・院内寛解[[#All],[行ラベル]],0),MATCH($AU$4,阻害要因有無×在院期間区分＿寛解・院内寛解[#Headers],0)),0)</f>
        <v>157</v>
      </c>
      <c r="F44" s="126">
        <f>IFERROR(E44/E$38,"-")</f>
        <v>0.92352941176470593</v>
      </c>
      <c r="G44" s="124">
        <f>IFERROR(INDEX(阻害要因有無×在院期間区分＿寛解・院内寛解[#All],MATCH($AL45,阻害要因有無×在院期間区分＿寛解・院内寛解[[#All],[行ラベル]],0),MATCH($AV$4,阻害要因有無×在院期間区分＿寛解・院内寛解[#Headers],0)),0)+IFERROR(INDEX(阻害要因有無×在院期間区分＿寛解・院内寛解[#All],MATCH($AL45,阻害要因有無×在院期間区分＿寛解・院内寛解[[#All],[行ラベル]],0),MATCH($AW$4,阻害要因有無×在院期間区分＿寛解・院内寛解[#Headers],0)),0)+IFERROR(INDEX(阻害要因有無×在院期間区分＿寛解・院内寛解[#All],MATCH($AL45,阻害要因有無×在院期間区分＿寛解・院内寛解[[#All],[行ラベル]],0),MATCH($AX$4,阻害要因有無×在院期間区分＿寛解・院内寛解[#Headers],0)),0)+IFERROR(INDEX(阻害要因有無×在院期間区分＿寛解・院内寛解[#All],MATCH($AL45,阻害要因有無×在院期間区分＿寛解・院内寛解[[#All],[行ラベル]],0),MATCH($AY$4,阻害要因有無×在院期間区分＿寛解・院内寛解[#Headers],0)),0)+IFERROR(INDEX(阻害要因有無×在院期間区分＿寛解・院内寛解[#All],MATCH($AL45,阻害要因有無×在院期間区分＿寛解・院内寛解[[#All],[行ラベル]],0),MATCH($AZ$4,阻害要因有無×在院期間区分＿寛解・院内寛解[#Headers],0)),0)</f>
        <v>64</v>
      </c>
      <c r="H44" s="126">
        <f>IFERROR(G44/G$38,"-")</f>
        <v>0.92753623188405798</v>
      </c>
      <c r="I44" s="124">
        <f>IFERROR(INDEX(阻害要因有無×在院期間区分＿寛解・院内寛解[#All],MATCH($AL45,阻害要因有無×在院期間区分＿寛解・院内寛解[[#All],[行ラベル]],0),MATCH($BA$4,阻害要因有無×在院期間区分＿寛解・院内寛解[#Headers],0)),0)+IFERROR(INDEX(阻害要因有無×在院期間区分＿寛解・院内寛解[#All],MATCH($AL45,阻害要因有無×在院期間区分＿寛解・院内寛解[[#All],[行ラベル]],0),MATCH($BB$4,阻害要因有無×在院期間区分＿寛解・院内寛解[#Headers],0)),0)</f>
        <v>71</v>
      </c>
      <c r="J44" s="126">
        <f>IFERROR(I44/I$38,"-")</f>
        <v>0.92207792207792205</v>
      </c>
      <c r="K44" s="137"/>
      <c r="L44" s="137"/>
      <c r="M44" s="137"/>
      <c r="N44" s="26">
        <f>SUM(C44,E44,G44,I44)</f>
        <v>485</v>
      </c>
      <c r="O44" s="21">
        <v>90</v>
      </c>
      <c r="P44" s="46">
        <v>26</v>
      </c>
      <c r="Q44" s="46">
        <v>38</v>
      </c>
      <c r="R44" s="46">
        <v>17</v>
      </c>
      <c r="S44" s="46">
        <v>9</v>
      </c>
      <c r="T44" s="46">
        <v>3</v>
      </c>
      <c r="U44" s="46">
        <v>4</v>
      </c>
      <c r="V44" s="46">
        <v>4</v>
      </c>
      <c r="W44" s="46">
        <v>0</v>
      </c>
      <c r="X44" s="46">
        <v>2</v>
      </c>
      <c r="Y44" s="46">
        <v>0</v>
      </c>
      <c r="Z44" s="46">
        <v>2</v>
      </c>
      <c r="AA44" s="46">
        <v>2</v>
      </c>
      <c r="AB44" s="46">
        <v>1</v>
      </c>
      <c r="AC44" s="46">
        <v>0</v>
      </c>
      <c r="AD44" s="46">
        <v>6</v>
      </c>
      <c r="AE44" s="46">
        <v>0</v>
      </c>
      <c r="AL44" s="250"/>
    </row>
    <row r="45" spans="2:38" ht="18.75" customHeight="1" thickBot="1" x14ac:dyDescent="0.25">
      <c r="B45" s="62" t="s">
        <v>35</v>
      </c>
      <c r="C45" s="127">
        <f>IFERROR(INDEX(阻害要因有無×在院期間区分＿寛解・院内寛解[#All],MATCH($AL46,阻害要因有無×在院期間区分＿寛解・院内寛解[[#All],[行ラベル]],0),MATCH($AM$4,阻害要因有無×在院期間区分＿寛解・院内寛解[#Headers],0)),0)+IFERROR(INDEX(阻害要因有無×在院期間区分＿寛解・院内寛解[#All],MATCH($AL46,阻害要因有無×在院期間区分＿寛解・院内寛解[[#All],[行ラベル]],0),MATCH($AN$4,阻害要因有無×在院期間区分＿寛解・院内寛解[#Headers],0)),0)+IFERROR(INDEX(阻害要因有無×在院期間区分＿寛解・院内寛解[#All],MATCH($AL46,阻害要因有無×在院期間区分＿寛解・院内寛解[[#All],[行ラベル]],0),MATCH($AO$4,阻害要因有無×在院期間区分＿寛解・院内寛解[#Headers],0)),0)+IFERROR(INDEX(阻害要因有無×在院期間区分＿寛解・院内寛解[#All],MATCH($AL46,阻害要因有無×在院期間区分＿寛解・院内寛解[[#All],[行ラベル]],0),MATCH($AP$4,阻害要因有無×在院期間区分＿寛解・院内寛解[#Headers],0)),0)</f>
        <v>90</v>
      </c>
      <c r="D45" s="128">
        <f>IFERROR(C45/C$38,"-")</f>
        <v>0.31802120141342755</v>
      </c>
      <c r="E45" s="127">
        <f>IFERROR(INDEX(阻害要因有無×在院期間区分＿寛解・院内寛解[#All],MATCH($AL46,阻害要因有無×在院期間区分＿寛解・院内寛解[[#All],[行ラベル]],0),MATCH($AQ$4,阻害要因有無×在院期間区分＿寛解・院内寛解[#Headers],0)),0)+IFERROR(INDEX(阻害要因有無×在院期間区分＿寛解・院内寛解[#All],MATCH($AL46,阻害要因有無×在院期間区分＿寛解・院内寛解[[#All],[行ラベル]],0),MATCH($AR$4,阻害要因有無×在院期間区分＿寛解・院内寛解[#Headers],0)),0)+IFERROR(INDEX(阻害要因有無×在院期間区分＿寛解・院内寛解[#All],MATCH($AL46,阻害要因有無×在院期間区分＿寛解・院内寛解[[#All],[行ラベル]],0),MATCH($AS$4,阻害要因有無×在院期間区分＿寛解・院内寛解[#Headers],0)),0)+IFERROR(INDEX(阻害要因有無×在院期間区分＿寛解・院内寛解[#All],MATCH($AL46,阻害要因有無×在院期間区分＿寛解・院内寛解[[#All],[行ラベル]],0),MATCH($AT$4,阻害要因有無×在院期間区分＿寛解・院内寛解[#Headers],0)),0)+IFERROR(INDEX(阻害要因有無×在院期間区分＿寛解・院内寛解[#All],MATCH($AL46,阻害要因有無×在院期間区分＿寛解・院内寛解[[#All],[行ラベル]],0),MATCH($AU$4,阻害要因有無×在院期間区分＿寛解・院内寛解[#Headers],0)),0)</f>
        <v>13</v>
      </c>
      <c r="F45" s="128">
        <f>IFERROR(E45/E$38,"-")</f>
        <v>7.6470588235294124E-2</v>
      </c>
      <c r="G45" s="127">
        <f>IFERROR(INDEX(阻害要因有無×在院期間区分＿寛解・院内寛解[#All],MATCH($AL46,阻害要因有無×在院期間区分＿寛解・院内寛解[[#All],[行ラベル]],0),MATCH($AV$4,阻害要因有無×在院期間区分＿寛解・院内寛解[#Headers],0)),0)+IFERROR(INDEX(阻害要因有無×在院期間区分＿寛解・院内寛解[#All],MATCH($AL46,阻害要因有無×在院期間区分＿寛解・院内寛解[[#All],[行ラベル]],0),MATCH($AW$4,阻害要因有無×在院期間区分＿寛解・院内寛解[#Headers],0)),0)+IFERROR(INDEX(阻害要因有無×在院期間区分＿寛解・院内寛解[#All],MATCH($AL46,阻害要因有無×在院期間区分＿寛解・院内寛解[[#All],[行ラベル]],0),MATCH($AX$4,阻害要因有無×在院期間区分＿寛解・院内寛解[#Headers],0)),0)+IFERROR(INDEX(阻害要因有無×在院期間区分＿寛解・院内寛解[#All],MATCH($AL46,阻害要因有無×在院期間区分＿寛解・院内寛解[[#All],[行ラベル]],0),MATCH($AY$4,阻害要因有無×在院期間区分＿寛解・院内寛解[#Headers],0)),0)+IFERROR(INDEX(阻害要因有無×在院期間区分＿寛解・院内寛解[#All],MATCH($AL46,阻害要因有無×在院期間区分＿寛解・院内寛解[[#All],[行ラベル]],0),MATCH($AZ$4,阻害要因有無×在院期間区分＿寛解・院内寛解[#Headers],0)),0)</f>
        <v>5</v>
      </c>
      <c r="H45" s="128">
        <f>IFERROR(G45/G$38,"-")</f>
        <v>7.2463768115942032E-2</v>
      </c>
      <c r="I45" s="127">
        <f>IFERROR(INDEX(阻害要因有無×在院期間区分＿寛解・院内寛解[#All],MATCH($AL46,阻害要因有無×在院期間区分＿寛解・院内寛解[[#All],[行ラベル]],0),MATCH($BA$4,阻害要因有無×在院期間区分＿寛解・院内寛解[#Headers],0)),0)+IFERROR(INDEX(阻害要因有無×在院期間区分＿寛解・院内寛解[#All],MATCH($AL46,阻害要因有無×在院期間区分＿寛解・院内寛解[[#All],[行ラベル]],0),MATCH($BB$4,阻害要因有無×在院期間区分＿寛解・院内寛解[#Headers],0)),0)</f>
        <v>6</v>
      </c>
      <c r="J45" s="128">
        <f>IFERROR(I45/I$38,"-")</f>
        <v>7.792207792207792E-2</v>
      </c>
      <c r="K45" s="745"/>
      <c r="L45" s="745"/>
      <c r="M45" s="745"/>
      <c r="N45" s="26">
        <f>SUM(C45,E45,G45,I45)</f>
        <v>114</v>
      </c>
      <c r="O45" s="21"/>
      <c r="P45" s="46"/>
      <c r="Q45" s="46"/>
      <c r="R45" s="46"/>
      <c r="S45" s="46"/>
      <c r="T45" s="46"/>
      <c r="U45" s="46"/>
      <c r="V45" s="46"/>
      <c r="W45" s="46"/>
      <c r="X45" s="46"/>
      <c r="Y45" s="46"/>
      <c r="Z45" s="46"/>
      <c r="AA45" s="46"/>
      <c r="AB45" s="46"/>
      <c r="AC45" s="46"/>
      <c r="AD45" s="46"/>
      <c r="AE45" s="46"/>
      <c r="AL45" s="250">
        <v>91</v>
      </c>
    </row>
    <row r="46" spans="2:38" ht="18.75" customHeight="1" thickTop="1" thickBot="1" x14ac:dyDescent="0.25">
      <c r="B46" s="70" t="s">
        <v>245</v>
      </c>
      <c r="C46" s="1033"/>
      <c r="D46" s="1034"/>
      <c r="E46" s="1034"/>
      <c r="F46" s="1034"/>
      <c r="G46" s="1034"/>
      <c r="H46" s="1034"/>
      <c r="I46" s="1034"/>
      <c r="J46" s="1035"/>
      <c r="K46" s="767"/>
      <c r="L46" s="767"/>
      <c r="M46" s="767"/>
      <c r="N46" s="26"/>
      <c r="O46" s="761" t="s">
        <v>676</v>
      </c>
      <c r="P46" s="43" t="s">
        <v>677</v>
      </c>
      <c r="Q46" s="43" t="s">
        <v>678</v>
      </c>
      <c r="R46" s="43" t="s">
        <v>679</v>
      </c>
      <c r="S46" s="43" t="s">
        <v>680</v>
      </c>
      <c r="T46" s="43" t="s">
        <v>681</v>
      </c>
      <c r="U46" s="43" t="s">
        <v>682</v>
      </c>
      <c r="V46" s="43" t="s">
        <v>683</v>
      </c>
      <c r="W46" s="43" t="s">
        <v>340</v>
      </c>
      <c r="X46" s="43" t="s">
        <v>684</v>
      </c>
      <c r="Y46" s="43" t="s">
        <v>685</v>
      </c>
      <c r="Z46" s="43" t="s">
        <v>686</v>
      </c>
      <c r="AA46" s="43" t="s">
        <v>687</v>
      </c>
      <c r="AB46" s="43" t="s">
        <v>688</v>
      </c>
      <c r="AC46" s="43" t="s">
        <v>689</v>
      </c>
      <c r="AD46" s="43" t="s">
        <v>690</v>
      </c>
      <c r="AE46" s="43" t="s">
        <v>691</v>
      </c>
      <c r="AL46" s="250">
        <v>90</v>
      </c>
    </row>
    <row r="47" spans="2:38" ht="19.5" customHeight="1" thickTop="1" x14ac:dyDescent="0.2">
      <c r="B47" s="1030" t="s">
        <v>255</v>
      </c>
      <c r="C47" s="1031"/>
      <c r="D47" s="1031"/>
      <c r="E47" s="1031"/>
      <c r="F47" s="1031"/>
      <c r="G47" s="1031"/>
      <c r="H47" s="1031"/>
      <c r="I47" s="1031"/>
      <c r="J47" s="1032"/>
      <c r="K47" s="768"/>
      <c r="L47" s="768"/>
      <c r="M47" s="768"/>
      <c r="N47" s="26">
        <f>SUM(C48,E48,G48,I48)</f>
        <v>129</v>
      </c>
      <c r="O47" s="21" t="s">
        <v>692</v>
      </c>
      <c r="P47" s="49">
        <v>8</v>
      </c>
      <c r="Q47" s="49">
        <v>13</v>
      </c>
      <c r="R47" s="49">
        <v>15</v>
      </c>
      <c r="S47" s="49">
        <v>13</v>
      </c>
      <c r="T47" s="49">
        <v>11</v>
      </c>
      <c r="U47" s="49">
        <v>5</v>
      </c>
      <c r="V47" s="49">
        <v>8</v>
      </c>
      <c r="W47" s="49">
        <v>10</v>
      </c>
      <c r="X47" s="49">
        <v>8</v>
      </c>
      <c r="Y47" s="49">
        <v>4</v>
      </c>
      <c r="Z47" s="49">
        <v>4</v>
      </c>
      <c r="AA47" s="49">
        <v>2</v>
      </c>
      <c r="AB47" s="49">
        <v>4</v>
      </c>
      <c r="AC47" s="49">
        <v>5</v>
      </c>
      <c r="AD47" s="49">
        <v>14</v>
      </c>
      <c r="AE47" s="49">
        <v>5</v>
      </c>
      <c r="AL47" s="250"/>
    </row>
    <row r="48" spans="2:38" ht="37.5" customHeight="1" x14ac:dyDescent="0.2">
      <c r="B48" s="71" t="s">
        <v>221</v>
      </c>
      <c r="C48" s="142">
        <f>IFERROR(INDEX(阻害要因×在院期間区分＿寛解・院内寛解[#All],MATCH($AL49,阻害要因×在院期間区分＿寛解・院内寛解[[#All],[値]],0),MATCH($AM$4,阻害要因×在院期間区分＿寛解・院内寛解[#Headers],0)),0)+IFERROR(INDEX(阻害要因×在院期間区分＿寛解・院内寛解[#All],MATCH($AL49,阻害要因×在院期間区分＿寛解・院内寛解[[#All],[値]],0),MATCH($AN$4,阻害要因×在院期間区分＿寛解・院内寛解[#Headers],0)),0)+IFERROR(INDEX(阻害要因×在院期間区分＿寛解・院内寛解[#All],MATCH($AL49,阻害要因×在院期間区分＿寛解・院内寛解[[#All],[値]],0),MATCH($AO$4,阻害要因×在院期間区分＿寛解・院内寛解[#Headers],0)),0)+IFERROR(INDEX(阻害要因×在院期間区分＿寛解・院内寛解[#All],MATCH($AL49,阻害要因×在院期間区分＿寛解・院内寛解[[#All],[値]],0),MATCH($AP$4,阻害要因×在院期間区分＿寛解・院内寛解[#Headers],0)),0)</f>
        <v>49</v>
      </c>
      <c r="D48" s="143">
        <f t="shared" ref="D48:D64" si="12">IFERROR(C48/C$44,"-")</f>
        <v>0.25388601036269431</v>
      </c>
      <c r="E48" s="142">
        <f>IFERROR(INDEX(阻害要因×在院期間区分＿寛解・院内寛解[#All],MATCH($AL49,阻害要因×在院期間区分＿寛解・院内寛解[[#All],[値]],0),MATCH($AQ$4,阻害要因×在院期間区分＿寛解・院内寛解[#Headers],0)),0)+IFERROR(INDEX(阻害要因×在院期間区分＿寛解・院内寛解[#All],MATCH($AL49,阻害要因×在院期間区分＿寛解・院内寛解[[#All],[値]],0),MATCH($AR$4,阻害要因×在院期間区分＿寛解・院内寛解[#Headers],0)),0)+IFERROR(INDEX(阻害要因×在院期間区分＿寛解・院内寛解[#All],MATCH($AL49,阻害要因×在院期間区分＿寛解・院内寛解[[#All],[値]],0),MATCH($AS$4,阻害要因×在院期間区分＿寛解・院内寛解[#Headers],0)),0)+IFERROR(INDEX(阻害要因×在院期間区分＿寛解・院内寛解[#All],MATCH($AL49,阻害要因×在院期間区分＿寛解・院内寛解[[#All],[値]],0),MATCH($AT$4,阻害要因×在院期間区分＿寛解・院内寛解[#Headers],0)),0)+IFERROR(INDEX(阻害要因×在院期間区分＿寛解・院内寛解[#All],MATCH($AL49,阻害要因×在院期間区分＿寛解・院内寛解[[#All],[値]],0),MATCH($AU$4,阻害要因×在院期間区分＿寛解・院内寛解[#Headers],0)),0)</f>
        <v>42</v>
      </c>
      <c r="F48" s="143">
        <f t="shared" ref="F48:F64" si="13">IFERROR(E48/E$44,"-")</f>
        <v>0.26751592356687898</v>
      </c>
      <c r="G48" s="142">
        <f>IFERROR(INDEX(阻害要因×在院期間区分＿寛解・院内寛解[#All],MATCH($AL49,阻害要因×在院期間区分＿寛解・院内寛解[[#All],[値]],0),MATCH($AV$4,阻害要因×在院期間区分＿寛解・院内寛解[#Headers],0)),0)+IFERROR(INDEX(阻害要因×在院期間区分＿寛解・院内寛解[#All],MATCH($AL49,阻害要因×在院期間区分＿寛解・院内寛解[[#All],[値]],0),MATCH($AW$4,阻害要因×在院期間区分＿寛解・院内寛解[#Headers],0)),0)+IFERROR(INDEX(阻害要因×在院期間区分＿寛解・院内寛解[#All],MATCH($AL49,阻害要因×在院期間区分＿寛解・院内寛解[[#All],[値]],0),MATCH($AX$4,阻害要因×在院期間区分＿寛解・院内寛解[#Headers],0)),0)+IFERROR(INDEX(阻害要因×在院期間区分＿寛解・院内寛解[#All],MATCH($AL49,阻害要因×在院期間区分＿寛解・院内寛解[[#All],[値]],0),MATCH($AY$4,阻害要因×在院期間区分＿寛解・院内寛解[#Headers],0)),0)+IFERROR(INDEX(阻害要因×在院期間区分＿寛解・院内寛解[#All],MATCH($AL49,阻害要因×在院期間区分＿寛解・院内寛解[[#All],[値]],0),MATCH($AZ$4,阻害要因×在院期間区分＿寛解・院内寛解[#Headers],0)),0)</f>
        <v>19</v>
      </c>
      <c r="H48" s="143">
        <f t="shared" ref="H48:H64" si="14">IFERROR(G48/G$44,"-")</f>
        <v>0.296875</v>
      </c>
      <c r="I48" s="142">
        <f>IFERROR(INDEX(阻害要因×在院期間区分＿寛解・院内寛解[#All],MATCH($AL49,阻害要因×在院期間区分＿寛解・院内寛解[[#All],[値]],0),MATCH($BA$4,阻害要因×在院期間区分＿寛解・院内寛解[#Headers],0)),0)+IFERROR(INDEX(阻害要因×在院期間区分＿寛解・院内寛解[#All],MATCH($AL49,阻害要因×在院期間区分＿寛解・院内寛解[[#All],[値]],0),MATCH($BB$4,阻害要因×在院期間区分＿寛解・院内寛解[#Headers],0)),0)</f>
        <v>19</v>
      </c>
      <c r="J48" s="143">
        <f t="shared" ref="J48:J64" si="15">IFERROR(I48/I$44,"-")</f>
        <v>0.26760563380281688</v>
      </c>
      <c r="K48" s="745"/>
      <c r="L48" s="745"/>
      <c r="M48" s="745"/>
      <c r="N48" s="26">
        <f>SUM(C48,E48,G48,I48)</f>
        <v>129</v>
      </c>
      <c r="O48" s="43" t="s">
        <v>693</v>
      </c>
      <c r="P48" s="49">
        <v>2</v>
      </c>
      <c r="Q48" s="49">
        <v>10</v>
      </c>
      <c r="R48" s="49">
        <v>10</v>
      </c>
      <c r="S48" s="49">
        <v>12</v>
      </c>
      <c r="T48" s="49">
        <v>5</v>
      </c>
      <c r="U48" s="49">
        <v>1</v>
      </c>
      <c r="V48" s="49">
        <v>7</v>
      </c>
      <c r="W48" s="49">
        <v>8</v>
      </c>
      <c r="X48" s="49">
        <v>4</v>
      </c>
      <c r="Y48" s="49">
        <v>2</v>
      </c>
      <c r="Z48" s="49">
        <v>3</v>
      </c>
      <c r="AA48" s="49">
        <v>3</v>
      </c>
      <c r="AB48" s="49">
        <v>2</v>
      </c>
      <c r="AC48" s="49">
        <v>2</v>
      </c>
      <c r="AD48" s="49">
        <v>9</v>
      </c>
      <c r="AE48" s="49">
        <v>3</v>
      </c>
      <c r="AL48" s="250"/>
    </row>
    <row r="49" spans="2:38" ht="18.75" customHeight="1" x14ac:dyDescent="0.2">
      <c r="B49" s="72" t="s">
        <v>65</v>
      </c>
      <c r="C49" s="127">
        <f>IFERROR(INDEX(阻害要因×在院期間区分＿寛解・院内寛解[#All],MATCH($AL50,阻害要因×在院期間区分＿寛解・院内寛解[[#All],[値]],0),MATCH($AM$4,阻害要因×在院期間区分＿寛解・院内寛解[#Headers],0)),0)+IFERROR(INDEX(阻害要因×在院期間区分＿寛解・院内寛解[#All],MATCH($AL50,阻害要因×在院期間区分＿寛解・院内寛解[[#All],[値]],0),MATCH($AN$4,阻害要因×在院期間区分＿寛解・院内寛解[#Headers],0)),0)+IFERROR(INDEX(阻害要因×在院期間区分＿寛解・院内寛解[#All],MATCH($AL50,阻害要因×在院期間区分＿寛解・院内寛解[[#All],[値]],0),MATCH($AO$4,阻害要因×在院期間区分＿寛解・院内寛解[#Headers],0)),0)+IFERROR(INDEX(阻害要因×在院期間区分＿寛解・院内寛解[#All],MATCH($AL50,阻害要因×在院期間区分＿寛解・院内寛解[[#All],[値]],0),MATCH($AP$4,阻害要因×在院期間区分＿寛解・院内寛解[#Headers],0)),0)</f>
        <v>34</v>
      </c>
      <c r="D49" s="144">
        <f t="shared" si="12"/>
        <v>0.17616580310880828</v>
      </c>
      <c r="E49" s="127">
        <f>IFERROR(INDEX(阻害要因×在院期間区分＿寛解・院内寛解[#All],MATCH($AL50,阻害要因×在院期間区分＿寛解・院内寛解[[#All],[値]],0),MATCH($AQ$4,阻害要因×在院期間区分＿寛解・院内寛解[#Headers],0)),0)+IFERROR(INDEX(阻害要因×在院期間区分＿寛解・院内寛解[#All],MATCH($AL50,阻害要因×在院期間区分＿寛解・院内寛解[[#All],[値]],0),MATCH($AR$4,阻害要因×在院期間区分＿寛解・院内寛解[#Headers],0)),0)+IFERROR(INDEX(阻害要因×在院期間区分＿寛解・院内寛解[#All],MATCH($AL50,阻害要因×在院期間区分＿寛解・院内寛解[[#All],[値]],0),MATCH($AS$4,阻害要因×在院期間区分＿寛解・院内寛解[#Headers],0)),0)+IFERROR(INDEX(阻害要因×在院期間区分＿寛解・院内寛解[#All],MATCH($AL50,阻害要因×在院期間区分＿寛解・院内寛解[[#All],[値]],0),MATCH($AT$4,阻害要因×在院期間区分＿寛解・院内寛解[#Headers],0)),0)+IFERROR(INDEX(阻害要因×在院期間区分＿寛解・院内寛解[#All],MATCH($AL50,阻害要因×在院期間区分＿寛解・院内寛解[[#All],[値]],0),MATCH($AU$4,阻害要因×在院期間区分＿寛解・院内寛解[#Headers],0)),0)</f>
        <v>25</v>
      </c>
      <c r="F49" s="144">
        <f t="shared" si="13"/>
        <v>0.15923566878980891</v>
      </c>
      <c r="G49" s="127">
        <f>IFERROR(INDEX(阻害要因×在院期間区分＿寛解・院内寛解[#All],MATCH($AL50,阻害要因×在院期間区分＿寛解・院内寛解[[#All],[値]],0),MATCH($AV$4,阻害要因×在院期間区分＿寛解・院内寛解[#Headers],0)),0)+IFERROR(INDEX(阻害要因×在院期間区分＿寛解・院内寛解[#All],MATCH($AL50,阻害要因×在院期間区分＿寛解・院内寛解[[#All],[値]],0),MATCH($AW$4,阻害要因×在院期間区分＿寛解・院内寛解[#Headers],0)),0)+IFERROR(INDEX(阻害要因×在院期間区分＿寛解・院内寛解[#All],MATCH($AL50,阻害要因×在院期間区分＿寛解・院内寛解[[#All],[値]],0),MATCH($AX$4,阻害要因×在院期間区分＿寛解・院内寛解[#Headers],0)),0)+IFERROR(INDEX(阻害要因×在院期間区分＿寛解・院内寛解[#All],MATCH($AL50,阻害要因×在院期間区分＿寛解・院内寛解[[#All],[値]],0),MATCH($AY$4,阻害要因×在院期間区分＿寛解・院内寛解[#Headers],0)),0)+IFERROR(INDEX(阻害要因×在院期間区分＿寛解・院内寛解[#All],MATCH($AL50,阻害要因×在院期間区分＿寛解・院内寛解[[#All],[値]],0),MATCH($AZ$4,阻害要因×在院期間区分＿寛解・院内寛解[#Headers],0)),0)</f>
        <v>12</v>
      </c>
      <c r="H49" s="144">
        <f t="shared" si="14"/>
        <v>0.1875</v>
      </c>
      <c r="I49" s="127">
        <f>IFERROR(INDEX(阻害要因×在院期間区分＿寛解・院内寛解[#All],MATCH($AL50,阻害要因×在院期間区分＿寛解・院内寛解[[#All],[値]],0),MATCH($BA$4,阻害要因×在院期間区分＿寛解・院内寛解[#Headers],0)),0)+IFERROR(INDEX(阻害要因×在院期間区分＿寛解・院内寛解[#All],MATCH($AL50,阻害要因×在院期間区分＿寛解・院内寛解[[#All],[値]],0),MATCH($BB$4,阻害要因×在院期間区分＿寛解・院内寛解[#Headers],0)),0)</f>
        <v>12</v>
      </c>
      <c r="J49" s="144">
        <f t="shared" si="15"/>
        <v>0.16901408450704225</v>
      </c>
      <c r="K49" s="745"/>
      <c r="L49" s="745"/>
      <c r="M49" s="745"/>
      <c r="N49" s="26">
        <f t="shared" ref="N49:N67" si="16">SUM(C49,E49,G49,I49)</f>
        <v>83</v>
      </c>
      <c r="O49" s="43" t="s">
        <v>694</v>
      </c>
      <c r="P49" s="49">
        <v>1</v>
      </c>
      <c r="Q49" s="49">
        <v>3</v>
      </c>
      <c r="R49" s="49">
        <v>3</v>
      </c>
      <c r="S49" s="49">
        <v>1</v>
      </c>
      <c r="T49" s="49">
        <v>0</v>
      </c>
      <c r="U49" s="49">
        <v>0</v>
      </c>
      <c r="V49" s="49">
        <v>2</v>
      </c>
      <c r="W49" s="49">
        <v>1</v>
      </c>
      <c r="X49" s="49">
        <v>0</v>
      </c>
      <c r="Y49" s="49">
        <v>0</v>
      </c>
      <c r="Z49" s="49">
        <v>0</v>
      </c>
      <c r="AA49" s="49">
        <v>0</v>
      </c>
      <c r="AB49" s="49">
        <v>0</v>
      </c>
      <c r="AC49" s="49">
        <v>0</v>
      </c>
      <c r="AD49" s="49">
        <v>1</v>
      </c>
      <c r="AE49" s="49">
        <v>0</v>
      </c>
      <c r="AL49" s="250" t="s">
        <v>286</v>
      </c>
    </row>
    <row r="50" spans="2:38" ht="18.75" customHeight="1" x14ac:dyDescent="0.2">
      <c r="B50" s="72" t="s">
        <v>37</v>
      </c>
      <c r="C50" s="606">
        <f>IFERROR(INDEX(阻害要因×在院期間区分＿寛解・院内寛解[#All],MATCH($AL51,阻害要因×在院期間区分＿寛解・院内寛解[[#All],[値]],0),MATCH($AM$4,阻害要因×在院期間区分＿寛解・院内寛解[#Headers],0)),0)+IFERROR(INDEX(阻害要因×在院期間区分＿寛解・院内寛解[#All],MATCH($AL51,阻害要因×在院期間区分＿寛解・院内寛解[[#All],[値]],0),MATCH($AN$4,阻害要因×在院期間区分＿寛解・院内寛解[#Headers],0)),0)+IFERROR(INDEX(阻害要因×在院期間区分＿寛解・院内寛解[#All],MATCH($AL51,阻害要因×在院期間区分＿寛解・院内寛解[[#All],[値]],0),MATCH($AO$4,阻害要因×在院期間区分＿寛解・院内寛解[#Headers],0)),0)+IFERROR(INDEX(阻害要因×在院期間区分＿寛解・院内寛解[#All],MATCH($AL51,阻害要因×在院期間区分＿寛解・院内寛解[[#All],[値]],0),MATCH($AP$4,阻害要因×在院期間区分＿寛解・院内寛解[#Headers],0)),0)</f>
        <v>8</v>
      </c>
      <c r="D50" s="144">
        <f t="shared" si="12"/>
        <v>4.145077720207254E-2</v>
      </c>
      <c r="E50" s="151">
        <f>IFERROR(INDEX(阻害要因×在院期間区分＿寛解・院内寛解[#All],MATCH($AL51,阻害要因×在院期間区分＿寛解・院内寛解[[#All],[値]],0),MATCH($AQ$4,阻害要因×在院期間区分＿寛解・院内寛解[#Headers],0)),0)+IFERROR(INDEX(阻害要因×在院期間区分＿寛解・院内寛解[#All],MATCH($AL51,阻害要因×在院期間区分＿寛解・院内寛解[[#All],[値]],0),MATCH($AR$4,阻害要因×在院期間区分＿寛解・院内寛解[#Headers],0)),0)+IFERROR(INDEX(阻害要因×在院期間区分＿寛解・院内寛解[#All],MATCH($AL51,阻害要因×在院期間区分＿寛解・院内寛解[[#All],[値]],0),MATCH($AS$4,阻害要因×在院期間区分＿寛解・院内寛解[#Headers],0)),0)+IFERROR(INDEX(阻害要因×在院期間区分＿寛解・院内寛解[#All],MATCH($AL51,阻害要因×在院期間区分＿寛解・院内寛解[[#All],[値]],0),MATCH($AT$4,阻害要因×在院期間区分＿寛解・院内寛解[#Headers],0)),0)+IFERROR(INDEX(阻害要因×在院期間区分＿寛解・院内寛解[#All],MATCH($AL51,阻害要因×在院期間区分＿寛解・院内寛解[[#All],[値]],0),MATCH($AU$4,阻害要因×在院期間区分＿寛解・院内寛解[#Headers],0)),0)</f>
        <v>3</v>
      </c>
      <c r="F50" s="144">
        <f t="shared" si="13"/>
        <v>1.9108280254777069E-2</v>
      </c>
      <c r="G50" s="151">
        <f>IFERROR(INDEX(阻害要因×在院期間区分＿寛解・院内寛解[#All],MATCH($AL51,阻害要因×在院期間区分＿寛解・院内寛解[[#All],[値]],0),MATCH($AV$4,阻害要因×在院期間区分＿寛解・院内寛解[#Headers],0)),0)+IFERROR(INDEX(阻害要因×在院期間区分＿寛解・院内寛解[#All],MATCH($AL51,阻害要因×在院期間区分＿寛解・院内寛解[[#All],[値]],0),MATCH($AW$4,阻害要因×在院期間区分＿寛解・院内寛解[#Headers],0)),0)+IFERROR(INDEX(阻害要因×在院期間区分＿寛解・院内寛解[#All],MATCH($AL51,阻害要因×在院期間区分＿寛解・院内寛解[[#All],[値]],0),MATCH($AX$4,阻害要因×在院期間区分＿寛解・院内寛解[#Headers],0)),0)+IFERROR(INDEX(阻害要因×在院期間区分＿寛解・院内寛解[#All],MATCH($AL51,阻害要因×在院期間区分＿寛解・院内寛解[[#All],[値]],0),MATCH($AY$4,阻害要因×在院期間区分＿寛解・院内寛解[#Headers],0)),0)+IFERROR(INDEX(阻害要因×在院期間区分＿寛解・院内寛解[#All],MATCH($AL51,阻害要因×在院期間区分＿寛解・院内寛解[[#All],[値]],0),MATCH($AZ$4,阻害要因×在院期間区分＿寛解・院内寛解[#Headers],0)),0)</f>
        <v>0</v>
      </c>
      <c r="H50" s="144">
        <f t="shared" si="14"/>
        <v>0</v>
      </c>
      <c r="I50" s="151">
        <f>IFERROR(INDEX(阻害要因×在院期間区分＿寛解・院内寛解[#All],MATCH($AL51,阻害要因×在院期間区分＿寛解・院内寛解[[#All],[値]],0),MATCH($BA$4,阻害要因×在院期間区分＿寛解・院内寛解[#Headers],0)),0)+IFERROR(INDEX(阻害要因×在院期間区分＿寛解・院内寛解[#All],MATCH($AL51,阻害要因×在院期間区分＿寛解・院内寛解[[#All],[値]],0),MATCH($BB$4,阻害要因×在院期間区分＿寛解・院内寛解[#Headers],0)),0)</f>
        <v>1</v>
      </c>
      <c r="J50" s="144">
        <f t="shared" si="15"/>
        <v>1.4084507042253521E-2</v>
      </c>
      <c r="K50" s="745"/>
      <c r="L50" s="745"/>
      <c r="M50" s="745"/>
      <c r="N50" s="26">
        <f t="shared" si="16"/>
        <v>12</v>
      </c>
      <c r="O50" s="43" t="s">
        <v>695</v>
      </c>
      <c r="P50" s="49">
        <v>3</v>
      </c>
      <c r="Q50" s="49">
        <v>8</v>
      </c>
      <c r="R50" s="49">
        <v>8</v>
      </c>
      <c r="S50" s="49">
        <v>11</v>
      </c>
      <c r="T50" s="49">
        <v>16</v>
      </c>
      <c r="U50" s="49">
        <v>9</v>
      </c>
      <c r="V50" s="49">
        <v>20</v>
      </c>
      <c r="W50" s="49">
        <v>17</v>
      </c>
      <c r="X50" s="49">
        <v>5</v>
      </c>
      <c r="Y50" s="49">
        <v>9</v>
      </c>
      <c r="Z50" s="49">
        <v>11</v>
      </c>
      <c r="AA50" s="49">
        <v>3</v>
      </c>
      <c r="AB50" s="49">
        <v>9</v>
      </c>
      <c r="AC50" s="49">
        <v>8</v>
      </c>
      <c r="AD50" s="49">
        <v>25</v>
      </c>
      <c r="AE50" s="49">
        <v>17</v>
      </c>
      <c r="AL50" s="250" t="s">
        <v>287</v>
      </c>
    </row>
    <row r="51" spans="2:38" ht="18.75" customHeight="1" x14ac:dyDescent="0.2">
      <c r="B51" s="72" t="s">
        <v>38</v>
      </c>
      <c r="C51" s="601">
        <f>IFERROR(INDEX(阻害要因×在院期間区分＿寛解・院内寛解[#All],MATCH($AL52,阻害要因×在院期間区分＿寛解・院内寛解[[#All],[値]],0),MATCH($AM$4,阻害要因×在院期間区分＿寛解・院内寛解[#Headers],0)),0)+IFERROR(INDEX(阻害要因×在院期間区分＿寛解・院内寛解[#All],MATCH($AL52,阻害要因×在院期間区分＿寛解・院内寛解[[#All],[値]],0),MATCH($AN$4,阻害要因×在院期間区分＿寛解・院内寛解[#Headers],0)),0)+IFERROR(INDEX(阻害要因×在院期間区分＿寛解・院内寛解[#All],MATCH($AL52,阻害要因×在院期間区分＿寛解・院内寛解[[#All],[値]],0),MATCH($AO$4,阻害要因×在院期間区分＿寛解・院内寛解[#Headers],0)),0)+IFERROR(INDEX(阻害要因×在院期間区分＿寛解・院内寛解[#All],MATCH($AL52,阻害要因×在院期間区分＿寛解・院内寛解[[#All],[値]],0),MATCH($AP$4,阻害要因×在院期間区分＿寛解・院内寛解[#Headers],0)),0)</f>
        <v>30</v>
      </c>
      <c r="D51" s="144">
        <f t="shared" si="12"/>
        <v>0.15544041450777202</v>
      </c>
      <c r="E51" s="127">
        <f>IFERROR(INDEX(阻害要因×在院期間区分＿寛解・院内寛解[#All],MATCH($AL52,阻害要因×在院期間区分＿寛解・院内寛解[[#All],[値]],0),MATCH($AQ$4,阻害要因×在院期間区分＿寛解・院内寛解[#Headers],0)),0)+IFERROR(INDEX(阻害要因×在院期間区分＿寛解・院内寛解[#All],MATCH($AL52,阻害要因×在院期間区分＿寛解・院内寛解[[#All],[値]],0),MATCH($AR$4,阻害要因×在院期間区分＿寛解・院内寛解[#Headers],0)),0)+IFERROR(INDEX(阻害要因×在院期間区分＿寛解・院内寛解[#All],MATCH($AL52,阻害要因×在院期間区分＿寛解・院内寛解[[#All],[値]],0),MATCH($AS$4,阻害要因×在院期間区分＿寛解・院内寛解[#Headers],0)),0)+IFERROR(INDEX(阻害要因×在院期間区分＿寛解・院内寛解[#All],MATCH($AL52,阻害要因×在院期間区分＿寛解・院内寛解[[#All],[値]],0),MATCH($AT$4,阻害要因×在院期間区分＿寛解・院内寛解[#Headers],0)),0)+IFERROR(INDEX(阻害要因×在院期間区分＿寛解・院内寛解[#All],MATCH($AL52,阻害要因×在院期間区分＿寛解・院内寛解[[#All],[値]],0),MATCH($AU$4,阻害要因×在院期間区分＿寛解・院内寛解[#Headers],0)),0)</f>
        <v>67</v>
      </c>
      <c r="F51" s="144">
        <f t="shared" si="13"/>
        <v>0.42675159235668791</v>
      </c>
      <c r="G51" s="127">
        <f>IFERROR(INDEX(阻害要因×在院期間区分＿寛解・院内寛解[#All],MATCH($AL52,阻害要因×在院期間区分＿寛解・院内寛解[[#All],[値]],0),MATCH($AV$4,阻害要因×在院期間区分＿寛解・院内寛解[#Headers],0)),0)+IFERROR(INDEX(阻害要因×在院期間区分＿寛解・院内寛解[#All],MATCH($AL52,阻害要因×在院期間区分＿寛解・院内寛解[[#All],[値]],0),MATCH($AW$4,阻害要因×在院期間区分＿寛解・院内寛解[#Headers],0)),0)+IFERROR(INDEX(阻害要因×在院期間区分＿寛解・院内寛解[#All],MATCH($AL52,阻害要因×在院期間区分＿寛解・院内寛解[[#All],[値]],0),MATCH($AX$4,阻害要因×在院期間区分＿寛解・院内寛解[#Headers],0)),0)+IFERROR(INDEX(阻害要因×在院期間区分＿寛解・院内寛解[#All],MATCH($AL52,阻害要因×在院期間区分＿寛解・院内寛解[[#All],[値]],0),MATCH($AY$4,阻害要因×在院期間区分＿寛解・院内寛解[#Headers],0)),0)+IFERROR(INDEX(阻害要因×在院期間区分＿寛解・院内寛解[#All],MATCH($AL52,阻害要因×在院期間区分＿寛解・院内寛解[[#All],[値]],0),MATCH($AZ$4,阻害要因×在院期間区分＿寛解・院内寛解[#Headers],0)),0)</f>
        <v>40</v>
      </c>
      <c r="H51" s="144">
        <f t="shared" si="14"/>
        <v>0.625</v>
      </c>
      <c r="I51" s="127">
        <f>IFERROR(INDEX(阻害要因×在院期間区分＿寛解・院内寛解[#All],MATCH($AL52,阻害要因×在院期間区分＿寛解・院内寛解[[#All],[値]],0),MATCH($BA$4,阻害要因×在院期間区分＿寛解・院内寛解[#Headers],0)),0)+IFERROR(INDEX(阻害要因×在院期間区分＿寛解・院内寛解[#All],MATCH($AL52,阻害要因×在院期間区分＿寛解・院内寛解[[#All],[値]],0),MATCH($BB$4,阻害要因×在院期間区分＿寛解・院内寛解[#Headers],0)),0)</f>
        <v>42</v>
      </c>
      <c r="J51" s="144">
        <f t="shared" si="15"/>
        <v>0.59154929577464788</v>
      </c>
      <c r="K51" s="745"/>
      <c r="L51" s="745"/>
      <c r="M51" s="745"/>
      <c r="N51" s="26">
        <f t="shared" si="16"/>
        <v>179</v>
      </c>
      <c r="O51" s="43" t="s">
        <v>696</v>
      </c>
      <c r="P51" s="49">
        <v>2</v>
      </c>
      <c r="Q51" s="49">
        <v>12</v>
      </c>
      <c r="R51" s="49">
        <v>12</v>
      </c>
      <c r="S51" s="49">
        <v>11</v>
      </c>
      <c r="T51" s="49">
        <v>15</v>
      </c>
      <c r="U51" s="49">
        <v>4</v>
      </c>
      <c r="V51" s="49">
        <v>8</v>
      </c>
      <c r="W51" s="49">
        <v>12</v>
      </c>
      <c r="X51" s="49">
        <v>4</v>
      </c>
      <c r="Y51" s="49">
        <v>6</v>
      </c>
      <c r="Z51" s="49">
        <v>5</v>
      </c>
      <c r="AA51" s="49">
        <v>2</v>
      </c>
      <c r="AB51" s="49">
        <v>7</v>
      </c>
      <c r="AC51" s="49">
        <v>5</v>
      </c>
      <c r="AD51" s="49">
        <v>20</v>
      </c>
      <c r="AE51" s="49">
        <v>8</v>
      </c>
      <c r="AL51" s="250" t="s">
        <v>154</v>
      </c>
    </row>
    <row r="52" spans="2:38" ht="18.75" customHeight="1" x14ac:dyDescent="0.2">
      <c r="B52" s="72" t="s">
        <v>39</v>
      </c>
      <c r="C52" s="611">
        <f>IFERROR(INDEX(阻害要因×在院期間区分＿寛解・院内寛解[#All],MATCH($AL53,阻害要因×在院期間区分＿寛解・院内寛解[[#All],[値]],0),MATCH($AM$4,阻害要因×在院期間区分＿寛解・院内寛解[#Headers],0)),0)+IFERROR(INDEX(阻害要因×在院期間区分＿寛解・院内寛解[#All],MATCH($AL53,阻害要因×在院期間区分＿寛解・院内寛解[[#All],[値]],0),MATCH($AN$4,阻害要因×在院期間区分＿寛解・院内寛解[#Headers],0)),0)+IFERROR(INDEX(阻害要因×在院期間区分＿寛解・院内寛解[#All],MATCH($AL53,阻害要因×在院期間区分＿寛解・院内寛解[[#All],[値]],0),MATCH($AO$4,阻害要因×在院期間区分＿寛解・院内寛解[#Headers],0)),0)+IFERROR(INDEX(阻害要因×在院期間区分＿寛解・院内寛解[#All],MATCH($AL53,阻害要因×在院期間区分＿寛解・院内寛解[[#All],[値]],0),MATCH($AP$4,阻害要因×在院期間区分＿寛解・院内寛解[#Headers],0)),0)</f>
        <v>37</v>
      </c>
      <c r="D52" s="144">
        <f t="shared" si="12"/>
        <v>0.19170984455958548</v>
      </c>
      <c r="E52" s="127">
        <f>IFERROR(INDEX(阻害要因×在院期間区分＿寛解・院内寛解[#All],MATCH($AL53,阻害要因×在院期間区分＿寛解・院内寛解[[#All],[値]],0),MATCH($AQ$4,阻害要因×在院期間区分＿寛解・院内寛解[#Headers],0)),0)+IFERROR(INDEX(阻害要因×在院期間区分＿寛解・院内寛解[#All],MATCH($AL53,阻害要因×在院期間区分＿寛解・院内寛解[[#All],[値]],0),MATCH($AR$4,阻害要因×在院期間区分＿寛解・院内寛解[#Headers],0)),0)+IFERROR(INDEX(阻害要因×在院期間区分＿寛解・院内寛解[#All],MATCH($AL53,阻害要因×在院期間区分＿寛解・院内寛解[[#All],[値]],0),MATCH($AS$4,阻害要因×在院期間区分＿寛解・院内寛解[#Headers],0)),0)+IFERROR(INDEX(阻害要因×在院期間区分＿寛解・院内寛解[#All],MATCH($AL53,阻害要因×在院期間区分＿寛解・院内寛解[[#All],[値]],0),MATCH($AT$4,阻害要因×在院期間区分＿寛解・院内寛解[#Headers],0)),0)+IFERROR(INDEX(阻害要因×在院期間区分＿寛解・院内寛解[#All],MATCH($AL53,阻害要因×在院期間区分＿寛解・院内寛解[[#All],[値]],0),MATCH($AU$4,阻害要因×在院期間区分＿寛解・院内寛解[#Headers],0)),0)</f>
        <v>43</v>
      </c>
      <c r="F52" s="144">
        <f t="shared" si="13"/>
        <v>0.27388535031847133</v>
      </c>
      <c r="G52" s="127">
        <f>IFERROR(INDEX(阻害要因×在院期間区分＿寛解・院内寛解[#All],MATCH($AL53,阻害要因×在院期間区分＿寛解・院内寛解[[#All],[値]],0),MATCH($AV$4,阻害要因×在院期間区分＿寛解・院内寛解[#Headers],0)),0)+IFERROR(INDEX(阻害要因×在院期間区分＿寛解・院内寛解[#All],MATCH($AL53,阻害要因×在院期間区分＿寛解・院内寛解[[#All],[値]],0),MATCH($AW$4,阻害要因×在院期間区分＿寛解・院内寛解[#Headers],0)),0)+IFERROR(INDEX(阻害要因×在院期間区分＿寛解・院内寛解[#All],MATCH($AL53,阻害要因×在院期間区分＿寛解・院内寛解[[#All],[値]],0),MATCH($AX$4,阻害要因×在院期間区分＿寛解・院内寛解[#Headers],0)),0)+IFERROR(INDEX(阻害要因×在院期間区分＿寛解・院内寛解[#All],MATCH($AL53,阻害要因×在院期間区分＿寛解・院内寛解[[#All],[値]],0),MATCH($AY$4,阻害要因×在院期間区分＿寛解・院内寛解[#Headers],0)),0)+IFERROR(INDEX(阻害要因×在院期間区分＿寛解・院内寛解[#All],MATCH($AL53,阻害要因×在院期間区分＿寛解・院内寛解[[#All],[値]],0),MATCH($AZ$4,阻害要因×在院期間区分＿寛解・院内寛解[#Headers],0)),0)</f>
        <v>25</v>
      </c>
      <c r="H52" s="144">
        <f t="shared" si="14"/>
        <v>0.390625</v>
      </c>
      <c r="I52" s="127">
        <f>IFERROR(INDEX(阻害要因×在院期間区分＿寛解・院内寛解[#All],MATCH($AL53,阻害要因×在院期間区分＿寛解・院内寛解[[#All],[値]],0),MATCH($BA$4,阻害要因×在院期間区分＿寛解・院内寛解[#Headers],0)),0)+IFERROR(INDEX(阻害要因×在院期間区分＿寛解・院内寛解[#All],MATCH($AL53,阻害要因×在院期間区分＿寛解・院内寛解[[#All],[値]],0),MATCH($BB$4,阻害要因×在院期間区分＿寛解・院内寛解[#Headers],0)),0)</f>
        <v>28</v>
      </c>
      <c r="J52" s="144">
        <f t="shared" si="15"/>
        <v>0.39436619718309857</v>
      </c>
      <c r="K52" s="745"/>
      <c r="L52" s="745"/>
      <c r="M52" s="745"/>
      <c r="N52" s="26">
        <f t="shared" si="16"/>
        <v>133</v>
      </c>
      <c r="O52" s="43" t="s">
        <v>697</v>
      </c>
      <c r="P52" s="49">
        <v>4</v>
      </c>
      <c r="Q52" s="49">
        <v>10</v>
      </c>
      <c r="R52" s="49">
        <v>7</v>
      </c>
      <c r="S52" s="49">
        <v>14</v>
      </c>
      <c r="T52" s="49">
        <v>11</v>
      </c>
      <c r="U52" s="49">
        <v>8</v>
      </c>
      <c r="V52" s="49">
        <v>15</v>
      </c>
      <c r="W52" s="49">
        <v>13</v>
      </c>
      <c r="X52" s="49">
        <v>3</v>
      </c>
      <c r="Y52" s="49">
        <v>4</v>
      </c>
      <c r="Z52" s="49">
        <v>4</v>
      </c>
      <c r="AA52" s="49">
        <v>3</v>
      </c>
      <c r="AB52" s="49">
        <v>5</v>
      </c>
      <c r="AC52" s="49">
        <v>5</v>
      </c>
      <c r="AD52" s="49">
        <v>17</v>
      </c>
      <c r="AE52" s="49">
        <v>11</v>
      </c>
      <c r="AL52" s="250" t="s">
        <v>155</v>
      </c>
    </row>
    <row r="53" spans="2:38" ht="18.75" customHeight="1" x14ac:dyDescent="0.2">
      <c r="B53" s="72" t="s">
        <v>40</v>
      </c>
      <c r="C53" s="612">
        <f>IFERROR(INDEX(阻害要因×在院期間区分＿寛解・院内寛解[#All],MATCH($AL54,阻害要因×在院期間区分＿寛解・院内寛解[[#All],[値]],0),MATCH($AM$4,阻害要因×在院期間区分＿寛解・院内寛解[#Headers],0)),0)+IFERROR(INDEX(阻害要因×在院期間区分＿寛解・院内寛解[#All],MATCH($AL54,阻害要因×在院期間区分＿寛解・院内寛解[[#All],[値]],0),MATCH($AN$4,阻害要因×在院期間区分＿寛解・院内寛解[#Headers],0)),0)+IFERROR(INDEX(阻害要因×在院期間区分＿寛解・院内寛解[#All],MATCH($AL54,阻害要因×在院期間区分＿寛解・院内寛解[[#All],[値]],0),MATCH($AO$4,阻害要因×在院期間区分＿寛解・院内寛解[#Headers],0)),0)+IFERROR(INDEX(阻害要因×在院期間区分＿寛解・院内寛解[#All],MATCH($AL54,阻害要因×在院期間区分＿寛解・院内寛解[[#All],[値]],0),MATCH($AP$4,阻害要因×在院期間区分＿寛解・院内寛解[#Headers],0)),0)</f>
        <v>35</v>
      </c>
      <c r="D53" s="144">
        <f t="shared" si="12"/>
        <v>0.18134715025906736</v>
      </c>
      <c r="E53" s="127">
        <f>IFERROR(INDEX(阻害要因×在院期間区分＿寛解・院内寛解[#All],MATCH($AL54,阻害要因×在院期間区分＿寛解・院内寛解[[#All],[値]],0),MATCH($AQ$4,阻害要因×在院期間区分＿寛解・院内寛解[#Headers],0)),0)+IFERROR(INDEX(阻害要因×在院期間区分＿寛解・院内寛解[#All],MATCH($AL54,阻害要因×在院期間区分＿寛解・院内寛解[[#All],[値]],0),MATCH($AR$4,阻害要因×在院期間区分＿寛解・院内寛解[#Headers],0)),0)+IFERROR(INDEX(阻害要因×在院期間区分＿寛解・院内寛解[#All],MATCH($AL54,阻害要因×在院期間区分＿寛解・院内寛解[[#All],[値]],0),MATCH($AS$4,阻害要因×在院期間区分＿寛解・院内寛解[#Headers],0)),0)+IFERROR(INDEX(阻害要因×在院期間区分＿寛解・院内寛解[#All],MATCH($AL54,阻害要因×在院期間区分＿寛解・院内寛解[[#All],[値]],0),MATCH($AT$4,阻害要因×在院期間区分＿寛解・院内寛解[#Headers],0)),0)+IFERROR(INDEX(阻害要因×在院期間区分＿寛解・院内寛解[#All],MATCH($AL54,阻害要因×在院期間区分＿寛解・院内寛解[[#All],[値]],0),MATCH($AU$4,阻害要因×在院期間区分＿寛解・院内寛解[#Headers],0)),0)</f>
        <v>50</v>
      </c>
      <c r="F53" s="144">
        <f t="shared" si="13"/>
        <v>0.31847133757961782</v>
      </c>
      <c r="G53" s="127">
        <f>IFERROR(INDEX(阻害要因×在院期間区分＿寛解・院内寛解[#All],MATCH($AL54,阻害要因×在院期間区分＿寛解・院内寛解[[#All],[値]],0),MATCH($AV$4,阻害要因×在院期間区分＿寛解・院内寛解[#Headers],0)),0)+IFERROR(INDEX(阻害要因×在院期間区分＿寛解・院内寛解[#All],MATCH($AL54,阻害要因×在院期間区分＿寛解・院内寛解[[#All],[値]],0),MATCH($AW$4,阻害要因×在院期間区分＿寛解・院内寛解[#Headers],0)),0)+IFERROR(INDEX(阻害要因×在院期間区分＿寛解・院内寛解[#All],MATCH($AL54,阻害要因×在院期間区分＿寛解・院内寛解[[#All],[値]],0),MATCH($AX$4,阻害要因×在院期間区分＿寛解・院内寛解[#Headers],0)),0)+IFERROR(INDEX(阻害要因×在院期間区分＿寛解・院内寛解[#All],MATCH($AL54,阻害要因×在院期間区分＿寛解・院内寛解[[#All],[値]],0),MATCH($AY$4,阻害要因×在院期間区分＿寛解・院内寛解[#Headers],0)),0)+IFERROR(INDEX(阻害要因×在院期間区分＿寛解・院内寛解[#All],MATCH($AL54,阻害要因×在院期間区分＿寛解・院内寛解[[#All],[値]],0),MATCH($AZ$4,阻害要因×在院期間区分＿寛解・院内寛解[#Headers],0)),0)</f>
        <v>21</v>
      </c>
      <c r="H53" s="144">
        <f t="shared" si="14"/>
        <v>0.328125</v>
      </c>
      <c r="I53" s="127">
        <f>IFERROR(INDEX(阻害要因×在院期間区分＿寛解・院内寛解[#All],MATCH($AL54,阻害要因×在院期間区分＿寛解・院内寛解[[#All],[値]],0),MATCH($BA$4,阻害要因×在院期間区分＿寛解・院内寛解[#Headers],0)),0)+IFERROR(INDEX(阻害要因×在院期間区分＿寛解・院内寛解[#All],MATCH($AL54,阻害要因×在院期間区分＿寛解・院内寛解[[#All],[値]],0),MATCH($BB$4,阻害要因×在院期間区分＿寛解・院内寛解[#Headers],0)),0)</f>
        <v>28</v>
      </c>
      <c r="J53" s="144">
        <f t="shared" si="15"/>
        <v>0.39436619718309857</v>
      </c>
      <c r="K53" s="745"/>
      <c r="L53" s="745"/>
      <c r="M53" s="745"/>
      <c r="N53" s="26">
        <f t="shared" si="16"/>
        <v>134</v>
      </c>
      <c r="O53" s="43" t="s">
        <v>698</v>
      </c>
      <c r="P53" s="49">
        <v>2</v>
      </c>
      <c r="Q53" s="49">
        <v>3</v>
      </c>
      <c r="R53" s="49">
        <v>5</v>
      </c>
      <c r="S53" s="49">
        <v>1</v>
      </c>
      <c r="T53" s="49">
        <v>1</v>
      </c>
      <c r="U53" s="49">
        <v>1</v>
      </c>
      <c r="V53" s="49">
        <v>1</v>
      </c>
      <c r="W53" s="49">
        <v>1</v>
      </c>
      <c r="X53" s="49">
        <v>1</v>
      </c>
      <c r="Y53" s="49">
        <v>0</v>
      </c>
      <c r="Z53" s="49">
        <v>1</v>
      </c>
      <c r="AA53" s="49">
        <v>0</v>
      </c>
      <c r="AB53" s="49">
        <v>2</v>
      </c>
      <c r="AC53" s="49">
        <v>1</v>
      </c>
      <c r="AD53" s="49">
        <v>1</v>
      </c>
      <c r="AE53" s="49">
        <v>1</v>
      </c>
      <c r="AL53" s="250" t="s">
        <v>156</v>
      </c>
    </row>
    <row r="54" spans="2:38" ht="18.75" customHeight="1" x14ac:dyDescent="0.2">
      <c r="B54" s="72" t="s">
        <v>41</v>
      </c>
      <c r="C54" s="601">
        <f>IFERROR(INDEX(阻害要因×在院期間区分＿寛解・院内寛解[#All],MATCH($AL55,阻害要因×在院期間区分＿寛解・院内寛解[[#All],[値]],0),MATCH($AM$4,阻害要因×在院期間区分＿寛解・院内寛解[#Headers],0)),0)+IFERROR(INDEX(阻害要因×在院期間区分＿寛解・院内寛解[#All],MATCH($AL55,阻害要因×在院期間区分＿寛解・院内寛解[[#All],[値]],0),MATCH($AN$4,阻害要因×在院期間区分＿寛解・院内寛解[#Headers],0)),0)+IFERROR(INDEX(阻害要因×在院期間区分＿寛解・院内寛解[#All],MATCH($AL55,阻害要因×在院期間区分＿寛解・院内寛解[[#All],[値]],0),MATCH($AO$4,阻害要因×在院期間区分＿寛解・院内寛解[#Headers],0)),0)+IFERROR(INDEX(阻害要因×在院期間区分＿寛解・院内寛解[#All],MATCH($AL55,阻害要因×在院期間区分＿寛解・院内寛解[[#All],[値]],0),MATCH($AP$4,阻害要因×在院期間区分＿寛解・院内寛解[#Headers],0)),0)</f>
        <v>11</v>
      </c>
      <c r="D54" s="144">
        <f t="shared" si="12"/>
        <v>5.6994818652849742E-2</v>
      </c>
      <c r="E54" s="153">
        <f>IFERROR(INDEX(阻害要因×在院期間区分＿寛解・院内寛解[#All],MATCH($AL55,阻害要因×在院期間区分＿寛解・院内寛解[[#All],[値]],0),MATCH($AQ$4,阻害要因×在院期間区分＿寛解・院内寛解[#Headers],0)),0)+IFERROR(INDEX(阻害要因×在院期間区分＿寛解・院内寛解[#All],MATCH($AL55,阻害要因×在院期間区分＿寛解・院内寛解[[#All],[値]],0),MATCH($AR$4,阻害要因×在院期間区分＿寛解・院内寛解[#Headers],0)),0)+IFERROR(INDEX(阻害要因×在院期間区分＿寛解・院内寛解[#All],MATCH($AL55,阻害要因×在院期間区分＿寛解・院内寛解[[#All],[値]],0),MATCH($AS$4,阻害要因×在院期間区分＿寛解・院内寛解[#Headers],0)),0)+IFERROR(INDEX(阻害要因×在院期間区分＿寛解・院内寛解[#All],MATCH($AL55,阻害要因×在院期間区分＿寛解・院内寛解[[#All],[値]],0),MATCH($AT$4,阻害要因×在院期間区分＿寛解・院内寛解[#Headers],0)),0)+IFERROR(INDEX(阻害要因×在院期間区分＿寛解・院内寛解[#All],MATCH($AL55,阻害要因×在院期間区分＿寛解・院内寛解[[#All],[値]],0),MATCH($AU$4,阻害要因×在院期間区分＿寛解・院内寛解[#Headers],0)),0)</f>
        <v>5</v>
      </c>
      <c r="F54" s="144">
        <f t="shared" si="13"/>
        <v>3.1847133757961783E-2</v>
      </c>
      <c r="G54" s="153">
        <f>IFERROR(INDEX(阻害要因×在院期間区分＿寛解・院内寛解[#All],MATCH($AL55,阻害要因×在院期間区分＿寛解・院内寛解[[#All],[値]],0),MATCH($AV$4,阻害要因×在院期間区分＿寛解・院内寛解[#Headers],0)),0)+IFERROR(INDEX(阻害要因×在院期間区分＿寛解・院内寛解[#All],MATCH($AL55,阻害要因×在院期間区分＿寛解・院内寛解[[#All],[値]],0),MATCH($AW$4,阻害要因×在院期間区分＿寛解・院内寛解[#Headers],0)),0)+IFERROR(INDEX(阻害要因×在院期間区分＿寛解・院内寛解[#All],MATCH($AL55,阻害要因×在院期間区分＿寛解・院内寛解[[#All],[値]],0),MATCH($AX$4,阻害要因×在院期間区分＿寛解・院内寛解[#Headers],0)),0)+IFERROR(INDEX(阻害要因×在院期間区分＿寛解・院内寛解[#All],MATCH($AL55,阻害要因×在院期間区分＿寛解・院内寛解[[#All],[値]],0),MATCH($AY$4,阻害要因×在院期間区分＿寛解・院内寛解[#Headers],0)),0)+IFERROR(INDEX(阻害要因×在院期間区分＿寛解・院内寛解[#All],MATCH($AL55,阻害要因×在院期間区分＿寛解・院内寛解[[#All],[値]],0),MATCH($AZ$4,阻害要因×在院期間区分＿寛解・院内寛解[#Headers],0)),0)</f>
        <v>4</v>
      </c>
      <c r="H54" s="144">
        <f t="shared" si="14"/>
        <v>6.25E-2</v>
      </c>
      <c r="I54" s="153">
        <f>IFERROR(INDEX(阻害要因×在院期間区分＿寛解・院内寛解[#All],MATCH($AL55,阻害要因×在院期間区分＿寛解・院内寛解[[#All],[値]],0),MATCH($BA$4,阻害要因×在院期間区分＿寛解・院内寛解[#Headers],0)),0)+IFERROR(INDEX(阻害要因×在院期間区分＿寛解・院内寛解[#All],MATCH($AL55,阻害要因×在院期間区分＿寛解・院内寛解[[#All],[値]],0),MATCH($BB$4,阻害要因×在院期間区分＿寛解・院内寛解[#Headers],0)),0)</f>
        <v>2</v>
      </c>
      <c r="J54" s="144">
        <f t="shared" si="15"/>
        <v>2.8169014084507043E-2</v>
      </c>
      <c r="K54" s="745"/>
      <c r="L54" s="745"/>
      <c r="M54" s="745"/>
      <c r="N54" s="26">
        <f t="shared" si="16"/>
        <v>22</v>
      </c>
      <c r="O54" s="43" t="s">
        <v>699</v>
      </c>
      <c r="P54" s="49">
        <v>5</v>
      </c>
      <c r="Q54" s="49">
        <v>11</v>
      </c>
      <c r="R54" s="49">
        <v>14</v>
      </c>
      <c r="S54" s="49">
        <v>16</v>
      </c>
      <c r="T54" s="49">
        <v>9</v>
      </c>
      <c r="U54" s="49">
        <v>7</v>
      </c>
      <c r="V54" s="49">
        <v>13</v>
      </c>
      <c r="W54" s="49">
        <v>9</v>
      </c>
      <c r="X54" s="49">
        <v>4</v>
      </c>
      <c r="Y54" s="49">
        <v>4</v>
      </c>
      <c r="Z54" s="49">
        <v>3</v>
      </c>
      <c r="AA54" s="49">
        <v>2</v>
      </c>
      <c r="AB54" s="49">
        <v>7</v>
      </c>
      <c r="AC54" s="49">
        <v>7</v>
      </c>
      <c r="AD54" s="49">
        <v>12</v>
      </c>
      <c r="AE54" s="49">
        <v>7</v>
      </c>
      <c r="AL54" s="250" t="s">
        <v>157</v>
      </c>
    </row>
    <row r="55" spans="2:38" ht="18.75" customHeight="1" x14ac:dyDescent="0.2">
      <c r="B55" s="72" t="s">
        <v>42</v>
      </c>
      <c r="C55" s="606">
        <f>IFERROR(INDEX(阻害要因×在院期間区分＿寛解・院内寛解[#All],MATCH($AL56,阻害要因×在院期間区分＿寛解・院内寛解[[#All],[値]],0),MATCH($AM$4,阻害要因×在院期間区分＿寛解・院内寛解[#Headers],0)),0)+IFERROR(INDEX(阻害要因×在院期間区分＿寛解・院内寛解[#All],MATCH($AL56,阻害要因×在院期間区分＿寛解・院内寛解[[#All],[値]],0),MATCH($AN$4,阻害要因×在院期間区分＿寛解・院内寛解[#Headers],0)),0)+IFERROR(INDEX(阻害要因×在院期間区分＿寛解・院内寛解[#All],MATCH($AL56,阻害要因×在院期間区分＿寛解・院内寛解[[#All],[値]],0),MATCH($AO$4,阻害要因×在院期間区分＿寛解・院内寛解[#Headers],0)),0)+IFERROR(INDEX(阻害要因×在院期間区分＿寛解・院内寛解[#All],MATCH($AL56,阻害要因×在院期間区分＿寛解・院内寛解[[#All],[値]],0),MATCH($AP$4,阻害要因×在院期間区分＿寛解・院内寛解[#Headers],0)),0)</f>
        <v>46</v>
      </c>
      <c r="D55" s="144">
        <f t="shared" si="12"/>
        <v>0.23834196891191708</v>
      </c>
      <c r="E55" s="151">
        <f>IFERROR(INDEX(阻害要因×在院期間区分＿寛解・院内寛解[#All],MATCH($AL56,阻害要因×在院期間区分＿寛解・院内寛解[[#All],[値]],0),MATCH($AQ$4,阻害要因×在院期間区分＿寛解・院内寛解[#Headers],0)),0)+IFERROR(INDEX(阻害要因×在院期間区分＿寛解・院内寛解[#All],MATCH($AL56,阻害要因×在院期間区分＿寛解・院内寛解[[#All],[値]],0),MATCH($AR$4,阻害要因×在院期間区分＿寛解・院内寛解[#Headers],0)),0)+IFERROR(INDEX(阻害要因×在院期間区分＿寛解・院内寛解[#All],MATCH($AL56,阻害要因×在院期間区分＿寛解・院内寛解[[#All],[値]],0),MATCH($AS$4,阻害要因×在院期間区分＿寛解・院内寛解[#Headers],0)),0)+IFERROR(INDEX(阻害要因×在院期間区分＿寛解・院内寛解[#All],MATCH($AL56,阻害要因×在院期間区分＿寛解・院内寛解[[#All],[値]],0),MATCH($AT$4,阻害要因×在院期間区分＿寛解・院内寛解[#Headers],0)),0)+IFERROR(INDEX(阻害要因×在院期間区分＿寛解・院内寛解[#All],MATCH($AL56,阻害要因×在院期間区分＿寛解・院内寛解[[#All],[値]],0),MATCH($AU$4,阻害要因×在院期間区分＿寛解・院内寛解[#Headers],0)),0)</f>
        <v>42</v>
      </c>
      <c r="F55" s="144">
        <f t="shared" si="13"/>
        <v>0.26751592356687898</v>
      </c>
      <c r="G55" s="151">
        <f>IFERROR(INDEX(阻害要因×在院期間区分＿寛解・院内寛解[#All],MATCH($AL56,阻害要因×在院期間区分＿寛解・院内寛解[[#All],[値]],0),MATCH($AV$4,阻害要因×在院期間区分＿寛解・院内寛解[#Headers],0)),0)+IFERROR(INDEX(阻害要因×在院期間区分＿寛解・院内寛解[#All],MATCH($AL56,阻害要因×在院期間区分＿寛解・院内寛解[[#All],[値]],0),MATCH($AW$4,阻害要因×在院期間区分＿寛解・院内寛解[#Headers],0)),0)+IFERROR(INDEX(阻害要因×在院期間区分＿寛解・院内寛解[#All],MATCH($AL56,阻害要因×在院期間区分＿寛解・院内寛解[[#All],[値]],0),MATCH($AX$4,阻害要因×在院期間区分＿寛解・院内寛解[#Headers],0)),0)+IFERROR(INDEX(阻害要因×在院期間区分＿寛解・院内寛解[#All],MATCH($AL56,阻害要因×在院期間区分＿寛解・院内寛解[[#All],[値]],0),MATCH($AY$4,阻害要因×在院期間区分＿寛解・院内寛解[#Headers],0)),0)+IFERROR(INDEX(阻害要因×在院期間区分＿寛解・院内寛解[#All],MATCH($AL56,阻害要因×在院期間区分＿寛解・院内寛解[[#All],[値]],0),MATCH($AZ$4,阻害要因×在院期間区分＿寛解・院内寛解[#Headers],0)),0)</f>
        <v>23</v>
      </c>
      <c r="H55" s="144">
        <f t="shared" si="14"/>
        <v>0.359375</v>
      </c>
      <c r="I55" s="151">
        <f>IFERROR(INDEX(阻害要因×在院期間区分＿寛解・院内寛解[#All],MATCH($AL56,阻害要因×在院期間区分＿寛解・院内寛解[[#All],[値]],0),MATCH($BA$4,阻害要因×在院期間区分＿寛解・院内寛解[#Headers],0)),0)+IFERROR(INDEX(阻害要因×在院期間区分＿寛解・院内寛解[#All],MATCH($AL56,阻害要因×在院期間区分＿寛解・院内寛解[[#All],[値]],0),MATCH($BB$4,阻害要因×在院期間区分＿寛解・院内寛解[#Headers],0)),0)</f>
        <v>19</v>
      </c>
      <c r="J55" s="144">
        <f t="shared" si="15"/>
        <v>0.26760563380281688</v>
      </c>
      <c r="K55" s="745"/>
      <c r="L55" s="745"/>
      <c r="M55" s="745"/>
      <c r="N55" s="26">
        <f t="shared" si="16"/>
        <v>130</v>
      </c>
      <c r="O55" s="43" t="s">
        <v>700</v>
      </c>
      <c r="P55" s="49">
        <v>2</v>
      </c>
      <c r="Q55" s="49">
        <v>6</v>
      </c>
      <c r="R55" s="49">
        <v>5</v>
      </c>
      <c r="S55" s="49">
        <v>12</v>
      </c>
      <c r="T55" s="49">
        <v>6</v>
      </c>
      <c r="U55" s="49">
        <v>3</v>
      </c>
      <c r="V55" s="49">
        <v>4</v>
      </c>
      <c r="W55" s="49">
        <v>8</v>
      </c>
      <c r="X55" s="49">
        <v>5</v>
      </c>
      <c r="Y55" s="49">
        <v>0</v>
      </c>
      <c r="Z55" s="49">
        <v>2</v>
      </c>
      <c r="AA55" s="49">
        <v>1</v>
      </c>
      <c r="AB55" s="49">
        <v>1</v>
      </c>
      <c r="AC55" s="49">
        <v>3</v>
      </c>
      <c r="AD55" s="49">
        <v>6</v>
      </c>
      <c r="AE55" s="49">
        <v>5</v>
      </c>
      <c r="AL55" s="250" t="s">
        <v>158</v>
      </c>
    </row>
    <row r="56" spans="2:38" ht="18.75" customHeight="1" x14ac:dyDescent="0.2">
      <c r="B56" s="72" t="s">
        <v>43</v>
      </c>
      <c r="C56" s="602">
        <f>IFERROR(INDEX(阻害要因×在院期間区分＿寛解・院内寛解[#All],MATCH($AL57,阻害要因×在院期間区分＿寛解・院内寛解[[#All],[値]],0),MATCH($AM$4,阻害要因×在院期間区分＿寛解・院内寛解[#Headers],0)),0)+IFERROR(INDEX(阻害要因×在院期間区分＿寛解・院内寛解[#All],MATCH($AL57,阻害要因×在院期間区分＿寛解・院内寛解[[#All],[値]],0),MATCH($AN$4,阻害要因×在院期間区分＿寛解・院内寛解[#Headers],0)),0)+IFERROR(INDEX(阻害要因×在院期間区分＿寛解・院内寛解[#All],MATCH($AL57,阻害要因×在院期間区分＿寛解・院内寛解[[#All],[値]],0),MATCH($AO$4,阻害要因×在院期間区分＿寛解・院内寛解[#Headers],0)),0)+IFERROR(INDEX(阻害要因×在院期間区分＿寛解・院内寛解[#All],MATCH($AL57,阻害要因×在院期間区分＿寛解・院内寛解[[#All],[値]],0),MATCH($AP$4,阻害要因×在院期間区分＿寛解・院内寛解[#Headers],0)),0)</f>
        <v>25</v>
      </c>
      <c r="D56" s="144">
        <f t="shared" si="12"/>
        <v>0.12953367875647667</v>
      </c>
      <c r="E56" s="150">
        <f>IFERROR(INDEX(阻害要因×在院期間区分＿寛解・院内寛解[#All],MATCH($AL57,阻害要因×在院期間区分＿寛解・院内寛解[[#All],[値]],0),MATCH($AQ$4,阻害要因×在院期間区分＿寛解・院内寛解[#Headers],0)),0)+IFERROR(INDEX(阻害要因×在院期間区分＿寛解・院内寛解[#All],MATCH($AL57,阻害要因×在院期間区分＿寛解・院内寛解[[#All],[値]],0),MATCH($AR$4,阻害要因×在院期間区分＿寛解・院内寛解[#Headers],0)),0)+IFERROR(INDEX(阻害要因×在院期間区分＿寛解・院内寛解[#All],MATCH($AL57,阻害要因×在院期間区分＿寛解・院内寛解[[#All],[値]],0),MATCH($AS$4,阻害要因×在院期間区分＿寛解・院内寛解[#Headers],0)),0)+IFERROR(INDEX(阻害要因×在院期間区分＿寛解・院内寛解[#All],MATCH($AL57,阻害要因×在院期間区分＿寛解・院内寛解[[#All],[値]],0),MATCH($AT$4,阻害要因×在院期間区分＿寛解・院内寛解[#Headers],0)),0)+IFERROR(INDEX(阻害要因×在院期間区分＿寛解・院内寛解[#All],MATCH($AL57,阻害要因×在院期間区分＿寛解・院内寛解[[#All],[値]],0),MATCH($AU$4,阻害要因×在院期間区分＿寛解・院内寛解[#Headers],0)),0)</f>
        <v>26</v>
      </c>
      <c r="F56" s="144">
        <f t="shared" si="13"/>
        <v>0.16560509554140126</v>
      </c>
      <c r="G56" s="150">
        <f>IFERROR(INDEX(阻害要因×在院期間区分＿寛解・院内寛解[#All],MATCH($AL57,阻害要因×在院期間区分＿寛解・院内寛解[[#All],[値]],0),MATCH($AV$4,阻害要因×在院期間区分＿寛解・院内寛解[#Headers],0)),0)+IFERROR(INDEX(阻害要因×在院期間区分＿寛解・院内寛解[#All],MATCH($AL57,阻害要因×在院期間区分＿寛解・院内寛解[[#All],[値]],0),MATCH($AW$4,阻害要因×在院期間区分＿寛解・院内寛解[#Headers],0)),0)+IFERROR(INDEX(阻害要因×在院期間区分＿寛解・院内寛解[#All],MATCH($AL57,阻害要因×在院期間区分＿寛解・院内寛解[[#All],[値]],0),MATCH($AX$4,阻害要因×在院期間区分＿寛解・院内寛解[#Headers],0)),0)+IFERROR(INDEX(阻害要因×在院期間区分＿寛解・院内寛解[#All],MATCH($AL57,阻害要因×在院期間区分＿寛解・院内寛解[[#All],[値]],0),MATCH($AY$4,阻害要因×在院期間区分＿寛解・院内寛解[#Headers],0)),0)+IFERROR(INDEX(阻害要因×在院期間区分＿寛解・院内寛解[#All],MATCH($AL57,阻害要因×在院期間区分＿寛解・院内寛解[[#All],[値]],0),MATCH($AZ$4,阻害要因×在院期間区分＿寛解・院内寛解[#Headers],0)),0)</f>
        <v>7</v>
      </c>
      <c r="H56" s="144">
        <f t="shared" si="14"/>
        <v>0.109375</v>
      </c>
      <c r="I56" s="150">
        <f>IFERROR(INDEX(阻害要因×在院期間区分＿寛解・院内寛解[#All],MATCH($AL57,阻害要因×在院期間区分＿寛解・院内寛解[[#All],[値]],0),MATCH($BA$4,阻害要因×在院期間区分＿寛解・院内寛解[#Headers],0)),0)+IFERROR(INDEX(阻害要因×在院期間区分＿寛解・院内寛解[#All],MATCH($AL57,阻害要因×在院期間区分＿寛解・院内寛解[[#All],[値]],0),MATCH($BB$4,阻害要因×在院期間区分＿寛解・院内寛解[#Headers],0)),0)</f>
        <v>11</v>
      </c>
      <c r="J56" s="144">
        <f t="shared" si="15"/>
        <v>0.15492957746478872</v>
      </c>
      <c r="K56" s="745"/>
      <c r="L56" s="745"/>
      <c r="M56" s="745"/>
      <c r="N56" s="26">
        <f t="shared" si="16"/>
        <v>69</v>
      </c>
      <c r="O56" s="43" t="s">
        <v>701</v>
      </c>
      <c r="P56" s="49">
        <v>1</v>
      </c>
      <c r="Q56" s="49">
        <v>4</v>
      </c>
      <c r="R56" s="49">
        <v>8</v>
      </c>
      <c r="S56" s="49">
        <v>5</v>
      </c>
      <c r="T56" s="49">
        <v>7</v>
      </c>
      <c r="U56" s="49">
        <v>5</v>
      </c>
      <c r="V56" s="49">
        <v>6</v>
      </c>
      <c r="W56" s="49">
        <v>8</v>
      </c>
      <c r="X56" s="49">
        <v>3</v>
      </c>
      <c r="Y56" s="49">
        <v>5</v>
      </c>
      <c r="Z56" s="49">
        <v>1</v>
      </c>
      <c r="AA56" s="49">
        <v>2</v>
      </c>
      <c r="AB56" s="49">
        <v>6</v>
      </c>
      <c r="AC56" s="49">
        <v>2</v>
      </c>
      <c r="AD56" s="49">
        <v>8</v>
      </c>
      <c r="AE56" s="49">
        <v>4</v>
      </c>
      <c r="AL56" s="250" t="s">
        <v>159</v>
      </c>
    </row>
    <row r="57" spans="2:38" ht="18.75" customHeight="1" x14ac:dyDescent="0.2">
      <c r="B57" s="72" t="s">
        <v>229</v>
      </c>
      <c r="C57" s="601">
        <f>IFERROR(INDEX(阻害要因×在院期間区分＿寛解・院内寛解[#All],MATCH($AL58,阻害要因×在院期間区分＿寛解・院内寛解[[#All],[値]],0),MATCH($AM$4,阻害要因×在院期間区分＿寛解・院内寛解[#Headers],0)),0)+IFERROR(INDEX(阻害要因×在院期間区分＿寛解・院内寛解[#All],MATCH($AL58,阻害要因×在院期間区分＿寛解・院内寛解[[#All],[値]],0),MATCH($AN$4,阻害要因×在院期間区分＿寛解・院内寛解[#Headers],0)),0)+IFERROR(INDEX(阻害要因×在院期間区分＿寛解・院内寛解[#All],MATCH($AL58,阻害要因×在院期間区分＿寛解・院内寛解[[#All],[値]],0),MATCH($AO$4,阻害要因×在院期間区分＿寛解・院内寛解[#Headers],0)),0)+IFERROR(INDEX(阻害要因×在院期間区分＿寛解・院内寛解[#All],MATCH($AL58,阻害要因×在院期間区分＿寛解・院内寛解[[#All],[値]],0),MATCH($AP$4,阻害要因×在院期間区分＿寛解・院内寛解[#Headers],0)),0)</f>
        <v>18</v>
      </c>
      <c r="D57" s="144">
        <f t="shared" si="12"/>
        <v>9.3264248704663211E-2</v>
      </c>
      <c r="E57" s="127">
        <f>IFERROR(INDEX(阻害要因×在院期間区分＿寛解・院内寛解[#All],MATCH($AL58,阻害要因×在院期間区分＿寛解・院内寛解[[#All],[値]],0),MATCH($AQ$4,阻害要因×在院期間区分＿寛解・院内寛解[#Headers],0)),0)+IFERROR(INDEX(阻害要因×在院期間区分＿寛解・院内寛解[#All],MATCH($AL58,阻害要因×在院期間区分＿寛解・院内寛解[[#All],[値]],0),MATCH($AR$4,阻害要因×在院期間区分＿寛解・院内寛解[#Headers],0)),0)+IFERROR(INDEX(阻害要因×在院期間区分＿寛解・院内寛解[#All],MATCH($AL58,阻害要因×在院期間区分＿寛解・院内寛解[[#All],[値]],0),MATCH($AS$4,阻害要因×在院期間区分＿寛解・院内寛解[#Headers],0)),0)+IFERROR(INDEX(阻害要因×在院期間区分＿寛解・院内寛解[#All],MATCH($AL58,阻害要因×在院期間区分＿寛解・院内寛解[[#All],[値]],0),MATCH($AT$4,阻害要因×在院期間区分＿寛解・院内寛解[#Headers],0)),0)+IFERROR(INDEX(阻害要因×在院期間区分＿寛解・院内寛解[#All],MATCH($AL58,阻害要因×在院期間区分＿寛解・院内寛解[[#All],[値]],0),MATCH($AU$4,阻害要因×在院期間区分＿寛解・院内寛解[#Headers],0)),0)</f>
        <v>29</v>
      </c>
      <c r="F57" s="144">
        <f t="shared" si="13"/>
        <v>0.18471337579617833</v>
      </c>
      <c r="G57" s="127">
        <f>IFERROR(INDEX(阻害要因×在院期間区分＿寛解・院内寛解[#All],MATCH($AL58,阻害要因×在院期間区分＿寛解・院内寛解[[#All],[値]],0),MATCH($AV$4,阻害要因×在院期間区分＿寛解・院内寛解[#Headers],0)),0)+IFERROR(INDEX(阻害要因×在院期間区分＿寛解・院内寛解[#All],MATCH($AL58,阻害要因×在院期間区分＿寛解・院内寛解[[#All],[値]],0),MATCH($AW$4,阻害要因×在院期間区分＿寛解・院内寛解[#Headers],0)),0)+IFERROR(INDEX(阻害要因×在院期間区分＿寛解・院内寛解[#All],MATCH($AL58,阻害要因×在院期間区分＿寛解・院内寛解[[#All],[値]],0),MATCH($AX$4,阻害要因×在院期間区分＿寛解・院内寛解[#Headers],0)),0)+IFERROR(INDEX(阻害要因×在院期間区分＿寛解・院内寛解[#All],MATCH($AL58,阻害要因×在院期間区分＿寛解・院内寛解[[#All],[値]],0),MATCH($AY$4,阻害要因×在院期間区分＿寛解・院内寛解[#Headers],0)),0)+IFERROR(INDEX(阻害要因×在院期間区分＿寛解・院内寛解[#All],MATCH($AL58,阻害要因×在院期間区分＿寛解・院内寛解[[#All],[値]],0),MATCH($AZ$4,阻害要因×在院期間区分＿寛解・院内寛解[#Headers],0)),0)</f>
        <v>16</v>
      </c>
      <c r="H57" s="144">
        <f t="shared" si="14"/>
        <v>0.25</v>
      </c>
      <c r="I57" s="127">
        <f>IFERROR(INDEX(阻害要因×在院期間区分＿寛解・院内寛解[#All],MATCH($AL58,阻害要因×在院期間区分＿寛解・院内寛解[[#All],[値]],0),MATCH($BA$4,阻害要因×在院期間区分＿寛解・院内寛解[#Headers],0)),0)+IFERROR(INDEX(阻害要因×在院期間区分＿寛解・院内寛解[#All],MATCH($AL58,阻害要因×在院期間区分＿寛解・院内寛解[[#All],[値]],0),MATCH($BB$4,阻害要因×在院期間区分＿寛解・院内寛解[#Headers],0)),0)</f>
        <v>12</v>
      </c>
      <c r="J57" s="144">
        <f t="shared" si="15"/>
        <v>0.16901408450704225</v>
      </c>
      <c r="K57" s="745"/>
      <c r="L57" s="745"/>
      <c r="M57" s="745"/>
      <c r="N57" s="26">
        <f t="shared" si="16"/>
        <v>75</v>
      </c>
      <c r="O57" s="43" t="s">
        <v>702</v>
      </c>
      <c r="P57" s="49">
        <v>9</v>
      </c>
      <c r="Q57" s="49">
        <v>26</v>
      </c>
      <c r="R57" s="49">
        <v>22</v>
      </c>
      <c r="S57" s="49">
        <v>29</v>
      </c>
      <c r="T57" s="49">
        <v>15</v>
      </c>
      <c r="U57" s="49">
        <v>9</v>
      </c>
      <c r="V57" s="49">
        <v>16</v>
      </c>
      <c r="W57" s="49">
        <v>11</v>
      </c>
      <c r="X57" s="49">
        <v>2</v>
      </c>
      <c r="Y57" s="49">
        <v>4</v>
      </c>
      <c r="Z57" s="49">
        <v>1</v>
      </c>
      <c r="AA57" s="49">
        <v>2</v>
      </c>
      <c r="AB57" s="49">
        <v>3</v>
      </c>
      <c r="AC57" s="49">
        <v>4</v>
      </c>
      <c r="AD57" s="49">
        <v>6</v>
      </c>
      <c r="AE57" s="49">
        <v>9</v>
      </c>
      <c r="AL57" s="250" t="s">
        <v>160</v>
      </c>
    </row>
    <row r="58" spans="2:38" ht="18.75" customHeight="1" x14ac:dyDescent="0.2">
      <c r="B58" s="72" t="s">
        <v>45</v>
      </c>
      <c r="C58" s="601">
        <f>IFERROR(INDEX(阻害要因×在院期間区分＿寛解・院内寛解[#All],MATCH($AL59,阻害要因×在院期間区分＿寛解・院内寛解[[#All],[値]],0),MATCH($AM$4,阻害要因×在院期間区分＿寛解・院内寛解[#Headers],0)),0)+IFERROR(INDEX(阻害要因×在院期間区分＿寛解・院内寛解[#All],MATCH($AL59,阻害要因×在院期間区分＿寛解・院内寛解[[#All],[値]],0),MATCH($AN$4,阻害要因×在院期間区分＿寛解・院内寛解[#Headers],0)),0)+IFERROR(INDEX(阻害要因×在院期間区分＿寛解・院内寛解[#All],MATCH($AL59,阻害要因×在院期間区分＿寛解・院内寛解[[#All],[値]],0),MATCH($AO$4,阻害要因×在院期間区分＿寛解・院内寛解[#Headers],0)),0)+IFERROR(INDEX(阻害要因×在院期間区分＿寛解・院内寛解[#All],MATCH($AL59,阻害要因×在院期間区分＿寛解・院内寛解[[#All],[値]],0),MATCH($AP$4,阻害要因×在院期間区分＿寛解・院内寛解[#Headers],0)),0)</f>
        <v>86</v>
      </c>
      <c r="D58" s="144">
        <f t="shared" si="12"/>
        <v>0.44559585492227977</v>
      </c>
      <c r="E58" s="127">
        <f>IFERROR(INDEX(阻害要因×在院期間区分＿寛解・院内寛解[#All],MATCH($AL59,阻害要因×在院期間区分＿寛解・院内寛解[[#All],[値]],0),MATCH($AQ$4,阻害要因×在院期間区分＿寛解・院内寛解[#Headers],0)),0)+IFERROR(INDEX(阻害要因×在院期間区分＿寛解・院内寛解[#All],MATCH($AL59,阻害要因×在院期間区分＿寛解・院内寛解[[#All],[値]],0),MATCH($AR$4,阻害要因×在院期間区分＿寛解・院内寛解[#Headers],0)),0)+IFERROR(INDEX(阻害要因×在院期間区分＿寛解・院内寛解[#All],MATCH($AL59,阻害要因×在院期間区分＿寛解・院内寛解[[#All],[値]],0),MATCH($AS$4,阻害要因×在院期間区分＿寛解・院内寛解[#Headers],0)),0)+IFERROR(INDEX(阻害要因×在院期間区分＿寛解・院内寛解[#All],MATCH($AL59,阻害要因×在院期間区分＿寛解・院内寛解[[#All],[値]],0),MATCH($AT$4,阻害要因×在院期間区分＿寛解・院内寛解[#Headers],0)),0)+IFERROR(INDEX(阻害要因×在院期間区分＿寛解・院内寛解[#All],MATCH($AL59,阻害要因×在院期間区分＿寛解・院内寛解[[#All],[値]],0),MATCH($AU$4,阻害要因×在院期間区分＿寛解・院内寛解[#Headers],0)),0)</f>
        <v>53</v>
      </c>
      <c r="F58" s="144">
        <f t="shared" si="13"/>
        <v>0.33757961783439489</v>
      </c>
      <c r="G58" s="127">
        <f>IFERROR(INDEX(阻害要因×在院期間区分＿寛解・院内寛解[#All],MATCH($AL59,阻害要因×在院期間区分＿寛解・院内寛解[[#All],[値]],0),MATCH($AV$4,阻害要因×在院期間区分＿寛解・院内寛解[#Headers],0)),0)+IFERROR(INDEX(阻害要因×在院期間区分＿寛解・院内寛解[#All],MATCH($AL59,阻害要因×在院期間区分＿寛解・院内寛解[[#All],[値]],0),MATCH($AW$4,阻害要因×在院期間区分＿寛解・院内寛解[#Headers],0)),0)+IFERROR(INDEX(阻害要因×在院期間区分＿寛解・院内寛解[#All],MATCH($AL59,阻害要因×在院期間区分＿寛解・院内寛解[[#All],[値]],0),MATCH($AX$4,阻害要因×在院期間区分＿寛解・院内寛解[#Headers],0)),0)+IFERROR(INDEX(阻害要因×在院期間区分＿寛解・院内寛解[#All],MATCH($AL59,阻害要因×在院期間区分＿寛解・院内寛解[[#All],[値]],0),MATCH($AY$4,阻害要因×在院期間区分＿寛解・院内寛解[#Headers],0)),0)+IFERROR(INDEX(阻害要因×在院期間区分＿寛解・院内寛解[#All],MATCH($AL59,阻害要因×在院期間区分＿寛解・院内寛解[[#All],[値]],0),MATCH($AZ$4,阻害要因×在院期間区分＿寛解・院内寛解[#Headers],0)),0)</f>
        <v>14</v>
      </c>
      <c r="H58" s="144">
        <f t="shared" si="14"/>
        <v>0.21875</v>
      </c>
      <c r="I58" s="127">
        <f>IFERROR(INDEX(阻害要因×在院期間区分＿寛解・院内寛解[#All],MATCH($AL59,阻害要因×在院期間区分＿寛解・院内寛解[[#All],[値]],0),MATCH($BA$4,阻害要因×在院期間区分＿寛解・院内寛解[#Headers],0)),0)+IFERROR(INDEX(阻害要因×在院期間区分＿寛解・院内寛解[#All],MATCH($AL59,阻害要因×在院期間区分＿寛解・院内寛解[[#All],[値]],0),MATCH($BB$4,阻害要因×在院期間区分＿寛解・院内寛解[#Headers],0)),0)</f>
        <v>15</v>
      </c>
      <c r="J58" s="144">
        <f t="shared" si="15"/>
        <v>0.21126760563380281</v>
      </c>
      <c r="K58" s="745"/>
      <c r="L58" s="745"/>
      <c r="M58" s="745"/>
      <c r="N58" s="26">
        <f t="shared" si="16"/>
        <v>168</v>
      </c>
      <c r="O58" s="43" t="s">
        <v>703</v>
      </c>
      <c r="P58" s="49">
        <v>1</v>
      </c>
      <c r="Q58" s="49">
        <v>4</v>
      </c>
      <c r="R58" s="49">
        <v>3</v>
      </c>
      <c r="S58" s="49">
        <v>2</v>
      </c>
      <c r="T58" s="49">
        <v>4</v>
      </c>
      <c r="U58" s="49">
        <v>1</v>
      </c>
      <c r="V58" s="49">
        <v>0</v>
      </c>
      <c r="W58" s="49">
        <v>5</v>
      </c>
      <c r="X58" s="49">
        <v>1</v>
      </c>
      <c r="Y58" s="49">
        <v>1</v>
      </c>
      <c r="Z58" s="49">
        <v>0</v>
      </c>
      <c r="AA58" s="49">
        <v>0</v>
      </c>
      <c r="AB58" s="49">
        <v>0</v>
      </c>
      <c r="AC58" s="49">
        <v>2</v>
      </c>
      <c r="AD58" s="49">
        <v>3</v>
      </c>
      <c r="AE58" s="49">
        <v>0</v>
      </c>
      <c r="AL58" s="250" t="s">
        <v>161</v>
      </c>
    </row>
    <row r="59" spans="2:38" ht="18.75" customHeight="1" x14ac:dyDescent="0.2">
      <c r="B59" s="72" t="s">
        <v>46</v>
      </c>
      <c r="C59" s="606">
        <f>IFERROR(INDEX(阻害要因×在院期間区分＿寛解・院内寛解[#All],MATCH($AL60,阻害要因×在院期間区分＿寛解・院内寛解[[#All],[値]],0),MATCH($AM$4,阻害要因×在院期間区分＿寛解・院内寛解[#Headers],0)),0)+IFERROR(INDEX(阻害要因×在院期間区分＿寛解・院内寛解[#All],MATCH($AL60,阻害要因×在院期間区分＿寛解・院内寛解[[#All],[値]],0),MATCH($AN$4,阻害要因×在院期間区分＿寛解・院内寛解[#Headers],0)),0)+IFERROR(INDEX(阻害要因×在院期間区分＿寛解・院内寛解[#All],MATCH($AL60,阻害要因×在院期間区分＿寛解・院内寛解[[#All],[値]],0),MATCH($AO$4,阻害要因×在院期間区分＿寛解・院内寛解[#Headers],0)),0)+IFERROR(INDEX(阻害要因×在院期間区分＿寛解・院内寛解[#All],MATCH($AL60,阻害要因×在院期間区分＿寛解・院内寛解[[#All],[値]],0),MATCH($AP$4,阻害要因×在院期間区分＿寛解・院内寛解[#Headers],0)),0)</f>
        <v>10</v>
      </c>
      <c r="D59" s="144">
        <f t="shared" si="12"/>
        <v>5.181347150259067E-2</v>
      </c>
      <c r="E59" s="151">
        <f>IFERROR(INDEX(阻害要因×在院期間区分＿寛解・院内寛解[#All],MATCH($AL60,阻害要因×在院期間区分＿寛解・院内寛解[[#All],[値]],0),MATCH($AQ$4,阻害要因×在院期間区分＿寛解・院内寛解[#Headers],0)),0)+IFERROR(INDEX(阻害要因×在院期間区分＿寛解・院内寛解[#All],MATCH($AL60,阻害要因×在院期間区分＿寛解・院内寛解[[#All],[値]],0),MATCH($AR$4,阻害要因×在院期間区分＿寛解・院内寛解[#Headers],0)),0)+IFERROR(INDEX(阻害要因×在院期間区分＿寛解・院内寛解[#All],MATCH($AL60,阻害要因×在院期間区分＿寛解・院内寛解[[#All],[値]],0),MATCH($AS$4,阻害要因×在院期間区分＿寛解・院内寛解[#Headers],0)),0)+IFERROR(INDEX(阻害要因×在院期間区分＿寛解・院内寛解[#All],MATCH($AL60,阻害要因×在院期間区分＿寛解・院内寛解[[#All],[値]],0),MATCH($AT$4,阻害要因×在院期間区分＿寛解・院内寛解[#Headers],0)),0)+IFERROR(INDEX(阻害要因×在院期間区分＿寛解・院内寛解[#All],MATCH($AL60,阻害要因×在院期間区分＿寛解・院内寛解[[#All],[値]],0),MATCH($AU$4,阻害要因×在院期間区分＿寛解・院内寛解[#Headers],0)),0)</f>
        <v>11</v>
      </c>
      <c r="F59" s="144">
        <f t="shared" si="13"/>
        <v>7.0063694267515922E-2</v>
      </c>
      <c r="G59" s="151">
        <f>IFERROR(INDEX(阻害要因×在院期間区分＿寛解・院内寛解[#All],MATCH($AL60,阻害要因×在院期間区分＿寛解・院内寛解[[#All],[値]],0),MATCH($AV$4,阻害要因×在院期間区分＿寛解・院内寛解[#Headers],0)),0)+IFERROR(INDEX(阻害要因×在院期間区分＿寛解・院内寛解[#All],MATCH($AL60,阻害要因×在院期間区分＿寛解・院内寛解[[#All],[値]],0),MATCH($AW$4,阻害要因×在院期間区分＿寛解・院内寛解[#Headers],0)),0)+IFERROR(INDEX(阻害要因×在院期間区分＿寛解・院内寛解[#All],MATCH($AL60,阻害要因×在院期間区分＿寛解・院内寛解[[#All],[値]],0),MATCH($AX$4,阻害要因×在院期間区分＿寛解・院内寛解[#Headers],0)),0)+IFERROR(INDEX(阻害要因×在院期間区分＿寛解・院内寛解[#All],MATCH($AL60,阻害要因×在院期間区分＿寛解・院内寛解[[#All],[値]],0),MATCH($AY$4,阻害要因×在院期間区分＿寛解・院内寛解[#Headers],0)),0)+IFERROR(INDEX(阻害要因×在院期間区分＿寛解・院内寛解[#All],MATCH($AL60,阻害要因×在院期間区分＿寛解・院内寛解[[#All],[値]],0),MATCH($AZ$4,阻害要因×在院期間区分＿寛解・院内寛解[#Headers],0)),0)</f>
        <v>3</v>
      </c>
      <c r="H59" s="144">
        <f t="shared" si="14"/>
        <v>4.6875E-2</v>
      </c>
      <c r="I59" s="151">
        <f>IFERROR(INDEX(阻害要因×在院期間区分＿寛解・院内寛解[#All],MATCH($AL60,阻害要因×在院期間区分＿寛解・院内寛解[[#All],[値]],0),MATCH($BA$4,阻害要因×在院期間区分＿寛解・院内寛解[#Headers],0)),0)+IFERROR(INDEX(阻害要因×在院期間区分＿寛解・院内寛解[#All],MATCH($AL60,阻害要因×在院期間区分＿寛解・院内寛解[[#All],[値]],0),MATCH($BB$4,阻害要因×在院期間区分＿寛解・院内寛解[#Headers],0)),0)</f>
        <v>3</v>
      </c>
      <c r="J59" s="144">
        <f t="shared" si="15"/>
        <v>4.2253521126760563E-2</v>
      </c>
      <c r="K59" s="745"/>
      <c r="L59" s="745"/>
      <c r="M59" s="745"/>
      <c r="N59" s="26">
        <f t="shared" si="16"/>
        <v>27</v>
      </c>
      <c r="O59" s="43" t="s">
        <v>704</v>
      </c>
      <c r="P59" s="49">
        <v>2</v>
      </c>
      <c r="Q59" s="49">
        <v>2</v>
      </c>
      <c r="R59" s="49">
        <v>3</v>
      </c>
      <c r="S59" s="49">
        <v>0</v>
      </c>
      <c r="T59" s="49">
        <v>2</v>
      </c>
      <c r="U59" s="49">
        <v>0</v>
      </c>
      <c r="V59" s="49">
        <v>2</v>
      </c>
      <c r="W59" s="49">
        <v>1</v>
      </c>
      <c r="X59" s="49">
        <v>0</v>
      </c>
      <c r="Y59" s="49">
        <v>1</v>
      </c>
      <c r="Z59" s="49">
        <v>0</v>
      </c>
      <c r="AA59" s="49">
        <v>0</v>
      </c>
      <c r="AB59" s="49">
        <v>0</v>
      </c>
      <c r="AC59" s="49">
        <v>0</v>
      </c>
      <c r="AD59" s="49">
        <v>1</v>
      </c>
      <c r="AE59" s="49">
        <v>0</v>
      </c>
      <c r="AL59" s="250" t="s">
        <v>162</v>
      </c>
    </row>
    <row r="60" spans="2:38" ht="18.75" customHeight="1" x14ac:dyDescent="0.2">
      <c r="B60" s="72" t="s">
        <v>47</v>
      </c>
      <c r="C60" s="601">
        <f>IFERROR(INDEX(阻害要因×在院期間区分＿寛解・院内寛解[#All],MATCH($AL61,阻害要因×在院期間区分＿寛解・院内寛解[[#All],[値]],0),MATCH($AM$4,阻害要因×在院期間区分＿寛解・院内寛解[#Headers],0)),0)+IFERROR(INDEX(阻害要因×在院期間区分＿寛解・院内寛解[#All],MATCH($AL61,阻害要因×在院期間区分＿寛解・院内寛解[[#All],[値]],0),MATCH($AN$4,阻害要因×在院期間区分＿寛解・院内寛解[#Headers],0)),0)+IFERROR(INDEX(阻害要因×在院期間区分＿寛解・院内寛解[#All],MATCH($AL61,阻害要因×在院期間区分＿寛解・院内寛解[[#All],[値]],0),MATCH($AO$4,阻害要因×在院期間区分＿寛解・院内寛解[#Headers],0)),0)+IFERROR(INDEX(阻害要因×在院期間区分＿寛解・院内寛解[#All],MATCH($AL61,阻害要因×在院期間区分＿寛解・院内寛解[[#All],[値]],0),MATCH($AP$4,阻害要因×在院期間区分＿寛解・院内寛解[#Headers],0)),0)</f>
        <v>7</v>
      </c>
      <c r="D60" s="144">
        <f t="shared" si="12"/>
        <v>3.6269430051813469E-2</v>
      </c>
      <c r="E60" s="127">
        <f>IFERROR(INDEX(阻害要因×在院期間区分＿寛解・院内寛解[#All],MATCH($AL61,阻害要因×在院期間区分＿寛解・院内寛解[[#All],[値]],0),MATCH($AQ$4,阻害要因×在院期間区分＿寛解・院内寛解[#Headers],0)),0)+IFERROR(INDEX(阻害要因×在院期間区分＿寛解・院内寛解[#All],MATCH($AL61,阻害要因×在院期間区分＿寛解・院内寛解[[#All],[値]],0),MATCH($AR$4,阻害要因×在院期間区分＿寛解・院内寛解[#Headers],0)),0)+IFERROR(INDEX(阻害要因×在院期間区分＿寛解・院内寛解[#All],MATCH($AL61,阻害要因×在院期間区分＿寛解・院内寛解[[#All],[値]],0),MATCH($AS$4,阻害要因×在院期間区分＿寛解・院内寛解[#Headers],0)),0)+IFERROR(INDEX(阻害要因×在院期間区分＿寛解・院内寛解[#All],MATCH($AL61,阻害要因×在院期間区分＿寛解・院内寛解[[#All],[値]],0),MATCH($AT$4,阻害要因×在院期間区分＿寛解・院内寛解[#Headers],0)),0)+IFERROR(INDEX(阻害要因×在院期間区分＿寛解・院内寛解[#All],MATCH($AL61,阻害要因×在院期間区分＿寛解・院内寛解[[#All],[値]],0),MATCH($AU$4,阻害要因×在院期間区分＿寛解・院内寛解[#Headers],0)),0)</f>
        <v>5</v>
      </c>
      <c r="F60" s="144">
        <f t="shared" si="13"/>
        <v>3.1847133757961783E-2</v>
      </c>
      <c r="G60" s="127">
        <f>IFERROR(INDEX(阻害要因×在院期間区分＿寛解・院内寛解[#All],MATCH($AL61,阻害要因×在院期間区分＿寛解・院内寛解[[#All],[値]],0),MATCH($AV$4,阻害要因×在院期間区分＿寛解・院内寛解[#Headers],0)),0)+IFERROR(INDEX(阻害要因×在院期間区分＿寛解・院内寛解[#All],MATCH($AL61,阻害要因×在院期間区分＿寛解・院内寛解[[#All],[値]],0),MATCH($AW$4,阻害要因×在院期間区分＿寛解・院内寛解[#Headers],0)),0)+IFERROR(INDEX(阻害要因×在院期間区分＿寛解・院内寛解[#All],MATCH($AL61,阻害要因×在院期間区分＿寛解・院内寛解[[#All],[値]],0),MATCH($AX$4,阻害要因×在院期間区分＿寛解・院内寛解[#Headers],0)),0)+IFERROR(INDEX(阻害要因×在院期間区分＿寛解・院内寛解[#All],MATCH($AL61,阻害要因×在院期間区分＿寛解・院内寛解[[#All],[値]],0),MATCH($AY$4,阻害要因×在院期間区分＿寛解・院内寛解[#Headers],0)),0)+IFERROR(INDEX(阻害要因×在院期間区分＿寛解・院内寛解[#All],MATCH($AL61,阻害要因×在院期間区分＿寛解・院内寛解[[#All],[値]],0),MATCH($AZ$4,阻害要因×在院期間区分＿寛解・院内寛解[#Headers],0)),0)</f>
        <v>1</v>
      </c>
      <c r="H60" s="144">
        <f t="shared" si="14"/>
        <v>1.5625E-2</v>
      </c>
      <c r="I60" s="127">
        <f>IFERROR(INDEX(阻害要因×在院期間区分＿寛解・院内寛解[#All],MATCH($AL61,阻害要因×在院期間区分＿寛解・院内寛解[[#All],[値]],0),MATCH($BA$4,阻害要因×在院期間区分＿寛解・院内寛解[#Headers],0)),0)+IFERROR(INDEX(阻害要因×在院期間区分＿寛解・院内寛解[#All],MATCH($AL61,阻害要因×在院期間区分＿寛解・院内寛解[[#All],[値]],0),MATCH($BB$4,阻害要因×在院期間区分＿寛解・院内寛解[#Headers],0)),0)</f>
        <v>1</v>
      </c>
      <c r="J60" s="144">
        <f t="shared" si="15"/>
        <v>1.4084507042253521E-2</v>
      </c>
      <c r="K60" s="745"/>
      <c r="L60" s="745"/>
      <c r="M60" s="745"/>
      <c r="N60" s="26">
        <f t="shared" si="16"/>
        <v>14</v>
      </c>
      <c r="O60" s="43" t="s">
        <v>705</v>
      </c>
      <c r="P60" s="49">
        <v>0</v>
      </c>
      <c r="Q60" s="49">
        <v>0</v>
      </c>
      <c r="R60" s="49">
        <v>0</v>
      </c>
      <c r="S60" s="49">
        <v>0</v>
      </c>
      <c r="T60" s="49">
        <v>0</v>
      </c>
      <c r="U60" s="49">
        <v>0</v>
      </c>
      <c r="V60" s="49">
        <v>0</v>
      </c>
      <c r="W60" s="49">
        <v>1</v>
      </c>
      <c r="X60" s="49">
        <v>0</v>
      </c>
      <c r="Y60" s="49">
        <v>0</v>
      </c>
      <c r="Z60" s="49">
        <v>0</v>
      </c>
      <c r="AA60" s="49">
        <v>0</v>
      </c>
      <c r="AB60" s="49">
        <v>0</v>
      </c>
      <c r="AC60" s="49">
        <v>0</v>
      </c>
      <c r="AD60" s="49">
        <v>0</v>
      </c>
      <c r="AE60" s="49">
        <v>0</v>
      </c>
      <c r="AL60" s="250" t="s">
        <v>163</v>
      </c>
    </row>
    <row r="61" spans="2:38" ht="18.75" customHeight="1" x14ac:dyDescent="0.2">
      <c r="B61" s="72" t="s">
        <v>48</v>
      </c>
      <c r="C61" s="606">
        <f>IFERROR(INDEX(阻害要因×在院期間区分＿寛解・院内寛解[#All],MATCH($AL62,阻害要因×在院期間区分＿寛解・院内寛解[[#All],[値]],0),MATCH($AM$4,阻害要因×在院期間区分＿寛解・院内寛解[#Headers],0)),0)+IFERROR(INDEX(阻害要因×在院期間区分＿寛解・院内寛解[#All],MATCH($AL62,阻害要因×在院期間区分＿寛解・院内寛解[[#All],[値]],0),MATCH($AN$4,阻害要因×在院期間区分＿寛解・院内寛解[#Headers],0)),0)+IFERROR(INDEX(阻害要因×在院期間区分＿寛解・院内寛解[#All],MATCH($AL62,阻害要因×在院期間区分＿寛解・院内寛解[[#All],[値]],0),MATCH($AO$4,阻害要因×在院期間区分＿寛解・院内寛解[#Headers],0)),0)+IFERROR(INDEX(阻害要因×在院期間区分＿寛解・院内寛解[#All],MATCH($AL62,阻害要因×在院期間区分＿寛解・院内寛解[[#All],[値]],0),MATCH($AP$4,阻害要因×在院期間区分＿寛解・院内寛解[#Headers],0)),0)</f>
        <v>0</v>
      </c>
      <c r="D61" s="144">
        <f t="shared" si="12"/>
        <v>0</v>
      </c>
      <c r="E61" s="127">
        <f>IFERROR(INDEX(阻害要因×在院期間区分＿寛解・院内寛解[#All],MATCH($AL62,阻害要因×在院期間区分＿寛解・院内寛解[[#All],[値]],0),MATCH($AQ$4,阻害要因×在院期間区分＿寛解・院内寛解[#Headers],0)),0)+IFERROR(INDEX(阻害要因×在院期間区分＿寛解・院内寛解[#All],MATCH($AL62,阻害要因×在院期間区分＿寛解・院内寛解[[#All],[値]],0),MATCH($AR$4,阻害要因×在院期間区分＿寛解・院内寛解[#Headers],0)),0)+IFERROR(INDEX(阻害要因×在院期間区分＿寛解・院内寛解[#All],MATCH($AL62,阻害要因×在院期間区分＿寛解・院内寛解[[#All],[値]],0),MATCH($AS$4,阻害要因×在院期間区分＿寛解・院内寛解[#Headers],0)),0)+IFERROR(INDEX(阻害要因×在院期間区分＿寛解・院内寛解[#All],MATCH($AL62,阻害要因×在院期間区分＿寛解・院内寛解[[#All],[値]],0),MATCH($AT$4,阻害要因×在院期間区分＿寛解・院内寛解[#Headers],0)),0)+IFERROR(INDEX(阻害要因×在院期間区分＿寛解・院内寛解[#All],MATCH($AL62,阻害要因×在院期間区分＿寛解・院内寛解[[#All],[値]],0),MATCH($AU$4,阻害要因×在院期間区分＿寛解・院内寛解[#Headers],0)),0)</f>
        <v>1</v>
      </c>
      <c r="F61" s="144">
        <f t="shared" si="13"/>
        <v>6.369426751592357E-3</v>
      </c>
      <c r="G61" s="127">
        <f>IFERROR(INDEX(阻害要因×在院期間区分＿寛解・院内寛解[#All],MATCH($AL62,阻害要因×在院期間区分＿寛解・院内寛解[[#All],[値]],0),MATCH($AV$4,阻害要因×在院期間区分＿寛解・院内寛解[#Headers],0)),0)+IFERROR(INDEX(阻害要因×在院期間区分＿寛解・院内寛解[#All],MATCH($AL62,阻害要因×在院期間区分＿寛解・院内寛解[[#All],[値]],0),MATCH($AW$4,阻害要因×在院期間区分＿寛解・院内寛解[#Headers],0)),0)+IFERROR(INDEX(阻害要因×在院期間区分＿寛解・院内寛解[#All],MATCH($AL62,阻害要因×在院期間区分＿寛解・院内寛解[[#All],[値]],0),MATCH($AX$4,阻害要因×在院期間区分＿寛解・院内寛解[#Headers],0)),0)+IFERROR(INDEX(阻害要因×在院期間区分＿寛解・院内寛解[#All],MATCH($AL62,阻害要因×在院期間区分＿寛解・院内寛解[[#All],[値]],0),MATCH($AY$4,阻害要因×在院期間区分＿寛解・院内寛解[#Headers],0)),0)+IFERROR(INDEX(阻害要因×在院期間区分＿寛解・院内寛解[#All],MATCH($AL62,阻害要因×在院期間区分＿寛解・院内寛解[[#All],[値]],0),MATCH($AZ$4,阻害要因×在院期間区分＿寛解・院内寛解[#Headers],0)),0)</f>
        <v>0</v>
      </c>
      <c r="H61" s="144">
        <f t="shared" si="14"/>
        <v>0</v>
      </c>
      <c r="I61" s="127">
        <f>IFERROR(INDEX(阻害要因×在院期間区分＿寛解・院内寛解[#All],MATCH($AL62,阻害要因×在院期間区分＿寛解・院内寛解[[#All],[値]],0),MATCH($BA$4,阻害要因×在院期間区分＿寛解・院内寛解[#Headers],0)),0)+IFERROR(INDEX(阻害要因×在院期間区分＿寛解・院内寛解[#All],MATCH($AL62,阻害要因×在院期間区分＿寛解・院内寛解[[#All],[値]],0),MATCH($BB$4,阻害要因×在院期間区分＿寛解・院内寛解[#Headers],0)),0)</f>
        <v>0</v>
      </c>
      <c r="J61" s="144">
        <f t="shared" si="15"/>
        <v>0</v>
      </c>
      <c r="K61" s="745"/>
      <c r="L61" s="745"/>
      <c r="M61" s="745"/>
      <c r="N61" s="26">
        <f t="shared" si="16"/>
        <v>1</v>
      </c>
      <c r="O61" s="43" t="s">
        <v>706</v>
      </c>
      <c r="P61" s="49">
        <v>2</v>
      </c>
      <c r="Q61" s="49">
        <v>7</v>
      </c>
      <c r="R61" s="49">
        <v>3</v>
      </c>
      <c r="S61" s="49">
        <v>2</v>
      </c>
      <c r="T61" s="49">
        <v>3</v>
      </c>
      <c r="U61" s="49">
        <v>2</v>
      </c>
      <c r="V61" s="49">
        <v>3</v>
      </c>
      <c r="W61" s="49">
        <v>4</v>
      </c>
      <c r="X61" s="49">
        <v>3</v>
      </c>
      <c r="Y61" s="49">
        <v>1</v>
      </c>
      <c r="Z61" s="49">
        <v>4</v>
      </c>
      <c r="AA61" s="49">
        <v>0</v>
      </c>
      <c r="AB61" s="49">
        <v>0</v>
      </c>
      <c r="AC61" s="49">
        <v>2</v>
      </c>
      <c r="AD61" s="49">
        <v>4</v>
      </c>
      <c r="AE61" s="49">
        <v>6</v>
      </c>
      <c r="AL61" s="250" t="s">
        <v>164</v>
      </c>
    </row>
    <row r="62" spans="2:38" ht="18.75" customHeight="1" x14ac:dyDescent="0.2">
      <c r="B62" s="72" t="s">
        <v>49</v>
      </c>
      <c r="C62" s="602">
        <f>IFERROR(INDEX(阻害要因×在院期間区分＿寛解・院内寛解[#All],MATCH($AL63,阻害要因×在院期間区分＿寛解・院内寛解[[#All],[値]],0),MATCH($AM$4,阻害要因×在院期間区分＿寛解・院内寛解[#Headers],0)),0)+IFERROR(INDEX(阻害要因×在院期間区分＿寛解・院内寛解[#All],MATCH($AL63,阻害要因×在院期間区分＿寛解・院内寛解[[#All],[値]],0),MATCH($AN$4,阻害要因×在院期間区分＿寛解・院内寛解[#Headers],0)),0)+IFERROR(INDEX(阻害要因×在院期間区分＿寛解・院内寛解[#All],MATCH($AL63,阻害要因×在院期間区分＿寛解・院内寛解[[#All],[値]],0),MATCH($AO$4,阻害要因×在院期間区分＿寛解・院内寛解[#Headers],0)),0)+IFERROR(INDEX(阻害要因×在院期間区分＿寛解・院内寛解[#All],MATCH($AL63,阻害要因×在院期間区分＿寛解・院内寛解[[#All],[値]],0),MATCH($AP$4,阻害要因×在院期間区分＿寛解・院内寛解[#Headers],0)),0)</f>
        <v>14</v>
      </c>
      <c r="D62" s="144">
        <f t="shared" si="12"/>
        <v>7.2538860103626937E-2</v>
      </c>
      <c r="E62" s="151">
        <f>IFERROR(INDEX(阻害要因×在院期間区分＿寛解・院内寛解[#All],MATCH($AL63,阻害要因×在院期間区分＿寛解・院内寛解[[#All],[値]],0),MATCH($AQ$4,阻害要因×在院期間区分＿寛解・院内寛解[#Headers],0)),0)+IFERROR(INDEX(阻害要因×在院期間区分＿寛解・院内寛解[#All],MATCH($AL63,阻害要因×在院期間区分＿寛解・院内寛解[[#All],[値]],0),MATCH($AR$4,阻害要因×在院期間区分＿寛解・院内寛解[#Headers],0)),0)+IFERROR(INDEX(阻害要因×在院期間区分＿寛解・院内寛解[#All],MATCH($AL63,阻害要因×在院期間区分＿寛解・院内寛解[[#All],[値]],0),MATCH($AS$4,阻害要因×在院期間区分＿寛解・院内寛解[#Headers],0)),0)+IFERROR(INDEX(阻害要因×在院期間区分＿寛解・院内寛解[#All],MATCH($AL63,阻害要因×在院期間区分＿寛解・院内寛解[[#All],[値]],0),MATCH($AT$4,阻害要因×在院期間区分＿寛解・院内寛解[#Headers],0)),0)+IFERROR(INDEX(阻害要因×在院期間区分＿寛解・院内寛解[#All],MATCH($AL63,阻害要因×在院期間区分＿寛解・院内寛解[[#All],[値]],0),MATCH($AU$4,阻害要因×在院期間区分＿寛解・院内寛解[#Headers],0)),0)</f>
        <v>15</v>
      </c>
      <c r="F62" s="144">
        <f t="shared" si="13"/>
        <v>9.5541401273885357E-2</v>
      </c>
      <c r="G62" s="151">
        <f>IFERROR(INDEX(阻害要因×在院期間区分＿寛解・院内寛解[#All],MATCH($AL63,阻害要因×在院期間区分＿寛解・院内寛解[[#All],[値]],0),MATCH($AV$4,阻害要因×在院期間区分＿寛解・院内寛解[#Headers],0)),0)+IFERROR(INDEX(阻害要因×在院期間区分＿寛解・院内寛解[#All],MATCH($AL63,阻害要因×在院期間区分＿寛解・院内寛解[[#All],[値]],0),MATCH($AW$4,阻害要因×在院期間区分＿寛解・院内寛解[#Headers],0)),0)+IFERROR(INDEX(阻害要因×在院期間区分＿寛解・院内寛解[#All],MATCH($AL63,阻害要因×在院期間区分＿寛解・院内寛解[[#All],[値]],0),MATCH($AX$4,阻害要因×在院期間区分＿寛解・院内寛解[#Headers],0)),0)+IFERROR(INDEX(阻害要因×在院期間区分＿寛解・院内寛解[#All],MATCH($AL63,阻害要因×在院期間区分＿寛解・院内寛解[[#All],[値]],0),MATCH($AY$4,阻害要因×在院期間区分＿寛解・院内寛解[#Headers],0)),0)+IFERROR(INDEX(阻害要因×在院期間区分＿寛解・院内寛解[#All],MATCH($AL63,阻害要因×在院期間区分＿寛解・院内寛解[[#All],[値]],0),MATCH($AZ$4,阻害要因×在院期間区分＿寛解・院内寛解[#Headers],0)),0)</f>
        <v>7</v>
      </c>
      <c r="H62" s="144">
        <f t="shared" si="14"/>
        <v>0.109375</v>
      </c>
      <c r="I62" s="151">
        <f>IFERROR(INDEX(阻害要因×在院期間区分＿寛解・院内寛解[#All],MATCH($AL63,阻害要因×在院期間区分＿寛解・院内寛解[[#All],[値]],0),MATCH($BA$4,阻害要因×在院期間区分＿寛解・院内寛解[#Headers],0)),0)+IFERROR(INDEX(阻害要因×在院期間区分＿寛解・院内寛解[#All],MATCH($AL63,阻害要因×在院期間区分＿寛解・院内寛解[[#All],[値]],0),MATCH($BB$4,阻害要因×在院期間区分＿寛解・院内寛解[#Headers],0)),0)</f>
        <v>10</v>
      </c>
      <c r="J62" s="144">
        <f t="shared" si="15"/>
        <v>0.14084507042253522</v>
      </c>
      <c r="K62" s="745"/>
      <c r="L62" s="745"/>
      <c r="M62" s="745"/>
      <c r="N62" s="26">
        <f t="shared" si="16"/>
        <v>46</v>
      </c>
      <c r="O62" s="43" t="s">
        <v>707</v>
      </c>
      <c r="P62" s="49">
        <v>2</v>
      </c>
      <c r="Q62" s="49">
        <v>6</v>
      </c>
      <c r="R62" s="49">
        <v>5</v>
      </c>
      <c r="S62" s="49">
        <v>3</v>
      </c>
      <c r="T62" s="49">
        <v>1</v>
      </c>
      <c r="U62" s="49">
        <v>1</v>
      </c>
      <c r="V62" s="49">
        <v>0</v>
      </c>
      <c r="W62" s="49">
        <v>3</v>
      </c>
      <c r="X62" s="49">
        <v>2</v>
      </c>
      <c r="Y62" s="49">
        <v>1</v>
      </c>
      <c r="Z62" s="49">
        <v>3</v>
      </c>
      <c r="AA62" s="49">
        <v>0</v>
      </c>
      <c r="AB62" s="49">
        <v>2</v>
      </c>
      <c r="AC62" s="49">
        <v>1</v>
      </c>
      <c r="AD62" s="49">
        <v>4</v>
      </c>
      <c r="AE62" s="49">
        <v>4</v>
      </c>
      <c r="AL62" s="250" t="s">
        <v>165</v>
      </c>
    </row>
    <row r="63" spans="2:38" ht="18.75" customHeight="1" x14ac:dyDescent="0.2">
      <c r="B63" s="72" t="s">
        <v>50</v>
      </c>
      <c r="C63" s="601">
        <f>IFERROR(INDEX(阻害要因×在院期間区分＿寛解・院内寛解[#All],MATCH($AL64,阻害要因×在院期間区分＿寛解・院内寛解[[#All],[値]],0),MATCH($AM$4,阻害要因×在院期間区分＿寛解・院内寛解[#Headers],0)),0)+IFERROR(INDEX(阻害要因×在院期間区分＿寛解・院内寛解[#All],MATCH($AL64,阻害要因×在院期間区分＿寛解・院内寛解[[#All],[値]],0),MATCH($AN$4,阻害要因×在院期間区分＿寛解・院内寛解[#Headers],0)),0)+IFERROR(INDEX(阻害要因×在院期間区分＿寛解・院内寛解[#All],MATCH($AL64,阻害要因×在院期間区分＿寛解・院内寛解[[#All],[値]],0),MATCH($AO$4,阻害要因×在院期間区分＿寛解・院内寛解[#Headers],0)),0)+IFERROR(INDEX(阻害要因×在院期間区分＿寛解・院内寛解[#All],MATCH($AL64,阻害要因×在院期間区分＿寛解・院内寛解[[#All],[値]],0),MATCH($AP$4,阻害要因×在院期間区分＿寛解・院内寛解[#Headers],0)),0)</f>
        <v>16</v>
      </c>
      <c r="D63" s="144">
        <f t="shared" si="12"/>
        <v>8.2901554404145081E-2</v>
      </c>
      <c r="E63" s="127">
        <f>IFERROR(INDEX(阻害要因×在院期間区分＿寛解・院内寛解[#All],MATCH($AL64,阻害要因×在院期間区分＿寛解・院内寛解[[#All],[値]],0),MATCH($AQ$4,阻害要因×在院期間区分＿寛解・院内寛解[#Headers],0)),0)+IFERROR(INDEX(阻害要因×在院期間区分＿寛解・院内寛解[#All],MATCH($AL64,阻害要因×在院期間区分＿寛解・院内寛解[[#All],[値]],0),MATCH($AR$4,阻害要因×在院期間区分＿寛解・院内寛解[#Headers],0)),0)+IFERROR(INDEX(阻害要因×在院期間区分＿寛解・院内寛解[#All],MATCH($AL64,阻害要因×在院期間区分＿寛解・院内寛解[[#All],[値]],0),MATCH($AS$4,阻害要因×在院期間区分＿寛解・院内寛解[#Headers],0)),0)+IFERROR(INDEX(阻害要因×在院期間区分＿寛解・院内寛解[#All],MATCH($AL64,阻害要因×在院期間区分＿寛解・院内寛解[[#All],[値]],0),MATCH($AT$4,阻害要因×在院期間区分＿寛解・院内寛解[#Headers],0)),0)+IFERROR(INDEX(阻害要因×在院期間区分＿寛解・院内寛解[#All],MATCH($AL64,阻害要因×在院期間区分＿寛解・院内寛解[[#All],[値]],0),MATCH($AU$4,阻害要因×在院期間区分＿寛解・院内寛解[#Headers],0)),0)</f>
        <v>7</v>
      </c>
      <c r="F63" s="144">
        <f t="shared" si="13"/>
        <v>4.4585987261146494E-2</v>
      </c>
      <c r="G63" s="127">
        <f>IFERROR(INDEX(阻害要因×在院期間区分＿寛解・院内寛解[#All],MATCH($AL64,阻害要因×在院期間区分＿寛解・院内寛解[[#All],[値]],0),MATCH($AV$4,阻害要因×在院期間区分＿寛解・院内寛解[#Headers],0)),0)+IFERROR(INDEX(阻害要因×在院期間区分＿寛解・院内寛解[#All],MATCH($AL64,阻害要因×在院期間区分＿寛解・院内寛解[[#All],[値]],0),MATCH($AW$4,阻害要因×在院期間区分＿寛解・院内寛解[#Headers],0)),0)+IFERROR(INDEX(阻害要因×在院期間区分＿寛解・院内寛解[#All],MATCH($AL64,阻害要因×在院期間区分＿寛解・院内寛解[[#All],[値]],0),MATCH($AX$4,阻害要因×在院期間区分＿寛解・院内寛解[#Headers],0)),0)+IFERROR(INDEX(阻害要因×在院期間区分＿寛解・院内寛解[#All],MATCH($AL64,阻害要因×在院期間区分＿寛解・院内寛解[[#All],[値]],0),MATCH($AY$4,阻害要因×在院期間区分＿寛解・院内寛解[#Headers],0)),0)+IFERROR(INDEX(阻害要因×在院期間区分＿寛解・院内寛解[#All],MATCH($AL64,阻害要因×在院期間区分＿寛解・院内寛解[[#All],[値]],0),MATCH($AZ$4,阻害要因×在院期間区分＿寛解・院内寛解[#Headers],0)),0)</f>
        <v>7</v>
      </c>
      <c r="H63" s="144">
        <f t="shared" si="14"/>
        <v>0.109375</v>
      </c>
      <c r="I63" s="127">
        <f>IFERROR(INDEX(阻害要因×在院期間区分＿寛解・院内寛解[#All],MATCH($AL64,阻害要因×在院期間区分＿寛解・院内寛解[[#All],[値]],0),MATCH($BA$4,阻害要因×在院期間区分＿寛解・院内寛解[#Headers],0)),0)+IFERROR(INDEX(阻害要因×在院期間区分＿寛解・院内寛解[#All],MATCH($AL64,阻害要因×在院期間区分＿寛解・院内寛解[[#All],[値]],0),MATCH($BB$4,阻害要因×在院期間区分＿寛解・院内寛解[#Headers],0)),0)</f>
        <v>8</v>
      </c>
      <c r="J63" s="144">
        <f t="shared" si="15"/>
        <v>0.11267605633802817</v>
      </c>
      <c r="K63" s="745"/>
      <c r="L63" s="745"/>
      <c r="M63" s="745"/>
      <c r="N63" s="26">
        <f t="shared" si="16"/>
        <v>38</v>
      </c>
      <c r="O63" s="43" t="s">
        <v>708</v>
      </c>
      <c r="P63" s="49">
        <v>0</v>
      </c>
      <c r="Q63" s="49">
        <v>1</v>
      </c>
      <c r="R63" s="49">
        <v>1</v>
      </c>
      <c r="S63" s="49">
        <v>2</v>
      </c>
      <c r="T63" s="49">
        <v>1</v>
      </c>
      <c r="U63" s="49">
        <v>1</v>
      </c>
      <c r="V63" s="49">
        <v>2</v>
      </c>
      <c r="W63" s="49">
        <v>2</v>
      </c>
      <c r="X63" s="49">
        <v>0</v>
      </c>
      <c r="Y63" s="49">
        <v>0</v>
      </c>
      <c r="Z63" s="49">
        <v>1</v>
      </c>
      <c r="AA63" s="49">
        <v>0</v>
      </c>
      <c r="AB63" s="49">
        <v>1</v>
      </c>
      <c r="AC63" s="49">
        <v>0</v>
      </c>
      <c r="AD63" s="49">
        <v>0</v>
      </c>
      <c r="AE63" s="49">
        <v>0</v>
      </c>
      <c r="AL63" s="250" t="s">
        <v>166</v>
      </c>
    </row>
    <row r="64" spans="2:38" ht="18.75" customHeight="1" x14ac:dyDescent="0.2">
      <c r="B64" s="72" t="s">
        <v>230</v>
      </c>
      <c r="C64" s="601">
        <f>IFERROR(INDEX(阻害要因×在院期間区分＿寛解・院内寛解[#All],MATCH($AL65,阻害要因×在院期間区分＿寛解・院内寛解[[#All],[値]],0),MATCH($AM$4,阻害要因×在院期間区分＿寛解・院内寛解[#Headers],0)),0)+IFERROR(INDEX(阻害要因×在院期間区分＿寛解・院内寛解[#All],MATCH($AL65,阻害要因×在院期間区分＿寛解・院内寛解[[#All],[値]],0),MATCH($AN$4,阻害要因×在院期間区分＿寛解・院内寛解[#Headers],0)),0)+IFERROR(INDEX(阻害要因×在院期間区分＿寛解・院内寛解[#All],MATCH($AL65,阻害要因×在院期間区分＿寛解・院内寛解[[#All],[値]],0),MATCH($AO$4,阻害要因×在院期間区分＿寛解・院内寛解[#Headers],0)),0)+IFERROR(INDEX(阻害要因×在院期間区分＿寛解・院内寛解[#All],MATCH($AL65,阻害要因×在院期間区分＿寛解・院内寛解[[#All],[値]],0),MATCH($AP$4,阻害要因×在院期間区分＿寛解・院内寛解[#Headers],0)),0)</f>
        <v>4</v>
      </c>
      <c r="D64" s="144">
        <f t="shared" si="12"/>
        <v>2.072538860103627E-2</v>
      </c>
      <c r="E64" s="127">
        <f>IFERROR(INDEX(阻害要因×在院期間区分＿寛解・院内寛解[#All],MATCH($AL65,阻害要因×在院期間区分＿寛解・院内寛解[[#All],[値]],0),MATCH($AQ$4,阻害要因×在院期間区分＿寛解・院内寛解[#Headers],0)),0)+IFERROR(INDEX(阻害要因×在院期間区分＿寛解・院内寛解[#All],MATCH($AL65,阻害要因×在院期間区分＿寛解・院内寛解[[#All],[値]],0),MATCH($AR$4,阻害要因×在院期間区分＿寛解・院内寛解[#Headers],0)),0)+IFERROR(INDEX(阻害要因×在院期間区分＿寛解・院内寛解[#All],MATCH($AL65,阻害要因×在院期間区分＿寛解・院内寛解[[#All],[値]],0),MATCH($AS$4,阻害要因×在院期間区分＿寛解・院内寛解[#Headers],0)),0)+IFERROR(INDEX(阻害要因×在院期間区分＿寛解・院内寛解[#All],MATCH($AL65,阻害要因×在院期間区分＿寛解・院内寛解[[#All],[値]],0),MATCH($AT$4,阻害要因×在院期間区分＿寛解・院内寛解[#Headers],0)),0)+IFERROR(INDEX(阻害要因×在院期間区分＿寛解・院内寛解[#All],MATCH($AL65,阻害要因×在院期間区分＿寛解・院内寛解[[#All],[値]],0),MATCH($AU$4,阻害要因×在院期間区分＿寛解・院内寛解[#Headers],0)),0)</f>
        <v>6</v>
      </c>
      <c r="F64" s="144">
        <f t="shared" si="13"/>
        <v>3.8216560509554139E-2</v>
      </c>
      <c r="G64" s="127">
        <f>IFERROR(INDEX(阻害要因×在院期間区分＿寛解・院内寛解[#All],MATCH($AL65,阻害要因×在院期間区分＿寛解・院内寛解[[#All],[値]],0),MATCH($AV$4,阻害要因×在院期間区分＿寛解・院内寛解[#Headers],0)),0)+IFERROR(INDEX(阻害要因×在院期間区分＿寛解・院内寛解[#All],MATCH($AL65,阻害要因×在院期間区分＿寛解・院内寛解[[#All],[値]],0),MATCH($AW$4,阻害要因×在院期間区分＿寛解・院内寛解[#Headers],0)),0)+IFERROR(INDEX(阻害要因×在院期間区分＿寛解・院内寛解[#All],MATCH($AL65,阻害要因×在院期間区分＿寛解・院内寛解[[#All],[値]],0),MATCH($AX$4,阻害要因×在院期間区分＿寛解・院内寛解[#Headers],0)),0)+IFERROR(INDEX(阻害要因×在院期間区分＿寛解・院内寛解[#All],MATCH($AL65,阻害要因×在院期間区分＿寛解・院内寛解[[#All],[値]],0),MATCH($AY$4,阻害要因×在院期間区分＿寛解・院内寛解[#Headers],0)),0)+IFERROR(INDEX(阻害要因×在院期間区分＿寛解・院内寛解[#All],MATCH($AL65,阻害要因×在院期間区分＿寛解・院内寛解[[#All],[値]],0),MATCH($AZ$4,阻害要因×在院期間区分＿寛解・院内寛解[#Headers],0)),0)</f>
        <v>2</v>
      </c>
      <c r="H64" s="144">
        <f t="shared" si="14"/>
        <v>3.125E-2</v>
      </c>
      <c r="I64" s="127">
        <f>IFERROR(INDEX(阻害要因×在院期間区分＿寛解・院内寛解[#All],MATCH($AL65,阻害要因×在院期間区分＿寛解・院内寛解[[#All],[値]],0),MATCH($BA$4,阻害要因×在院期間区分＿寛解・院内寛解[#Headers],0)),0)+IFERROR(INDEX(阻害要因×在院期間区分＿寛解・院内寛解[#All],MATCH($AL65,阻害要因×在院期間区分＿寛解・院内寛解[[#All],[値]],0),MATCH($BB$4,阻害要因×在院期間区分＿寛解・院内寛解[#Headers],0)),0)</f>
        <v>0</v>
      </c>
      <c r="J64" s="144">
        <f t="shared" si="15"/>
        <v>0</v>
      </c>
      <c r="K64" s="745"/>
      <c r="L64" s="745"/>
      <c r="M64" s="745"/>
      <c r="N64" s="26">
        <f t="shared" si="16"/>
        <v>12</v>
      </c>
      <c r="O64" s="43" t="s">
        <v>709</v>
      </c>
      <c r="P64" s="355">
        <v>4</v>
      </c>
      <c r="Q64" s="49">
        <v>9</v>
      </c>
      <c r="R64" s="49">
        <v>12</v>
      </c>
      <c r="S64" s="49">
        <v>12</v>
      </c>
      <c r="T64" s="49">
        <v>4</v>
      </c>
      <c r="U64" s="49">
        <v>4</v>
      </c>
      <c r="V64" s="49">
        <v>10</v>
      </c>
      <c r="W64" s="49">
        <v>5</v>
      </c>
      <c r="X64" s="49">
        <v>3</v>
      </c>
      <c r="Y64" s="49">
        <v>4</v>
      </c>
      <c r="Z64" s="49">
        <v>5</v>
      </c>
      <c r="AA64" s="49">
        <v>3</v>
      </c>
      <c r="AB64" s="49">
        <v>4</v>
      </c>
      <c r="AC64" s="49">
        <v>2</v>
      </c>
      <c r="AD64" s="49">
        <v>6</v>
      </c>
      <c r="AE64" s="49">
        <v>1</v>
      </c>
      <c r="AL64" s="250" t="s">
        <v>167</v>
      </c>
    </row>
    <row r="65" spans="2:38" s="352" customFormat="1" ht="18.75" customHeight="1" x14ac:dyDescent="0.2">
      <c r="B65" s="356" t="s">
        <v>352</v>
      </c>
      <c r="C65" s="601">
        <f>IFERROR(INDEX(阻害要因×在院期間区分＿寛解・院内寛解[#All],MATCH($AL66,阻害要因×在院期間区分＿寛解・院内寛解[[#All],[値]],0),MATCH($AM$4,阻害要因×在院期間区分＿寛解・院内寛解[#Headers],0)),0)+IFERROR(INDEX(阻害要因×在院期間区分＿寛解・院内寛解[#All],MATCH($AL66,阻害要因×在院期間区分＿寛解・院内寛解[[#All],[値]],0),MATCH($AN$4,阻害要因×在院期間区分＿寛解・院内寛解[#Headers],0)),0)+IFERROR(INDEX(阻害要因×在院期間区分＿寛解・院内寛解[#All],MATCH($AL66,阻害要因×在院期間区分＿寛解・院内寛解[[#All],[値]],0),MATCH($AO$4,阻害要因×在院期間区分＿寛解・院内寛解[#Headers],0)),0)+IFERROR(INDEX(阻害要因×在院期間区分＿寛解・院内寛解[#All],MATCH($AL66,阻害要因×在院期間区分＿寛解・院内寛解[[#All],[値]],0),MATCH($AP$4,阻害要因×在院期間区分＿寛解・院内寛解[#Headers],0)),0)</f>
        <v>37</v>
      </c>
      <c r="D65" s="144">
        <f t="shared" ref="D65:D67" si="17">IFERROR(C65/C$44,"-")</f>
        <v>0.19170984455958548</v>
      </c>
      <c r="E65" s="127">
        <f>IFERROR(INDEX(阻害要因×在院期間区分＿寛解・院内寛解[#All],MATCH($AL66,阻害要因×在院期間区分＿寛解・院内寛解[[#All],[値]],0),MATCH($AQ$4,阻害要因×在院期間区分＿寛解・院内寛解[#Headers],0)),0)+IFERROR(INDEX(阻害要因×在院期間区分＿寛解・院内寛解[#All],MATCH($AL66,阻害要因×在院期間区分＿寛解・院内寛解[[#All],[値]],0),MATCH($AR$4,阻害要因×在院期間区分＿寛解・院内寛解[#Headers],0)),0)+IFERROR(INDEX(阻害要因×在院期間区分＿寛解・院内寛解[#All],MATCH($AL66,阻害要因×在院期間区分＿寛解・院内寛解[[#All],[値]],0),MATCH($AS$4,阻害要因×在院期間区分＿寛解・院内寛解[#Headers],0)),0)+IFERROR(INDEX(阻害要因×在院期間区分＿寛解・院内寛解[#All],MATCH($AL66,阻害要因×在院期間区分＿寛解・院内寛解[[#All],[値]],0),MATCH($AT$4,阻害要因×在院期間区分＿寛解・院内寛解[#Headers],0)),0)+IFERROR(INDEX(阻害要因×在院期間区分＿寛解・院内寛解[#All],MATCH($AL66,阻害要因×在院期間区分＿寛解・院内寛解[[#All],[値]],0),MATCH($AU$4,阻害要因×在院期間区分＿寛解・院内寛解[#Headers],0)),0)</f>
        <v>26</v>
      </c>
      <c r="F65" s="144">
        <f t="shared" ref="F65:F67" si="18">IFERROR(E65/E$44,"-")</f>
        <v>0.16560509554140126</v>
      </c>
      <c r="G65" s="127">
        <f>IFERROR(INDEX(阻害要因×在院期間区分＿寛解・院内寛解[#All],MATCH($AL66,阻害要因×在院期間区分＿寛解・院内寛解[[#All],[値]],0),MATCH($AV$4,阻害要因×在院期間区分＿寛解・院内寛解[#Headers],0)),0)+IFERROR(INDEX(阻害要因×在院期間区分＿寛解・院内寛解[#All],MATCH($AL66,阻害要因×在院期間区分＿寛解・院内寛解[[#All],[値]],0),MATCH($AW$4,阻害要因×在院期間区分＿寛解・院内寛解[#Headers],0)),0)+IFERROR(INDEX(阻害要因×在院期間区分＿寛解・院内寛解[#All],MATCH($AL66,阻害要因×在院期間区分＿寛解・院内寛解[[#All],[値]],0),MATCH($AX$4,阻害要因×在院期間区分＿寛解・院内寛解[#Headers],0)),0)+IFERROR(INDEX(阻害要因×在院期間区分＿寛解・院内寛解[#All],MATCH($AL66,阻害要因×在院期間区分＿寛解・院内寛解[[#All],[値]],0),MATCH($AY$4,阻害要因×在院期間区分＿寛解・院内寛解[#Headers],0)),0)+IFERROR(INDEX(阻害要因×在院期間区分＿寛解・院内寛解[#All],MATCH($AL66,阻害要因×在院期間区分＿寛解・院内寛解[[#All],[値]],0),MATCH($AZ$4,阻害要因×在院期間区分＿寛解・院内寛解[#Headers],0)),0)</f>
        <v>18</v>
      </c>
      <c r="H65" s="144">
        <f t="shared" ref="H65:H67" si="19">IFERROR(G65/G$44,"-")</f>
        <v>0.28125</v>
      </c>
      <c r="I65" s="127">
        <f>IFERROR(INDEX(阻害要因×在院期間区分＿寛解・院内寛解[#All],MATCH($AL66,阻害要因×在院期間区分＿寛解・院内寛解[[#All],[値]],0),MATCH($BA$4,阻害要因×在院期間区分＿寛解・院内寛解[#Headers],0)),0)+IFERROR(INDEX(阻害要因×在院期間区分＿寛解・院内寛解[#All],MATCH($AL66,阻害要因×在院期間区分＿寛解・院内寛解[[#All],[値]],0),MATCH($BB$4,阻害要因×在院期間区分＿寛解・院内寛解[#Headers],0)),0)</f>
        <v>7</v>
      </c>
      <c r="J65" s="144">
        <f t="shared" ref="J65:J67" si="20">IFERROR(I65/I$44,"-")</f>
        <v>9.8591549295774641E-2</v>
      </c>
      <c r="K65" s="745"/>
      <c r="L65" s="745"/>
      <c r="M65" s="745"/>
      <c r="N65" s="26">
        <f t="shared" si="16"/>
        <v>88</v>
      </c>
      <c r="O65" s="43" t="s">
        <v>710</v>
      </c>
      <c r="P65" s="355">
        <v>6</v>
      </c>
      <c r="Q65" s="49">
        <v>4</v>
      </c>
      <c r="R65" s="49">
        <v>8</v>
      </c>
      <c r="S65" s="49">
        <v>5</v>
      </c>
      <c r="T65" s="49">
        <v>3</v>
      </c>
      <c r="U65" s="49">
        <v>0</v>
      </c>
      <c r="V65" s="49">
        <v>6</v>
      </c>
      <c r="W65" s="49">
        <v>0</v>
      </c>
      <c r="X65" s="49">
        <v>2</v>
      </c>
      <c r="Y65" s="49">
        <v>3</v>
      </c>
      <c r="Z65" s="49">
        <v>3</v>
      </c>
      <c r="AA65" s="49">
        <v>2</v>
      </c>
      <c r="AB65" s="49">
        <v>1</v>
      </c>
      <c r="AC65" s="49">
        <v>0</v>
      </c>
      <c r="AD65" s="49">
        <v>5</v>
      </c>
      <c r="AE65" s="49">
        <v>1</v>
      </c>
      <c r="AL65" s="250" t="s">
        <v>168</v>
      </c>
    </row>
    <row r="66" spans="2:38" s="352" customFormat="1" ht="38.25" customHeight="1" x14ac:dyDescent="0.2">
      <c r="B66" s="357" t="s">
        <v>353</v>
      </c>
      <c r="C66" s="601">
        <f>IFERROR(INDEX(阻害要因×在院期間区分＿寛解・院内寛解[#All],MATCH($AL67,阻害要因×在院期間区分＿寛解・院内寛解[[#All],[値]],0),MATCH($AM$4,阻害要因×在院期間区分＿寛解・院内寛解[#Headers],0)),0)+IFERROR(INDEX(阻害要因×在院期間区分＿寛解・院内寛解[#All],MATCH($AL67,阻害要因×在院期間区分＿寛解・院内寛解[[#All],[値]],0),MATCH($AN$4,阻害要因×在院期間区分＿寛解・院内寛解[#Headers],0)),0)+IFERROR(INDEX(阻害要因×在院期間区分＿寛解・院内寛解[#All],MATCH($AL67,阻害要因×在院期間区分＿寛解・院内寛解[[#All],[値]],0),MATCH($AO$4,阻害要因×在院期間区分＿寛解・院内寛解[#Headers],0)),0)+IFERROR(INDEX(阻害要因×在院期間区分＿寛解・院内寛解[#All],MATCH($AL67,阻害要因×在院期間区分＿寛解・院内寛解[[#All],[値]],0),MATCH($AP$4,阻害要因×在院期間区分＿寛解・院内寛解[#Headers],0)),0)</f>
        <v>23</v>
      </c>
      <c r="D66" s="144">
        <f t="shared" si="17"/>
        <v>0.11917098445595854</v>
      </c>
      <c r="E66" s="127">
        <f>IFERROR(INDEX(阻害要因×在院期間区分＿寛解・院内寛解[#All],MATCH($AL67,阻害要因×在院期間区分＿寛解・院内寛解[[#All],[値]],0),MATCH($AQ$4,阻害要因×在院期間区分＿寛解・院内寛解[#Headers],0)),0)+IFERROR(INDEX(阻害要因×在院期間区分＿寛解・院内寛解[#All],MATCH($AL67,阻害要因×在院期間区分＿寛解・院内寛解[[#All],[値]],0),MATCH($AR$4,阻害要因×在院期間区分＿寛解・院内寛解[#Headers],0)),0)+IFERROR(INDEX(阻害要因×在院期間区分＿寛解・院内寛解[#All],MATCH($AL67,阻害要因×在院期間区分＿寛解・院内寛解[[#All],[値]],0),MATCH($AS$4,阻害要因×在院期間区分＿寛解・院内寛解[#Headers],0)),0)+IFERROR(INDEX(阻害要因×在院期間区分＿寛解・院内寛解[#All],MATCH($AL67,阻害要因×在院期間区分＿寛解・院内寛解[[#All],[値]],0),MATCH($AT$4,阻害要因×在院期間区分＿寛解・院内寛解[#Headers],0)),0)+IFERROR(INDEX(阻害要因×在院期間区分＿寛解・院内寛解[#All],MATCH($AL67,阻害要因×在院期間区分＿寛解・院内寛解[[#All],[値]],0),MATCH($AU$4,阻害要因×在院期間区分＿寛解・院内寛解[#Headers],0)),0)</f>
        <v>11</v>
      </c>
      <c r="F66" s="144">
        <f t="shared" si="18"/>
        <v>7.0063694267515922E-2</v>
      </c>
      <c r="G66" s="127">
        <f>IFERROR(INDEX(阻害要因×在院期間区分＿寛解・院内寛解[#All],MATCH($AL67,阻害要因×在院期間区分＿寛解・院内寛解[[#All],[値]],0),MATCH($AV$4,阻害要因×在院期間区分＿寛解・院内寛解[#Headers],0)),0)+IFERROR(INDEX(阻害要因×在院期間区分＿寛解・院内寛解[#All],MATCH($AL67,阻害要因×在院期間区分＿寛解・院内寛解[[#All],[値]],0),MATCH($AW$4,阻害要因×在院期間区分＿寛解・院内寛解[#Headers],0)),0)+IFERROR(INDEX(阻害要因×在院期間区分＿寛解・院内寛解[#All],MATCH($AL67,阻害要因×在院期間区分＿寛解・院内寛解[[#All],[値]],0),MATCH($AX$4,阻害要因×在院期間区分＿寛解・院内寛解[#Headers],0)),0)+IFERROR(INDEX(阻害要因×在院期間区分＿寛解・院内寛解[#All],MATCH($AL67,阻害要因×在院期間区分＿寛解・院内寛解[[#All],[値]],0),MATCH($AY$4,阻害要因×在院期間区分＿寛解・院内寛解[#Headers],0)),0)+IFERROR(INDEX(阻害要因×在院期間区分＿寛解・院内寛解[#All],MATCH($AL67,阻害要因×在院期間区分＿寛解・院内寛解[[#All],[値]],0),MATCH($AZ$4,阻害要因×在院期間区分＿寛解・院内寛解[#Headers],0)),0)</f>
        <v>9</v>
      </c>
      <c r="H66" s="144">
        <f t="shared" si="19"/>
        <v>0.140625</v>
      </c>
      <c r="I66" s="127">
        <f>IFERROR(INDEX(阻害要因×在院期間区分＿寛解・院内寛解[#All],MATCH($AL67,阻害要因×在院期間区分＿寛解・院内寛解[[#All],[値]],0),MATCH($BA$4,阻害要因×在院期間区分＿寛解・院内寛解[#Headers],0)),0)+IFERROR(INDEX(阻害要因×在院期間区分＿寛解・院内寛解[#All],MATCH($AL67,阻害要因×在院期間区分＿寛解・院内寛解[[#All],[値]],0),MATCH($BB$4,阻害要因×在院期間区分＿寛解・院内寛解[#Headers],0)),0)</f>
        <v>6</v>
      </c>
      <c r="J66" s="144">
        <f t="shared" si="20"/>
        <v>8.4507042253521125E-2</v>
      </c>
      <c r="K66" s="745"/>
      <c r="L66" s="745"/>
      <c r="M66" s="745"/>
      <c r="N66" s="26">
        <f t="shared" si="16"/>
        <v>49</v>
      </c>
      <c r="O66" s="43" t="s">
        <v>711</v>
      </c>
      <c r="P66" s="49">
        <v>1</v>
      </c>
      <c r="Q66" s="49">
        <v>5</v>
      </c>
      <c r="R66" s="49">
        <v>2</v>
      </c>
      <c r="S66" s="49">
        <v>6</v>
      </c>
      <c r="T66" s="49">
        <v>1</v>
      </c>
      <c r="U66" s="49">
        <v>2</v>
      </c>
      <c r="V66" s="49">
        <v>1</v>
      </c>
      <c r="W66" s="49">
        <v>2</v>
      </c>
      <c r="X66" s="49">
        <v>0</v>
      </c>
      <c r="Y66" s="49">
        <v>0</v>
      </c>
      <c r="Z66" s="49">
        <v>1</v>
      </c>
      <c r="AA66" s="49">
        <v>0</v>
      </c>
      <c r="AB66" s="49">
        <v>0</v>
      </c>
      <c r="AC66" s="49">
        <v>0</v>
      </c>
      <c r="AD66" s="49">
        <v>3</v>
      </c>
      <c r="AE66" s="49">
        <v>0</v>
      </c>
      <c r="AL66" s="250" t="s">
        <v>354</v>
      </c>
    </row>
    <row r="67" spans="2:38" x14ac:dyDescent="0.2">
      <c r="B67" s="73" t="s">
        <v>52</v>
      </c>
      <c r="C67" s="608">
        <f>IFERROR(INDEX(阻害要因×在院期間区分＿寛解・院内寛解[#All],MATCH($AL68,阻害要因×在院期間区分＿寛解・院内寛解[[#All],[値]],0),MATCH($AM$4,阻害要因×在院期間区分＿寛解・院内寛解[#Headers],0)),0)+IFERROR(INDEX(阻害要因×在院期間区分＿寛解・院内寛解[#All],MATCH($AL68,阻害要因×在院期間区分＿寛解・院内寛解[[#All],[値]],0),MATCH($AN$4,阻害要因×在院期間区分＿寛解・院内寛解[#Headers],0)),0)+IFERROR(INDEX(阻害要因×在院期間区分＿寛解・院内寛解[#All],MATCH($AL68,阻害要因×在院期間区分＿寛解・院内寛解[[#All],[値]],0),MATCH($AO$4,阻害要因×在院期間区分＿寛解・院内寛解[#Headers],0)),0)+IFERROR(INDEX(阻害要因×在院期間区分＿寛解・院内寛解[#All],MATCH($AL68,阻害要因×在院期間区分＿寛解・院内寛解[[#All],[値]],0),MATCH($AP$4,阻害要因×在院期間区分＿寛解・院内寛解[#Headers],0)),0)</f>
        <v>14</v>
      </c>
      <c r="D67" s="132">
        <f t="shared" si="17"/>
        <v>7.2538860103626937E-2</v>
      </c>
      <c r="E67" s="130">
        <f>IFERROR(INDEX(阻害要因×在院期間区分＿寛解・院内寛解[#All],MATCH($AL68,阻害要因×在院期間区分＿寛解・院内寛解[[#All],[値]],0),MATCH($AQ$4,阻害要因×在院期間区分＿寛解・院内寛解[#Headers],0)),0)+IFERROR(INDEX(阻害要因×在院期間区分＿寛解・院内寛解[#All],MATCH($AL68,阻害要因×在院期間区分＿寛解・院内寛解[[#All],[値]],0),MATCH($AR$4,阻害要因×在院期間区分＿寛解・院内寛解[#Headers],0)),0)+IFERROR(INDEX(阻害要因×在院期間区分＿寛解・院内寛解[#All],MATCH($AL68,阻害要因×在院期間区分＿寛解・院内寛解[[#All],[値]],0),MATCH($AS$4,阻害要因×在院期間区分＿寛解・院内寛解[#Headers],0)),0)+IFERROR(INDEX(阻害要因×在院期間区分＿寛解・院内寛解[#All],MATCH($AL68,阻害要因×在院期間区分＿寛解・院内寛解[[#All],[値]],0),MATCH($AT$4,阻害要因×在院期間区分＿寛解・院内寛解[#Headers],0)),0)+IFERROR(INDEX(阻害要因×在院期間区分＿寛解・院内寛解[#All],MATCH($AL68,阻害要因×在院期間区分＿寛解・院内寛解[[#All],[値]],0),MATCH($AU$4,阻害要因×在院期間区分＿寛解・院内寛解[#Headers],0)),0)</f>
        <v>6</v>
      </c>
      <c r="F67" s="132">
        <f t="shared" si="18"/>
        <v>3.8216560509554139E-2</v>
      </c>
      <c r="G67" s="130">
        <f>IFERROR(INDEX(阻害要因×在院期間区分＿寛解・院内寛解[#All],MATCH($AL68,阻害要因×在院期間区分＿寛解・院内寛解[[#All],[値]],0),MATCH($AV$4,阻害要因×在院期間区分＿寛解・院内寛解[#Headers],0)),0)+IFERROR(INDEX(阻害要因×在院期間区分＿寛解・院内寛解[#All],MATCH($AL68,阻害要因×在院期間区分＿寛解・院内寛解[[#All],[値]],0),MATCH($AW$4,阻害要因×在院期間区分＿寛解・院内寛解[#Headers],0)),0)+IFERROR(INDEX(阻害要因×在院期間区分＿寛解・院内寛解[#All],MATCH($AL68,阻害要因×在院期間区分＿寛解・院内寛解[[#All],[値]],0),MATCH($AX$4,阻害要因×在院期間区分＿寛解・院内寛解[#Headers],0)),0)+IFERROR(INDEX(阻害要因×在院期間区分＿寛解・院内寛解[#All],MATCH($AL68,阻害要因×在院期間区分＿寛解・院内寛解[[#All],[値]],0),MATCH($AY$4,阻害要因×在院期間区分＿寛解・院内寛解[#Headers],0)),0)+IFERROR(INDEX(阻害要因×在院期間区分＿寛解・院内寛解[#All],MATCH($AL68,阻害要因×在院期間区分＿寛解・院内寛解[[#All],[値]],0),MATCH($AZ$4,阻害要因×在院期間区分＿寛解・院内寛解[#Headers],0)),0)</f>
        <v>1</v>
      </c>
      <c r="H67" s="132">
        <f t="shared" si="19"/>
        <v>1.5625E-2</v>
      </c>
      <c r="I67" s="130">
        <f>IFERROR(INDEX(阻害要因×在院期間区分＿寛解・院内寛解[#All],MATCH($AL68,阻害要因×在院期間区分＿寛解・院内寛解[[#All],[値]],0),MATCH($BA$4,阻害要因×在院期間区分＿寛解・院内寛解[#Headers],0)),0)+IFERROR(INDEX(阻害要因×在院期間区分＿寛解・院内寛解[#All],MATCH($AL68,阻害要因×在院期間区分＿寛解・院内寛解[[#All],[値]],0),MATCH($BB$4,阻害要因×在院期間区分＿寛解・院内寛解[#Headers],0)),0)</f>
        <v>3</v>
      </c>
      <c r="J67" s="132">
        <f t="shared" si="20"/>
        <v>4.2253521126760563E-2</v>
      </c>
      <c r="K67" s="745"/>
      <c r="L67" s="745"/>
      <c r="M67" s="745"/>
      <c r="N67" s="26">
        <f t="shared" si="16"/>
        <v>24</v>
      </c>
      <c r="AL67" s="30" t="s">
        <v>355</v>
      </c>
    </row>
    <row r="68" spans="2:38" x14ac:dyDescent="0.2">
      <c r="C68" s="16"/>
      <c r="D68" s="16"/>
      <c r="E68" s="16"/>
      <c r="F68" s="50"/>
      <c r="I68" s="16"/>
      <c r="J68" s="54"/>
      <c r="K68" s="54"/>
      <c r="L68" s="54"/>
      <c r="M68" s="54"/>
      <c r="O68" s="41"/>
      <c r="AL68" s="250" t="s">
        <v>169</v>
      </c>
    </row>
    <row r="69" spans="2:38" x14ac:dyDescent="0.2">
      <c r="F69" s="50"/>
      <c r="J69" s="50"/>
      <c r="K69" s="50"/>
      <c r="L69" s="50"/>
      <c r="M69" s="50"/>
      <c r="O69" s="41"/>
    </row>
    <row r="70" spans="2:38" x14ac:dyDescent="0.2">
      <c r="F70" s="50"/>
      <c r="J70" s="50"/>
      <c r="K70" s="50"/>
      <c r="L70" s="50"/>
      <c r="M70" s="50"/>
      <c r="O70" s="41"/>
    </row>
    <row r="71" spans="2:38" x14ac:dyDescent="0.2">
      <c r="F71" s="50"/>
      <c r="J71" s="50"/>
      <c r="K71" s="50"/>
      <c r="L71" s="50"/>
      <c r="M71" s="50"/>
    </row>
    <row r="72" spans="2:38" x14ac:dyDescent="0.2">
      <c r="F72" s="50"/>
      <c r="J72" s="50"/>
      <c r="K72" s="50"/>
      <c r="L72" s="50"/>
      <c r="M72" s="50"/>
    </row>
    <row r="73" spans="2:38" x14ac:dyDescent="0.2">
      <c r="F73" s="50"/>
      <c r="J73" s="50"/>
      <c r="K73" s="50"/>
      <c r="L73" s="50"/>
      <c r="M73" s="50"/>
    </row>
  </sheetData>
  <mergeCells count="18">
    <mergeCell ref="C12:J12"/>
    <mergeCell ref="B13:J13"/>
    <mergeCell ref="B47:J47"/>
    <mergeCell ref="C46:J46"/>
    <mergeCell ref="C43:J43"/>
    <mergeCell ref="B2:B3"/>
    <mergeCell ref="C2:J2"/>
    <mergeCell ref="C3:D3"/>
    <mergeCell ref="E3:F3"/>
    <mergeCell ref="B36:B37"/>
    <mergeCell ref="G3:H3"/>
    <mergeCell ref="I3:J3"/>
    <mergeCell ref="G37:H37"/>
    <mergeCell ref="I37:J37"/>
    <mergeCell ref="C36:J36"/>
    <mergeCell ref="C37:D37"/>
    <mergeCell ref="E37:F37"/>
    <mergeCell ref="C9:J9"/>
  </mergeCells>
  <phoneticPr fontId="2"/>
  <printOptions horizontalCentered="1"/>
  <pageMargins left="0.70866141732283472" right="0.70866141732283472" top="0.74803149606299213" bottom="0.74803149606299213" header="0.31496062992125984" footer="0.31496062992125984"/>
  <pageSetup paperSize="9" scale="5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データ削除_退院阻害要因在院期間区分">
                <anchor moveWithCells="1" sizeWithCells="1">
                  <from>
                    <xdr:col>10</xdr:col>
                    <xdr:colOff>281940</xdr:colOff>
                    <xdr:row>1</xdr:row>
                    <xdr:rowOff>205740</xdr:rowOff>
                  </from>
                  <to>
                    <xdr:col>12</xdr:col>
                    <xdr:colOff>426720</xdr:colOff>
                    <xdr:row>3</xdr:row>
                    <xdr:rowOff>205740</xdr:rowOff>
                  </to>
                </anchor>
              </controlPr>
            </control>
          </mc:Choice>
        </mc:AlternateContent>
      </controls>
    </mc:Choice>
  </mc:AlternateContent>
  <tableParts count="6">
    <tablePart r:id="rId5"/>
    <tablePart r:id="rId6"/>
    <tablePart r:id="rId7"/>
    <tablePart r:id="rId8"/>
    <tablePart r:id="rId9"/>
    <tablePart r:id="rId10"/>
  </tablePar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FF0000"/>
  </sheetPr>
  <dimension ref="B1:BC71"/>
  <sheetViews>
    <sheetView showGridLines="0" view="pageBreakPreview" zoomScale="90" zoomScaleNormal="100" zoomScaleSheetLayoutView="90" workbookViewId="0"/>
  </sheetViews>
  <sheetFormatPr defaultColWidth="9" defaultRowHeight="17.399999999999999" x14ac:dyDescent="0.2"/>
  <cols>
    <col min="1" max="1" width="3" style="1" customWidth="1"/>
    <col min="2" max="2" width="38.77734375" style="1" customWidth="1"/>
    <col min="3" max="3" width="9.33203125" style="1" customWidth="1"/>
    <col min="4" max="4" width="10.77734375" style="1" bestFit="1" customWidth="1"/>
    <col min="5" max="5" width="9.33203125" style="1" customWidth="1"/>
    <col min="6" max="6" width="10.77734375" style="1" bestFit="1" customWidth="1"/>
    <col min="7" max="7" width="9.33203125" style="1" customWidth="1"/>
    <col min="8" max="8" width="10.77734375" style="1" bestFit="1" customWidth="1"/>
    <col min="9" max="9" width="9.33203125" style="1" customWidth="1"/>
    <col min="10" max="10" width="10.77734375" style="1" bestFit="1" customWidth="1"/>
    <col min="11" max="13" width="10.77734375" style="676" hidden="1" customWidth="1"/>
    <col min="14" max="14" width="10" style="1" hidden="1" customWidth="1"/>
    <col min="15" max="15" width="22.109375" style="1" hidden="1" customWidth="1"/>
    <col min="16" max="32" width="11.33203125" style="1" hidden="1" customWidth="1"/>
    <col min="33" max="35" width="9.88671875" style="1" hidden="1" customWidth="1"/>
    <col min="36" max="55" width="9" style="1" hidden="1" customWidth="1"/>
    <col min="56" max="58" width="0" style="1" hidden="1" customWidth="1"/>
    <col min="59" max="16384" width="9" style="1"/>
  </cols>
  <sheetData>
    <row r="1" spans="2:55" ht="19.5" customHeight="1" x14ac:dyDescent="0.2">
      <c r="B1" s="2" t="s">
        <v>76</v>
      </c>
    </row>
    <row r="2" spans="2:55" ht="18.75" customHeight="1" x14ac:dyDescent="0.2">
      <c r="B2" s="1036" t="s">
        <v>224</v>
      </c>
      <c r="C2" s="1022" t="s">
        <v>77</v>
      </c>
      <c r="D2" s="1023"/>
      <c r="E2" s="1023"/>
      <c r="F2" s="1023"/>
      <c r="G2" s="1023"/>
      <c r="H2" s="1023"/>
      <c r="I2" s="1023"/>
      <c r="J2" s="1024"/>
      <c r="K2" s="763"/>
      <c r="L2" s="763"/>
      <c r="M2" s="763"/>
      <c r="O2" s="43" t="s">
        <v>62</v>
      </c>
    </row>
    <row r="3" spans="2:55" ht="18.75" customHeight="1" thickBot="1" x14ac:dyDescent="0.25">
      <c r="B3" s="1049"/>
      <c r="C3" s="1022" t="s">
        <v>249</v>
      </c>
      <c r="D3" s="1023"/>
      <c r="E3" s="1023"/>
      <c r="F3" s="1024"/>
      <c r="G3" s="1042" t="s">
        <v>72</v>
      </c>
      <c r="H3" s="1043"/>
      <c r="I3" s="1042" t="s">
        <v>73</v>
      </c>
      <c r="J3" s="1043"/>
      <c r="K3" s="764"/>
      <c r="L3" s="764"/>
      <c r="M3" s="764"/>
    </row>
    <row r="4" spans="2:55" ht="56.25" customHeight="1" thickTop="1" thickBot="1" x14ac:dyDescent="0.25">
      <c r="B4" s="1037"/>
      <c r="C4" s="1050" t="s">
        <v>186</v>
      </c>
      <c r="D4" s="1051"/>
      <c r="E4" s="1050" t="s">
        <v>187</v>
      </c>
      <c r="F4" s="1051"/>
      <c r="G4" s="1044"/>
      <c r="H4" s="1045"/>
      <c r="I4" s="1044"/>
      <c r="J4" s="1045"/>
      <c r="K4" s="764"/>
      <c r="L4" s="764"/>
      <c r="M4" s="764"/>
      <c r="O4" s="305" t="s">
        <v>655</v>
      </c>
      <c r="P4" s="59" t="s">
        <v>712</v>
      </c>
      <c r="Q4" s="59" t="s">
        <v>713</v>
      </c>
      <c r="R4" s="59" t="s">
        <v>714</v>
      </c>
      <c r="S4" s="59" t="s">
        <v>715</v>
      </c>
      <c r="T4" s="59" t="s">
        <v>289</v>
      </c>
      <c r="U4" s="59" t="s">
        <v>290</v>
      </c>
      <c r="V4" s="59" t="s">
        <v>716</v>
      </c>
      <c r="W4" s="59" t="s">
        <v>717</v>
      </c>
      <c r="X4" s="59" t="s">
        <v>718</v>
      </c>
      <c r="Y4" s="59" t="s">
        <v>719</v>
      </c>
      <c r="Z4" s="59" t="s">
        <v>720</v>
      </c>
      <c r="AA4" s="59" t="s">
        <v>721</v>
      </c>
      <c r="AB4" s="59" t="s">
        <v>722</v>
      </c>
      <c r="AC4" s="59" t="s">
        <v>723</v>
      </c>
      <c r="AD4" s="59" t="s">
        <v>724</v>
      </c>
      <c r="AE4" s="59" t="s">
        <v>418</v>
      </c>
      <c r="AF4" s="59" t="s">
        <v>725</v>
      </c>
      <c r="AG4" s="59" t="s">
        <v>671</v>
      </c>
      <c r="AM4" s="59" t="s">
        <v>273</v>
      </c>
      <c r="AN4" s="59" t="s">
        <v>262</v>
      </c>
      <c r="AO4" s="59" t="s">
        <v>263</v>
      </c>
      <c r="AP4" s="59" t="s">
        <v>264</v>
      </c>
      <c r="AQ4" s="59" t="s">
        <v>188</v>
      </c>
      <c r="AR4" s="59" t="s">
        <v>189</v>
      </c>
      <c r="AS4" s="59" t="s">
        <v>265</v>
      </c>
      <c r="AT4" s="59" t="s">
        <v>266</v>
      </c>
      <c r="AU4" s="59" t="s">
        <v>267</v>
      </c>
      <c r="AV4" s="59" t="s">
        <v>268</v>
      </c>
      <c r="AW4" s="59" t="s">
        <v>269</v>
      </c>
      <c r="AX4" s="59" t="s">
        <v>274</v>
      </c>
      <c r="AY4" s="59" t="s">
        <v>270</v>
      </c>
      <c r="AZ4" s="59" t="s">
        <v>271</v>
      </c>
      <c r="BA4" s="59" t="s">
        <v>275</v>
      </c>
      <c r="BB4" s="59" t="s">
        <v>272</v>
      </c>
      <c r="BC4" s="59" t="s">
        <v>18</v>
      </c>
    </row>
    <row r="5" spans="2:55" ht="37.5" customHeight="1" thickTop="1" x14ac:dyDescent="0.2">
      <c r="B5" s="60" t="s">
        <v>218</v>
      </c>
      <c r="C5" s="124">
        <f>IFERROR(INDEX(退院予定有無×疾患名[#All],MATCH($AL5,退院予定有無×疾患名[[#All],[行ラベル]],0),MATCH($AM$4,退院予定有無×疾患名[#Headers],0)),0)+IFERROR(INDEX(退院予定有無×疾患名[#All],MATCH($AL5,退院予定有無×疾患名[[#All],[行ラベル]],0),MATCH($AN$4,退院予定有無×疾患名[#Headers],0)),0)</f>
        <v>266</v>
      </c>
      <c r="D5" s="126">
        <f>IFERROR(C5/C$8,"-")</f>
        <v>0.10799837596427121</v>
      </c>
      <c r="E5" s="124">
        <f>IFERROR(INDEX(退院予定有無×疾患名[#All],MATCH($AL5,退院予定有無×疾患名[[#All],[行ラベル]],0),MATCH($AO$4,退院予定有無×疾患名[#Headers],0)),0)</f>
        <v>224</v>
      </c>
      <c r="F5" s="126">
        <f>IFERROR(E5/E$8,"-")</f>
        <v>0.13000580383052815</v>
      </c>
      <c r="G5" s="124">
        <f>IFERROR(INDEX(退院予定有無×疾患名[#All],MATCH($AL5,退院予定有無×疾患名[[#All],[行ラベル]],0),MATCH($AS$4,退院予定有無×疾患名[#Headers],0)),0)</f>
        <v>912</v>
      </c>
      <c r="H5" s="126">
        <f>IFERROR(G5/G$8,"-")</f>
        <v>0.14137343047589521</v>
      </c>
      <c r="I5" s="124">
        <f>IFERROR(INDEX(退院予定有無×疾患名[#All],MATCH($AL5,退院予定有無×疾患名[[#All],[行ラベル]],0),MATCH($AT$4,退院予定有無×疾患名[#Headers],0)),0)+IFERROR(INDEX(退院予定有無×疾患名[#All],MATCH($AL5,退院予定有無×疾患名[[#All],[行ラベル]],0),MATCH($AU$4,退院予定有無×疾患名[#Headers],0)),0)</f>
        <v>215</v>
      </c>
      <c r="J5" s="126">
        <f>IFERROR(I5/I$8,"-")</f>
        <v>0.12928442573662058</v>
      </c>
      <c r="K5" s="137"/>
      <c r="L5" s="137"/>
      <c r="M5" s="137"/>
      <c r="N5" s="26">
        <f>C5+E5+G5+I5</f>
        <v>1617</v>
      </c>
      <c r="O5" s="21">
        <v>98</v>
      </c>
      <c r="P5" s="46">
        <v>1795</v>
      </c>
      <c r="Q5" s="46">
        <v>200</v>
      </c>
      <c r="R5" s="49">
        <v>1333</v>
      </c>
      <c r="S5" s="46">
        <v>363</v>
      </c>
      <c r="T5" s="46">
        <v>41</v>
      </c>
      <c r="U5" s="46">
        <v>56</v>
      </c>
      <c r="V5" s="46">
        <v>5021</v>
      </c>
      <c r="W5" s="46">
        <v>454</v>
      </c>
      <c r="X5" s="46">
        <v>673</v>
      </c>
      <c r="Y5" s="46">
        <v>154</v>
      </c>
      <c r="Z5" s="46">
        <v>32</v>
      </c>
      <c r="AA5" s="46">
        <v>19</v>
      </c>
      <c r="AB5" s="46">
        <v>229</v>
      </c>
      <c r="AC5" s="46">
        <v>133</v>
      </c>
      <c r="AD5" s="46">
        <v>35</v>
      </c>
      <c r="AE5" s="46">
        <v>59</v>
      </c>
      <c r="AF5" s="46">
        <v>0</v>
      </c>
      <c r="AG5" s="382">
        <v>0</v>
      </c>
      <c r="AL5" s="251">
        <v>97</v>
      </c>
    </row>
    <row r="6" spans="2:55" ht="18.75" customHeight="1" x14ac:dyDescent="0.2">
      <c r="B6" s="61" t="s">
        <v>225</v>
      </c>
      <c r="C6" s="127">
        <f>IFERROR(INDEX(退院予定有無×疾患名[#All],MATCH($AL6,退院予定有無×疾患名[[#All],[行ラベル]],0),MATCH($AM$4,退院予定有無×疾患名[#Headers],0)),0)+IFERROR(INDEX(退院予定有無×疾患名[#All],MATCH($AL6,退院予定有無×疾患名[[#All],[行ラベル]],0),MATCH($AN$4,退院予定有無×疾患名[#Headers],0)),0)</f>
        <v>1995</v>
      </c>
      <c r="D6" s="128">
        <f>IFERROR(C6/C$8,"-")</f>
        <v>0.80998781973203415</v>
      </c>
      <c r="E6" s="127">
        <f>IFERROR(INDEX(退院予定有無×疾患名[#All],MATCH($AL6,退院予定有無×疾患名[[#All],[行ラベル]],0),MATCH($AO$4,退院予定有無×疾患名[#Headers],0)),0)</f>
        <v>1333</v>
      </c>
      <c r="F6" s="128">
        <f>IFERROR(E6/E$8,"-")</f>
        <v>0.77365060940220542</v>
      </c>
      <c r="G6" s="127">
        <f>IFERROR(INDEX(退院予定有無×疾患名[#All],MATCH($AL6,退院予定有無×疾患名[[#All],[行ラベル]],0),MATCH($AS$4,退院予定有無×疾患名[#Headers],0)),0)</f>
        <v>5021</v>
      </c>
      <c r="H6" s="128">
        <f>IFERROR(G6/G$8,"-")</f>
        <v>0.77832894124941865</v>
      </c>
      <c r="I6" s="127">
        <f>IFERROR(INDEX(退院予定有無×疾患名[#All],MATCH($AL6,退院予定有無×疾患名[[#All],[行ラベル]],0),MATCH($AT$4,退院予定有無×疾患名[#Headers],0)),0)+IFERROR(INDEX(退院予定有無×疾患名[#All],MATCH($AL6,退院予定有無×疾患名[[#All],[行ラベル]],0),MATCH($AU$4,退院予定有無×疾患名[#Headers],0)),0)</f>
        <v>1127</v>
      </c>
      <c r="J6" s="128">
        <f>IFERROR(I6/I$8,"-")</f>
        <v>0.67769092002405296</v>
      </c>
      <c r="K6" s="745"/>
      <c r="L6" s="745"/>
      <c r="M6" s="745"/>
      <c r="N6" s="26">
        <f>C6+E6+G6+I6</f>
        <v>9476</v>
      </c>
      <c r="O6" s="21">
        <v>97</v>
      </c>
      <c r="P6" s="46">
        <v>232</v>
      </c>
      <c r="Q6" s="46">
        <v>34</v>
      </c>
      <c r="R6" s="49">
        <v>224</v>
      </c>
      <c r="S6" s="46">
        <v>93</v>
      </c>
      <c r="T6" s="46">
        <v>4</v>
      </c>
      <c r="U6" s="46">
        <v>8</v>
      </c>
      <c r="V6" s="46">
        <v>912</v>
      </c>
      <c r="W6" s="46">
        <v>83</v>
      </c>
      <c r="X6" s="46">
        <v>132</v>
      </c>
      <c r="Y6" s="46">
        <v>48</v>
      </c>
      <c r="Z6" s="46">
        <v>4</v>
      </c>
      <c r="AA6" s="46">
        <v>10</v>
      </c>
      <c r="AB6" s="46">
        <v>20</v>
      </c>
      <c r="AC6" s="46">
        <v>24</v>
      </c>
      <c r="AD6" s="46">
        <v>6</v>
      </c>
      <c r="AE6" s="46">
        <v>15</v>
      </c>
      <c r="AF6" s="46">
        <v>0</v>
      </c>
      <c r="AG6" s="46">
        <v>0</v>
      </c>
      <c r="AL6" s="251">
        <v>98</v>
      </c>
    </row>
    <row r="7" spans="2:55" ht="18.75" customHeight="1" x14ac:dyDescent="0.2">
      <c r="B7" s="62" t="s">
        <v>36</v>
      </c>
      <c r="C7" s="127">
        <f>IFERROR(INDEX(退院予定有無×疾患名[#All],MATCH($AL7,退院予定有無×疾患名[[#All],[行ラベル]],0),MATCH($AM$4,退院予定有無×疾患名[#Headers],0)),0)+IFERROR(INDEX(退院予定有無×疾患名[#All],MATCH($AL7,退院予定有無×疾患名[[#All],[行ラベル]],0),MATCH($AN$4,退院予定有無×疾患名[#Headers],0)),0)</f>
        <v>202</v>
      </c>
      <c r="D7" s="128">
        <f>IFERROR(C7/C$8,"-")</f>
        <v>8.2013804303694676E-2</v>
      </c>
      <c r="E7" s="127">
        <f>IFERROR(INDEX(退院予定有無×疾患名[#All],MATCH($AL7,退院予定有無×疾患名[[#All],[行ラベル]],0),MATCH($AO$4,退院予定有無×疾患名[#Headers],0)),0)</f>
        <v>166</v>
      </c>
      <c r="F7" s="131">
        <f>IFERROR(E7/E$8,"-")</f>
        <v>9.6343586767266398E-2</v>
      </c>
      <c r="G7" s="153">
        <f>IFERROR(INDEX(退院予定有無×疾患名[#All],MATCH($AL7,退院予定有無×疾患名[[#All],[行ラベル]],0),MATCH($AS$4,退院予定有無×疾患名[#Headers],0)),0)</f>
        <v>518</v>
      </c>
      <c r="H7" s="131">
        <f>IFERROR(G7/G$8,"-")</f>
        <v>8.0297628274686089E-2</v>
      </c>
      <c r="I7" s="153">
        <f>IFERROR(INDEX(退院予定有無×疾患名[#All],MATCH($AL7,退院予定有無×疾患名[[#All],[行ラベル]],0),MATCH($AT$4,退院予定有無×疾患名[#Headers],0)),0)+IFERROR(INDEX(退院予定有無×疾患名[#All],MATCH($AL7,退院予定有無×疾患名[[#All],[行ラベル]],0),MATCH($AU$4,退院予定有無×疾患名[#Headers],0)),0)</f>
        <v>321</v>
      </c>
      <c r="J7" s="131">
        <f>IFERROR(I7/I$8,"-")</f>
        <v>0.19302465423932652</v>
      </c>
      <c r="K7" s="745"/>
      <c r="L7" s="745"/>
      <c r="M7" s="745"/>
      <c r="N7" s="26">
        <f>C7+E7+G7+I7</f>
        <v>1207</v>
      </c>
      <c r="O7" s="21">
        <v>99</v>
      </c>
      <c r="P7" s="46">
        <v>184</v>
      </c>
      <c r="Q7" s="46">
        <v>18</v>
      </c>
      <c r="R7" s="49">
        <v>166</v>
      </c>
      <c r="S7" s="46">
        <v>157</v>
      </c>
      <c r="T7" s="46">
        <v>10</v>
      </c>
      <c r="U7" s="46">
        <v>14</v>
      </c>
      <c r="V7" s="46">
        <v>518</v>
      </c>
      <c r="W7" s="46">
        <v>102</v>
      </c>
      <c r="X7" s="46">
        <v>219</v>
      </c>
      <c r="Y7" s="46">
        <v>45</v>
      </c>
      <c r="Z7" s="46">
        <v>13</v>
      </c>
      <c r="AA7" s="46">
        <v>12</v>
      </c>
      <c r="AB7" s="46">
        <v>31</v>
      </c>
      <c r="AC7" s="46">
        <v>31</v>
      </c>
      <c r="AD7" s="46">
        <v>8</v>
      </c>
      <c r="AE7" s="46">
        <v>8</v>
      </c>
      <c r="AF7" s="46">
        <v>0</v>
      </c>
      <c r="AG7" s="383">
        <v>1</v>
      </c>
      <c r="AL7" s="251">
        <v>99</v>
      </c>
    </row>
    <row r="8" spans="2:55" ht="18.75" customHeight="1" x14ac:dyDescent="0.2">
      <c r="B8" s="63" t="s">
        <v>149</v>
      </c>
      <c r="C8" s="133">
        <f t="shared" ref="C8:J8" si="0">SUM(C5:C7)</f>
        <v>2463</v>
      </c>
      <c r="D8" s="134">
        <f t="shared" si="0"/>
        <v>1</v>
      </c>
      <c r="E8" s="135">
        <f t="shared" si="0"/>
        <v>1723</v>
      </c>
      <c r="F8" s="134">
        <f t="shared" si="0"/>
        <v>1</v>
      </c>
      <c r="G8" s="135">
        <f t="shared" si="0"/>
        <v>6451</v>
      </c>
      <c r="H8" s="134">
        <f t="shared" si="0"/>
        <v>1</v>
      </c>
      <c r="I8" s="135">
        <f t="shared" si="0"/>
        <v>1663</v>
      </c>
      <c r="J8" s="134">
        <f t="shared" si="0"/>
        <v>1</v>
      </c>
      <c r="K8" s="765"/>
      <c r="L8" s="765"/>
      <c r="M8" s="765"/>
      <c r="N8" s="26">
        <f>C8+E8+G8+I8</f>
        <v>12300</v>
      </c>
      <c r="O8" s="21"/>
      <c r="P8" s="30"/>
      <c r="Q8" s="30"/>
      <c r="R8" s="30"/>
      <c r="S8" s="30"/>
      <c r="T8" s="30"/>
      <c r="U8" s="30"/>
      <c r="V8" s="30"/>
      <c r="W8" s="30"/>
      <c r="X8" s="30"/>
      <c r="Y8" s="30"/>
      <c r="Z8" s="30"/>
      <c r="AA8" s="30"/>
      <c r="AB8" s="30"/>
      <c r="AC8" s="30"/>
      <c r="AD8" s="30"/>
      <c r="AE8" s="30"/>
      <c r="AL8" s="251"/>
    </row>
    <row r="9" spans="2:55" ht="18.75" customHeight="1" thickBot="1" x14ac:dyDescent="0.25">
      <c r="B9" s="64"/>
      <c r="C9" s="65"/>
      <c r="D9" s="66"/>
      <c r="E9" s="67"/>
      <c r="F9" s="66"/>
      <c r="G9" s="67"/>
      <c r="H9" s="66"/>
      <c r="I9" s="67"/>
      <c r="J9" s="66"/>
      <c r="K9" s="66"/>
      <c r="L9" s="66"/>
      <c r="M9" s="66"/>
      <c r="N9" s="26"/>
      <c r="O9" s="21"/>
      <c r="P9" s="30"/>
      <c r="Q9" s="30"/>
      <c r="R9" s="30"/>
      <c r="S9" s="30"/>
      <c r="T9" s="30"/>
      <c r="U9" s="30"/>
      <c r="V9" s="30"/>
      <c r="W9" s="30"/>
      <c r="X9" s="30"/>
      <c r="Y9" s="30"/>
      <c r="Z9" s="30"/>
      <c r="AA9" s="30"/>
      <c r="AB9" s="30"/>
      <c r="AC9" s="30"/>
      <c r="AD9" s="30"/>
      <c r="AE9" s="30"/>
      <c r="AL9" s="251"/>
    </row>
    <row r="10" spans="2:55" s="252" customFormat="1" ht="18.75" customHeight="1" thickTop="1" thickBot="1" x14ac:dyDescent="0.25">
      <c r="B10" s="293" t="s">
        <v>226</v>
      </c>
      <c r="C10" s="1052"/>
      <c r="D10" s="1053"/>
      <c r="E10" s="1053"/>
      <c r="F10" s="1053"/>
      <c r="G10" s="1053"/>
      <c r="H10" s="1053"/>
      <c r="I10" s="1053"/>
      <c r="J10" s="1054"/>
      <c r="K10" s="766"/>
      <c r="L10" s="766"/>
      <c r="M10" s="766"/>
      <c r="N10" s="253"/>
      <c r="O10" s="761" t="s">
        <v>655</v>
      </c>
      <c r="P10" s="59" t="s">
        <v>712</v>
      </c>
      <c r="Q10" s="59" t="s">
        <v>713</v>
      </c>
      <c r="R10" s="59" t="s">
        <v>714</v>
      </c>
      <c r="S10" s="59" t="s">
        <v>715</v>
      </c>
      <c r="T10" s="59" t="s">
        <v>716</v>
      </c>
      <c r="U10" s="59" t="s">
        <v>717</v>
      </c>
      <c r="V10" s="59" t="s">
        <v>718</v>
      </c>
      <c r="W10" s="59" t="s">
        <v>719</v>
      </c>
      <c r="X10" s="59" t="s">
        <v>720</v>
      </c>
      <c r="Y10" s="59" t="s">
        <v>721</v>
      </c>
      <c r="Z10" s="59" t="s">
        <v>722</v>
      </c>
      <c r="AA10" s="59" t="s">
        <v>723</v>
      </c>
      <c r="AB10" s="59" t="s">
        <v>724</v>
      </c>
      <c r="AC10" s="59" t="s">
        <v>289</v>
      </c>
      <c r="AD10" s="59" t="s">
        <v>418</v>
      </c>
      <c r="AE10" s="59" t="s">
        <v>725</v>
      </c>
      <c r="AF10" s="59" t="s">
        <v>290</v>
      </c>
      <c r="AG10" s="59" t="s">
        <v>671</v>
      </c>
      <c r="AL10" s="254"/>
    </row>
    <row r="11" spans="2:55" ht="18.75" customHeight="1" thickTop="1" x14ac:dyDescent="0.2">
      <c r="B11" s="69" t="s">
        <v>34</v>
      </c>
      <c r="C11" s="124">
        <f>IFERROR(INDEX(阻害要因有無×疾患名[#All],MATCH($AL11,阻害要因有無×疾患名[[#All],[行ラベル]],0),MATCH($AM$4,阻害要因有無×疾患名[#Headers],0)),0)+IFERROR(INDEX(阻害要因有無×疾患名[#All],MATCH($AL11,阻害要因有無×疾患名[[#All],[行ラベル]],0),MATCH($AN$4,阻害要因有無×疾患名[#Headers],0)),0)</f>
        <v>232</v>
      </c>
      <c r="D11" s="126">
        <f>IFERROR(C11/C$5,"-")</f>
        <v>0.8721804511278195</v>
      </c>
      <c r="E11" s="124">
        <f>IFERROR(INDEX(阻害要因有無×疾患名[#All],MATCH($AL11,阻害要因有無×疾患名[[#All],[行ラベル]],0),MATCH($AO$4,阻害要因有無×疾患名[#Headers],0)),0)</f>
        <v>203</v>
      </c>
      <c r="F11" s="126">
        <f>IFERROR(E11/E$5,"-")</f>
        <v>0.90625</v>
      </c>
      <c r="G11" s="124">
        <f>IFERROR(INDEX(阻害要因有無×疾患名[#All],MATCH($AL11,阻害要因有無×疾患名[[#All],[行ラベル]],0),MATCH($AS$4,阻害要因有無×疾患名[#Headers],0)),0)</f>
        <v>819</v>
      </c>
      <c r="H11" s="126">
        <f>IFERROR(G11/G$5,"-")</f>
        <v>0.89802631578947367</v>
      </c>
      <c r="I11" s="124">
        <f>IFERROR(INDEX(阻害要因有無×疾患名[#All],MATCH($AL11,阻害要因有無×疾患名[[#All],[行ラベル]],0),MATCH($AT$4,阻害要因有無×疾患名[#Headers],0)),0)+IFERROR(INDEX(阻害要因有無×疾患名[#All],MATCH($AL11,阻害要因有無×疾患名[[#All],[行ラベル]],0),MATCH($AU$4,阻害要因有無×疾患名[#Headers],0)),0)</f>
        <v>173</v>
      </c>
      <c r="J11" s="126">
        <f>IFERROR(I11/I$5,"-")</f>
        <v>0.8046511627906977</v>
      </c>
      <c r="K11" s="137"/>
      <c r="L11" s="137"/>
      <c r="M11" s="137"/>
      <c r="N11" s="26">
        <f>C11+E11+G11+I11</f>
        <v>1427</v>
      </c>
      <c r="O11" s="21">
        <v>91</v>
      </c>
      <c r="P11" s="46">
        <v>202</v>
      </c>
      <c r="Q11" s="46">
        <v>30</v>
      </c>
      <c r="R11" s="49">
        <v>203</v>
      </c>
      <c r="S11" s="46">
        <v>84</v>
      </c>
      <c r="T11" s="46">
        <v>819</v>
      </c>
      <c r="U11" s="46">
        <v>65</v>
      </c>
      <c r="V11" s="46">
        <v>108</v>
      </c>
      <c r="W11" s="46">
        <v>29</v>
      </c>
      <c r="X11" s="46">
        <v>2</v>
      </c>
      <c r="Y11" s="46">
        <v>6</v>
      </c>
      <c r="Z11" s="46">
        <v>19</v>
      </c>
      <c r="AA11" s="46">
        <v>22</v>
      </c>
      <c r="AB11" s="46">
        <v>4</v>
      </c>
      <c r="AC11" s="46">
        <v>2</v>
      </c>
      <c r="AD11" s="46">
        <v>14</v>
      </c>
      <c r="AE11" s="46">
        <v>1</v>
      </c>
      <c r="AF11" s="46">
        <v>8</v>
      </c>
      <c r="AG11" s="382">
        <v>0</v>
      </c>
      <c r="AL11" s="251">
        <v>91</v>
      </c>
    </row>
    <row r="12" spans="2:55" ht="18.75" customHeight="1" x14ac:dyDescent="0.2">
      <c r="B12" s="62" t="s">
        <v>35</v>
      </c>
      <c r="C12" s="127">
        <f>IFERROR(INDEX(阻害要因有無×疾患名[#All],MATCH($AL12,阻害要因有無×疾患名[[#All],[行ラベル]],0),MATCH($AM$4,阻害要因有無×疾患名[#Headers],0)),0)+IFERROR(INDEX(阻害要因有無×疾患名[#All],MATCH($AL12,阻害要因有無×疾患名[[#All],[行ラベル]],0),MATCH($AN$4,阻害要因有無×疾患名[#Headers],0)),0)</f>
        <v>34</v>
      </c>
      <c r="D12" s="128">
        <f>IFERROR(C12/C$5,"-")</f>
        <v>0.12781954887218044</v>
      </c>
      <c r="E12" s="127">
        <f>IFERROR(INDEX(阻害要因有無×疾患名[#All],MATCH($AL12,阻害要因有無×疾患名[[#All],[行ラベル]],0),MATCH($AO$4,阻害要因有無×疾患名[#Headers],0)),0)</f>
        <v>21</v>
      </c>
      <c r="F12" s="128">
        <f>IFERROR(E12/E$5,"-")</f>
        <v>9.375E-2</v>
      </c>
      <c r="G12" s="127">
        <f>IFERROR(INDEX(阻害要因有無×疾患名[#All],MATCH($AL12,阻害要因有無×疾患名[[#All],[行ラベル]],0),MATCH($AS$4,阻害要因有無×疾患名[#Headers],0)),0)</f>
        <v>93</v>
      </c>
      <c r="H12" s="128">
        <f>IFERROR(G12/G$5,"-")</f>
        <v>0.10197368421052631</v>
      </c>
      <c r="I12" s="127">
        <f>IFERROR(INDEX(阻害要因有無×疾患名[#All],MATCH($AL12,阻害要因有無×疾患名[[#All],[行ラベル]],0),MATCH($AT$4,阻害要因有無×疾患名[#Headers],0)),0)+IFERROR(INDEX(阻害要因有無×疾患名[#All],MATCH($AL12,阻害要因有無×疾患名[[#All],[行ラベル]],0),MATCH($AU$4,阻害要因有無×疾患名[#Headers],0)),0)</f>
        <v>42</v>
      </c>
      <c r="J12" s="128">
        <f>IFERROR(I12/I$5,"-")</f>
        <v>0.19534883720930232</v>
      </c>
      <c r="K12" s="745"/>
      <c r="L12" s="745"/>
      <c r="M12" s="745"/>
      <c r="N12" s="26">
        <f>C12+E12+G12+I12</f>
        <v>190</v>
      </c>
      <c r="O12" s="21">
        <v>90</v>
      </c>
      <c r="P12" s="46">
        <v>30</v>
      </c>
      <c r="Q12" s="46">
        <v>4</v>
      </c>
      <c r="R12" s="49">
        <v>21</v>
      </c>
      <c r="S12" s="46">
        <v>9</v>
      </c>
      <c r="T12" s="46">
        <v>93</v>
      </c>
      <c r="U12" s="46">
        <v>18</v>
      </c>
      <c r="V12" s="46">
        <v>24</v>
      </c>
      <c r="W12" s="46">
        <v>19</v>
      </c>
      <c r="X12" s="46">
        <v>2</v>
      </c>
      <c r="Y12" s="46">
        <v>4</v>
      </c>
      <c r="Z12" s="46">
        <v>1</v>
      </c>
      <c r="AA12" s="46">
        <v>2</v>
      </c>
      <c r="AB12" s="46">
        <v>2</v>
      </c>
      <c r="AC12" s="46">
        <v>2</v>
      </c>
      <c r="AD12" s="46">
        <v>1</v>
      </c>
      <c r="AE12" s="46">
        <v>0</v>
      </c>
      <c r="AF12" s="46">
        <v>0</v>
      </c>
      <c r="AG12" s="383">
        <v>0</v>
      </c>
      <c r="AL12" s="251">
        <v>90</v>
      </c>
    </row>
    <row r="13" spans="2:55" ht="19.5" customHeight="1" thickBot="1" x14ac:dyDescent="0.25">
      <c r="B13" s="70" t="s">
        <v>245</v>
      </c>
      <c r="C13" s="1033"/>
      <c r="D13" s="1034"/>
      <c r="E13" s="1034"/>
      <c r="F13" s="1034"/>
      <c r="G13" s="1034"/>
      <c r="H13" s="1034"/>
      <c r="I13" s="1034"/>
      <c r="J13" s="1035"/>
      <c r="K13" s="767"/>
      <c r="L13" s="767"/>
      <c r="M13" s="767"/>
      <c r="N13" s="26"/>
    </row>
    <row r="14" spans="2:55" ht="19.5" customHeight="1" thickTop="1" thickBot="1" x14ac:dyDescent="0.25">
      <c r="B14" s="1030" t="s">
        <v>255</v>
      </c>
      <c r="C14" s="1031"/>
      <c r="D14" s="1031"/>
      <c r="E14" s="1031"/>
      <c r="F14" s="1031"/>
      <c r="G14" s="1031"/>
      <c r="H14" s="1031"/>
      <c r="I14" s="1031"/>
      <c r="J14" s="1032"/>
      <c r="K14" s="768"/>
      <c r="L14" s="768"/>
      <c r="M14" s="768"/>
      <c r="N14" s="26"/>
      <c r="O14" s="761" t="s">
        <v>676</v>
      </c>
      <c r="P14" s="59" t="s">
        <v>716</v>
      </c>
      <c r="Q14" s="59" t="s">
        <v>717</v>
      </c>
      <c r="R14" s="59" t="s">
        <v>714</v>
      </c>
      <c r="S14" s="59" t="s">
        <v>718</v>
      </c>
      <c r="T14" s="59" t="s">
        <v>722</v>
      </c>
      <c r="U14" s="59" t="s">
        <v>713</v>
      </c>
      <c r="V14" s="59" t="s">
        <v>712</v>
      </c>
      <c r="W14" s="59" t="s">
        <v>723</v>
      </c>
      <c r="X14" s="59" t="s">
        <v>418</v>
      </c>
      <c r="Y14" s="59" t="s">
        <v>289</v>
      </c>
      <c r="Z14" s="59" t="s">
        <v>715</v>
      </c>
      <c r="AA14" s="59" t="s">
        <v>719</v>
      </c>
      <c r="AB14" s="59" t="s">
        <v>725</v>
      </c>
      <c r="AC14" s="59" t="s">
        <v>290</v>
      </c>
      <c r="AD14" s="59" t="s">
        <v>721</v>
      </c>
      <c r="AE14" s="59" t="s">
        <v>724</v>
      </c>
      <c r="AF14" s="59" t="s">
        <v>671</v>
      </c>
      <c r="AG14" s="41" t="s">
        <v>720</v>
      </c>
    </row>
    <row r="15" spans="2:55" ht="37.5" customHeight="1" thickTop="1" x14ac:dyDescent="0.2">
      <c r="B15" s="71" t="s">
        <v>221</v>
      </c>
      <c r="C15" s="148">
        <f>IFERROR(INDEX(阻害要因×疾患名[#All],MATCH($AL15,阻害要因×疾患名[[#All],[値]],0),MATCH($AM$4,阻害要因×疾患名[#Headers],0)),0)+IFERROR(INDEX(阻害要因×疾患名[#All],MATCH($AL15,阻害要因×疾患名[[#All],[値]],0),MATCH($AN$4,阻害要因×疾患名[#Headers],0)),0)</f>
        <v>84</v>
      </c>
      <c r="D15" s="143">
        <f t="shared" ref="D15:D31" si="1">IFERROR(C15/C$11,"-")</f>
        <v>0.36206896551724138</v>
      </c>
      <c r="E15" s="142">
        <f>IFERROR(INDEX(阻害要因×疾患名[#All],MATCH($AL15,阻害要因×疾患名[[#All],[値]],0),MATCH($AO$4,阻害要因×疾患名[#Headers],0)),0)</f>
        <v>69</v>
      </c>
      <c r="F15" s="143">
        <f t="shared" ref="F15:F31" si="2">IFERROR(E15/E$11,"-")</f>
        <v>0.33990147783251229</v>
      </c>
      <c r="G15" s="142">
        <f>IFERROR(INDEX(阻害要因×疾患名[#All],MATCH($AL15,阻害要因×疾患名[[#All],[値]],0),MATCH($AS$4,阻害要因×疾患名[#Headers],0)),0)</f>
        <v>275</v>
      </c>
      <c r="H15" s="143">
        <f t="shared" ref="H15:H31" si="3">IFERROR(G15/G$11,"-")</f>
        <v>0.33577533577533575</v>
      </c>
      <c r="I15" s="142">
        <f>IFERROR(INDEX(阻害要因×疾患名[#All],MATCH($AL15,阻害要因×疾患名[[#All],[値]],0),MATCH($AT$4,阻害要因×疾患名[#Headers],0)),0)+IFERROR(INDEX(阻害要因×疾患名[#All],MATCH($AL15,阻害要因×疾患名[[#All],[値]],0),MATCH($AU$4,阻害要因×疾患名[#Headers],0)),0)</f>
        <v>61</v>
      </c>
      <c r="J15" s="143">
        <f t="shared" ref="J15:J31" si="4">IFERROR(I15/I$11,"-")</f>
        <v>0.35260115606936415</v>
      </c>
      <c r="K15" s="745"/>
      <c r="L15" s="745"/>
      <c r="M15" s="745"/>
      <c r="N15" s="26">
        <f>C15+E15+G15+I15</f>
        <v>489</v>
      </c>
      <c r="O15" s="21" t="s">
        <v>286</v>
      </c>
      <c r="P15" s="46">
        <v>275</v>
      </c>
      <c r="Q15" s="49">
        <v>24</v>
      </c>
      <c r="R15" s="49">
        <v>69</v>
      </c>
      <c r="S15" s="46">
        <v>37</v>
      </c>
      <c r="T15" s="46">
        <v>9</v>
      </c>
      <c r="U15" s="46">
        <v>12</v>
      </c>
      <c r="V15" s="46">
        <v>72</v>
      </c>
      <c r="W15" s="46">
        <v>9</v>
      </c>
      <c r="X15" s="46">
        <v>6</v>
      </c>
      <c r="Y15" s="46">
        <v>2</v>
      </c>
      <c r="Z15" s="46">
        <v>18</v>
      </c>
      <c r="AA15" s="46">
        <v>16</v>
      </c>
      <c r="AB15" s="46">
        <v>0</v>
      </c>
      <c r="AC15" s="46">
        <v>4</v>
      </c>
      <c r="AD15" s="46">
        <v>1</v>
      </c>
      <c r="AE15" s="46">
        <v>1</v>
      </c>
      <c r="AF15" s="46">
        <v>0</v>
      </c>
      <c r="AG15" s="382">
        <v>0</v>
      </c>
      <c r="AL15" s="43" t="s">
        <v>286</v>
      </c>
    </row>
    <row r="16" spans="2:55" ht="18.75" customHeight="1" x14ac:dyDescent="0.2">
      <c r="B16" s="72" t="s">
        <v>65</v>
      </c>
      <c r="C16" s="150">
        <f>IFERROR(INDEX(阻害要因×疾患名[#All],MATCH($AL16,阻害要因×疾患名[[#All],[値]],0),MATCH($AM$4,阻害要因×疾患名[#Headers],0)),0)+IFERROR(INDEX(阻害要因×疾患名[#All],MATCH($AL16,阻害要因×疾患名[[#All],[値]],0),MATCH($AN$4,阻害要因×疾患名[#Headers],0)),0)</f>
        <v>50</v>
      </c>
      <c r="D16" s="144">
        <f t="shared" si="1"/>
        <v>0.21551724137931033</v>
      </c>
      <c r="E16" s="151">
        <f>IFERROR(INDEX(阻害要因×疾患名[#All],MATCH($AL16,阻害要因×疾患名[[#All],[値]],0),MATCH($AO$4,阻害要因×疾患名[#Headers],0)),0)</f>
        <v>40</v>
      </c>
      <c r="F16" s="144">
        <f t="shared" si="2"/>
        <v>0.19704433497536947</v>
      </c>
      <c r="G16" s="127">
        <f>IFERROR(INDEX(阻害要因×疾患名[#All],MATCH($AL16,阻害要因×疾患名[[#All],[値]],0),MATCH($AS$4,阻害要因×疾患名[#Headers],0)),0)</f>
        <v>243</v>
      </c>
      <c r="H16" s="144">
        <f t="shared" si="3"/>
        <v>0.2967032967032967</v>
      </c>
      <c r="I16" s="127">
        <f>IFERROR(INDEX(阻害要因×疾患名[#All],MATCH($AL16,阻害要因×疾患名[[#All],[値]],0),MATCH($AT$4,阻害要因×疾患名[#Headers],0)),0)+IFERROR(INDEX(阻害要因×疾患名[#All],MATCH($AL16,阻害要因×疾患名[[#All],[値]],0),MATCH($AU$4,阻害要因×疾患名[#Headers],0)),0)</f>
        <v>23</v>
      </c>
      <c r="J16" s="144">
        <f t="shared" si="4"/>
        <v>0.13294797687861271</v>
      </c>
      <c r="K16" s="745"/>
      <c r="L16" s="745"/>
      <c r="M16" s="745"/>
      <c r="N16" s="26">
        <f t="shared" ref="N16:N34" si="5">C16+E16+G16+I16</f>
        <v>356</v>
      </c>
      <c r="O16" s="43" t="s">
        <v>287</v>
      </c>
      <c r="P16" s="49">
        <v>243</v>
      </c>
      <c r="Q16" s="49">
        <v>7</v>
      </c>
      <c r="R16" s="49">
        <v>40</v>
      </c>
      <c r="S16" s="46">
        <v>16</v>
      </c>
      <c r="T16" s="46">
        <v>5</v>
      </c>
      <c r="U16" s="46">
        <v>4</v>
      </c>
      <c r="V16" s="46">
        <v>46</v>
      </c>
      <c r="W16" s="46">
        <v>1</v>
      </c>
      <c r="X16" s="46">
        <v>1</v>
      </c>
      <c r="Y16" s="46">
        <v>1</v>
      </c>
      <c r="Z16" s="46">
        <v>19</v>
      </c>
      <c r="AA16" s="46">
        <v>4</v>
      </c>
      <c r="AB16" s="46">
        <v>0</v>
      </c>
      <c r="AC16" s="46">
        <v>1</v>
      </c>
      <c r="AD16" s="46">
        <v>1</v>
      </c>
      <c r="AE16" s="46">
        <v>1</v>
      </c>
      <c r="AF16" s="46">
        <v>0</v>
      </c>
      <c r="AG16" s="46">
        <v>0</v>
      </c>
      <c r="AL16" s="43" t="s">
        <v>287</v>
      </c>
    </row>
    <row r="17" spans="2:38" ht="18.75" customHeight="1" x14ac:dyDescent="0.2">
      <c r="B17" s="72" t="s">
        <v>37</v>
      </c>
      <c r="C17" s="150">
        <f>IFERROR(INDEX(阻害要因×疾患名[#All],MATCH($AL17,阻害要因×疾患名[[#All],[値]],0),MATCH($AM$4,阻害要因×疾患名[#Headers],0)),0)+IFERROR(INDEX(阻害要因×疾患名[#All],MATCH($AL17,阻害要因×疾患名[[#All],[値]],0),MATCH($AN$4,阻害要因×疾患名[#Headers],0)),0)</f>
        <v>2</v>
      </c>
      <c r="D17" s="144">
        <f t="shared" si="1"/>
        <v>8.6206896551724137E-3</v>
      </c>
      <c r="E17" s="127">
        <f>IFERROR(INDEX(阻害要因×疾患名[#All],MATCH($AL17,阻害要因×疾患名[[#All],[値]],0),MATCH($AO$4,阻害要因×疾患名[#Headers],0)),0)</f>
        <v>8</v>
      </c>
      <c r="F17" s="144">
        <f t="shared" si="2"/>
        <v>3.9408866995073892E-2</v>
      </c>
      <c r="G17" s="127">
        <f>IFERROR(INDEX(阻害要因×疾患名[#All],MATCH($AL17,阻害要因×疾患名[[#All],[値]],0),MATCH($AS$4,阻害要因×疾患名[#Headers],0)),0)</f>
        <v>34</v>
      </c>
      <c r="H17" s="144">
        <f t="shared" si="3"/>
        <v>4.1514041514041512E-2</v>
      </c>
      <c r="I17" s="127">
        <f>IFERROR(INDEX(阻害要因×疾患名[#All],MATCH($AL17,阻害要因×疾患名[[#All],[値]],0),MATCH($AT$4,阻害要因×疾患名[#Headers],0)),0)+IFERROR(INDEX(阻害要因×疾患名[#All],MATCH($AL17,阻害要因×疾患名[[#All],[値]],0),MATCH($AU$4,阻害要因×疾患名[#Headers],0)),0)</f>
        <v>4</v>
      </c>
      <c r="J17" s="144">
        <f t="shared" si="4"/>
        <v>2.3121387283236993E-2</v>
      </c>
      <c r="K17" s="745"/>
      <c r="L17" s="745"/>
      <c r="M17" s="745"/>
      <c r="N17" s="26">
        <f t="shared" si="5"/>
        <v>48</v>
      </c>
      <c r="O17" s="43" t="s">
        <v>154</v>
      </c>
      <c r="P17" s="49">
        <v>34</v>
      </c>
      <c r="Q17" s="49">
        <v>2</v>
      </c>
      <c r="R17" s="49">
        <v>8</v>
      </c>
      <c r="S17" s="46">
        <v>2</v>
      </c>
      <c r="T17" s="46">
        <v>2</v>
      </c>
      <c r="U17" s="46">
        <v>0</v>
      </c>
      <c r="V17" s="46">
        <v>2</v>
      </c>
      <c r="W17" s="46">
        <v>0</v>
      </c>
      <c r="X17" s="46">
        <v>0</v>
      </c>
      <c r="Y17" s="46">
        <v>0</v>
      </c>
      <c r="Z17" s="46">
        <v>7</v>
      </c>
      <c r="AA17" s="46">
        <v>4</v>
      </c>
      <c r="AB17" s="46">
        <v>0</v>
      </c>
      <c r="AC17" s="46">
        <v>3</v>
      </c>
      <c r="AD17" s="46">
        <v>2</v>
      </c>
      <c r="AE17" s="46">
        <v>0</v>
      </c>
      <c r="AF17" s="46">
        <v>0</v>
      </c>
      <c r="AG17" s="46">
        <v>0</v>
      </c>
      <c r="AL17" s="43" t="s">
        <v>154</v>
      </c>
    </row>
    <row r="18" spans="2:38" ht="18.75" customHeight="1" x14ac:dyDescent="0.2">
      <c r="B18" s="72" t="s">
        <v>38</v>
      </c>
      <c r="C18" s="127">
        <f>IFERROR(INDEX(阻害要因×疾患名[#All],MATCH($AL18,阻害要因×疾患名[[#All],[値]],0),MATCH($AM$4,阻害要因×疾患名[#Headers],0)),0)+IFERROR(INDEX(阻害要因×疾患名[#All],MATCH($AL18,阻害要因×疾患名[[#All],[値]],0),MATCH($AN$4,阻害要因×疾患名[#Headers],0)),0)</f>
        <v>75</v>
      </c>
      <c r="D18" s="128">
        <f t="shared" si="1"/>
        <v>0.32327586206896552</v>
      </c>
      <c r="E18" s="127">
        <f>IFERROR(INDEX(阻害要因×疾患名[#All],MATCH($AL18,阻害要因×疾患名[[#All],[値]],0),MATCH($AO$4,阻害要因×疾患名[#Headers],0)),0)</f>
        <v>49</v>
      </c>
      <c r="F18" s="128">
        <f t="shared" si="2"/>
        <v>0.2413793103448276</v>
      </c>
      <c r="G18" s="127">
        <f>IFERROR(INDEX(阻害要因×疾患名[#All],MATCH($AL18,阻害要因×疾患名[[#All],[値]],0),MATCH($AS$4,阻害要因×疾患名[#Headers],0)),0)</f>
        <v>376</v>
      </c>
      <c r="H18" s="128">
        <f t="shared" si="3"/>
        <v>0.45909645909645908</v>
      </c>
      <c r="I18" s="127">
        <f>IFERROR(INDEX(阻害要因×疾患名[#All],MATCH($AL18,阻害要因×疾患名[[#All],[値]],0),MATCH($AT$4,阻害要因×疾患名[#Headers],0)),0)+IFERROR(INDEX(阻害要因×疾患名[#All],MATCH($AL18,阻害要因×疾患名[[#All],[値]],0),MATCH($AU$4,阻害要因×疾患名[#Headers],0)),0)</f>
        <v>78</v>
      </c>
      <c r="J18" s="128">
        <f t="shared" si="4"/>
        <v>0.45086705202312138</v>
      </c>
      <c r="K18" s="745"/>
      <c r="L18" s="745"/>
      <c r="M18" s="745"/>
      <c r="N18" s="26">
        <f t="shared" si="5"/>
        <v>578</v>
      </c>
      <c r="O18" s="43" t="s">
        <v>155</v>
      </c>
      <c r="P18" s="49">
        <v>376</v>
      </c>
      <c r="Q18" s="49">
        <v>35</v>
      </c>
      <c r="R18" s="49">
        <v>49</v>
      </c>
      <c r="S18" s="46">
        <v>43</v>
      </c>
      <c r="T18" s="46">
        <v>9</v>
      </c>
      <c r="U18" s="46">
        <v>13</v>
      </c>
      <c r="V18" s="46">
        <v>62</v>
      </c>
      <c r="W18" s="46">
        <v>4</v>
      </c>
      <c r="X18" s="46">
        <v>3</v>
      </c>
      <c r="Y18" s="46">
        <v>2</v>
      </c>
      <c r="Z18" s="46">
        <v>20</v>
      </c>
      <c r="AA18" s="46">
        <v>13</v>
      </c>
      <c r="AB18" s="46">
        <v>0</v>
      </c>
      <c r="AC18" s="46">
        <v>1</v>
      </c>
      <c r="AD18" s="46">
        <v>1</v>
      </c>
      <c r="AE18" s="46">
        <v>0</v>
      </c>
      <c r="AF18" s="46">
        <v>0</v>
      </c>
      <c r="AG18" s="46">
        <v>1</v>
      </c>
      <c r="AL18" s="43" t="s">
        <v>155</v>
      </c>
    </row>
    <row r="19" spans="2:38" ht="18.75" customHeight="1" x14ac:dyDescent="0.2">
      <c r="B19" s="72" t="s">
        <v>39</v>
      </c>
      <c r="C19" s="127">
        <f>IFERROR(INDEX(阻害要因×疾患名[#All],MATCH($AL19,阻害要因×疾患名[[#All],[値]],0),MATCH($AM$4,阻害要因×疾患名[#Headers],0)),0)+IFERROR(INDEX(阻害要因×疾患名[#All],MATCH($AL19,阻害要因×疾患名[[#All],[値]],0),MATCH($AN$4,阻害要因×疾患名[#Headers],0)),0)</f>
        <v>105</v>
      </c>
      <c r="D19" s="128">
        <f t="shared" si="1"/>
        <v>0.45258620689655171</v>
      </c>
      <c r="E19" s="127">
        <f>IFERROR(INDEX(阻害要因×疾患名[#All],MATCH($AL19,阻害要因×疾患名[[#All],[値]],0),MATCH($AO$4,阻害要因×疾患名[#Headers],0)),0)</f>
        <v>73</v>
      </c>
      <c r="F19" s="128">
        <f t="shared" si="2"/>
        <v>0.35960591133004927</v>
      </c>
      <c r="G19" s="127">
        <f>IFERROR(INDEX(阻害要因×疾患名[#All],MATCH($AL19,阻害要因×疾患名[[#All],[値]],0),MATCH($AS$4,阻害要因×疾患名[#Headers],0)),0)</f>
        <v>373</v>
      </c>
      <c r="H19" s="128">
        <f t="shared" si="3"/>
        <v>0.45543345543345543</v>
      </c>
      <c r="I19" s="127">
        <f>IFERROR(INDEX(阻害要因×疾患名[#All],MATCH($AL19,阻害要因×疾患名[[#All],[値]],0),MATCH($AT$4,阻害要因×疾患名[#Headers],0)),0)+IFERROR(INDEX(阻害要因×疾患名[#All],MATCH($AL19,阻害要因×疾患名[[#All],[値]],0),MATCH($AU$4,阻害要因×疾患名[#Headers],0)),0)</f>
        <v>42</v>
      </c>
      <c r="J19" s="128">
        <f t="shared" si="4"/>
        <v>0.24277456647398843</v>
      </c>
      <c r="K19" s="745"/>
      <c r="L19" s="745"/>
      <c r="M19" s="745"/>
      <c r="N19" s="26">
        <f t="shared" si="5"/>
        <v>593</v>
      </c>
      <c r="O19" s="43" t="s">
        <v>156</v>
      </c>
      <c r="P19" s="49">
        <v>373</v>
      </c>
      <c r="Q19" s="49">
        <v>16</v>
      </c>
      <c r="R19" s="49">
        <v>73</v>
      </c>
      <c r="S19" s="46">
        <v>26</v>
      </c>
      <c r="T19" s="46">
        <v>10</v>
      </c>
      <c r="U19" s="46">
        <v>9</v>
      </c>
      <c r="V19" s="46">
        <v>96</v>
      </c>
      <c r="W19" s="46">
        <v>6</v>
      </c>
      <c r="X19" s="46">
        <v>4</v>
      </c>
      <c r="Y19" s="46">
        <v>1</v>
      </c>
      <c r="Z19" s="46">
        <v>27</v>
      </c>
      <c r="AA19" s="46">
        <v>11</v>
      </c>
      <c r="AB19" s="46">
        <v>0</v>
      </c>
      <c r="AC19" s="46">
        <v>3</v>
      </c>
      <c r="AD19" s="46">
        <v>1</v>
      </c>
      <c r="AE19" s="46">
        <v>1</v>
      </c>
      <c r="AF19" s="46">
        <v>0</v>
      </c>
      <c r="AG19" s="46">
        <v>0</v>
      </c>
      <c r="AL19" s="43" t="s">
        <v>156</v>
      </c>
    </row>
    <row r="20" spans="2:38" ht="18.75" customHeight="1" x14ac:dyDescent="0.2">
      <c r="B20" s="72" t="s">
        <v>40</v>
      </c>
      <c r="C20" s="153">
        <f>IFERROR(INDEX(阻害要因×疾患名[#All],MATCH($AL20,阻害要因×疾患名[[#All],[値]],0),MATCH($AM$4,阻害要因×疾患名[#Headers],0)),0)+IFERROR(INDEX(阻害要因×疾患名[#All],MATCH($AL20,阻害要因×疾患名[[#All],[値]],0),MATCH($AN$4,阻害要因×疾患名[#Headers],0)),0)</f>
        <v>57</v>
      </c>
      <c r="D20" s="131">
        <f t="shared" si="1"/>
        <v>0.24568965517241378</v>
      </c>
      <c r="E20" s="153">
        <f>IFERROR(INDEX(阻害要因×疾患名[#All],MATCH($AL20,阻害要因×疾患名[[#All],[値]],0),MATCH($AO$4,阻害要因×疾患名[#Headers],0)),0)</f>
        <v>45</v>
      </c>
      <c r="F20" s="131">
        <f t="shared" si="2"/>
        <v>0.22167487684729065</v>
      </c>
      <c r="G20" s="153">
        <f>IFERROR(INDEX(阻害要因×疾患名[#All],MATCH($AL20,阻害要因×疾患名[[#All],[値]],0),MATCH($AS$4,阻害要因×疾患名[#Headers],0)),0)</f>
        <v>254</v>
      </c>
      <c r="H20" s="131">
        <f t="shared" si="3"/>
        <v>0.31013431013431014</v>
      </c>
      <c r="I20" s="153">
        <f>IFERROR(INDEX(阻害要因×疾患名[#All],MATCH($AL20,阻害要因×疾患名[[#All],[値]],0),MATCH($AT$4,阻害要因×疾患名[#Headers],0)),0)+IFERROR(INDEX(阻害要因×疾患名[#All],MATCH($AL20,阻害要因×疾患名[[#All],[値]],0),MATCH($AU$4,阻害要因×疾患名[#Headers],0)),0)</f>
        <v>77</v>
      </c>
      <c r="J20" s="131">
        <f t="shared" si="4"/>
        <v>0.44508670520231214</v>
      </c>
      <c r="K20" s="745"/>
      <c r="L20" s="745"/>
      <c r="M20" s="745"/>
      <c r="N20" s="26">
        <f t="shared" si="5"/>
        <v>433</v>
      </c>
      <c r="O20" s="43" t="s">
        <v>157</v>
      </c>
      <c r="P20" s="49">
        <v>254</v>
      </c>
      <c r="Q20" s="49">
        <v>29</v>
      </c>
      <c r="R20" s="49">
        <v>45</v>
      </c>
      <c r="S20" s="46">
        <v>48</v>
      </c>
      <c r="T20" s="46">
        <v>4</v>
      </c>
      <c r="U20" s="46">
        <v>5</v>
      </c>
      <c r="V20" s="46">
        <v>52</v>
      </c>
      <c r="W20" s="46">
        <v>12</v>
      </c>
      <c r="X20" s="46">
        <v>5</v>
      </c>
      <c r="Y20" s="46">
        <v>2</v>
      </c>
      <c r="Z20" s="46">
        <v>11</v>
      </c>
      <c r="AA20" s="46">
        <v>16</v>
      </c>
      <c r="AB20" s="46">
        <v>0</v>
      </c>
      <c r="AC20" s="46">
        <v>1</v>
      </c>
      <c r="AD20" s="46">
        <v>3</v>
      </c>
      <c r="AE20" s="46">
        <v>0</v>
      </c>
      <c r="AF20" s="46">
        <v>0</v>
      </c>
      <c r="AG20" s="46">
        <v>1</v>
      </c>
      <c r="AL20" s="43" t="s">
        <v>157</v>
      </c>
    </row>
    <row r="21" spans="2:38" ht="18.75" customHeight="1" x14ac:dyDescent="0.2">
      <c r="B21" s="72" t="s">
        <v>41</v>
      </c>
      <c r="C21" s="127">
        <f>IFERROR(INDEX(阻害要因×疾患名[#All],MATCH($AL21,阻害要因×疾患名[[#All],[値]],0),MATCH($AM$4,阻害要因×疾患名[#Headers],0)),0)+IFERROR(INDEX(阻害要因×疾患名[#All],MATCH($AL21,阻害要因×疾患名[[#All],[値]],0),MATCH($AN$4,阻害要因×疾患名[#Headers],0)),0)</f>
        <v>14</v>
      </c>
      <c r="D21" s="128">
        <f t="shared" si="1"/>
        <v>6.0344827586206899E-2</v>
      </c>
      <c r="E21" s="127">
        <f>IFERROR(INDEX(阻害要因×疾患名[#All],MATCH($AL21,阻害要因×疾患名[[#All],[値]],0),MATCH($AO$4,阻害要因×疾患名[#Headers],0)),0)</f>
        <v>18</v>
      </c>
      <c r="F21" s="128">
        <f t="shared" si="2"/>
        <v>8.8669950738916259E-2</v>
      </c>
      <c r="G21" s="127">
        <f>IFERROR(INDEX(阻害要因×疾患名[#All],MATCH($AL21,阻害要因×疾患名[[#All],[値]],0),MATCH($AS$4,阻害要因×疾患名[#Headers],0)),0)</f>
        <v>76</v>
      </c>
      <c r="H21" s="128">
        <f t="shared" si="3"/>
        <v>9.2796092796092799E-2</v>
      </c>
      <c r="I21" s="127">
        <f>IFERROR(INDEX(阻害要因×疾患名[#All],MATCH($AL21,阻害要因×疾患名[[#All],[値]],0),MATCH($AT$4,阻害要因×疾患名[#Headers],0)),0)+IFERROR(INDEX(阻害要因×疾患名[#All],MATCH($AL21,阻害要因×疾患名[[#All],[値]],0),MATCH($AU$4,阻害要因×疾患名[#Headers],0)),0)</f>
        <v>10</v>
      </c>
      <c r="J21" s="128">
        <f t="shared" si="4"/>
        <v>5.7803468208092484E-2</v>
      </c>
      <c r="K21" s="745"/>
      <c r="L21" s="745"/>
      <c r="M21" s="745"/>
      <c r="N21" s="26">
        <f t="shared" si="5"/>
        <v>118</v>
      </c>
      <c r="O21" s="43" t="s">
        <v>158</v>
      </c>
      <c r="P21" s="49">
        <v>76</v>
      </c>
      <c r="Q21" s="49">
        <v>8</v>
      </c>
      <c r="R21" s="49">
        <v>18</v>
      </c>
      <c r="S21" s="46">
        <v>2</v>
      </c>
      <c r="T21" s="46">
        <v>0</v>
      </c>
      <c r="U21" s="46">
        <v>0</v>
      </c>
      <c r="V21" s="46">
        <v>14</v>
      </c>
      <c r="W21" s="46">
        <v>3</v>
      </c>
      <c r="X21" s="46">
        <v>1</v>
      </c>
      <c r="Y21" s="46">
        <v>0</v>
      </c>
      <c r="Z21" s="46">
        <v>6</v>
      </c>
      <c r="AA21" s="46">
        <v>7</v>
      </c>
      <c r="AB21" s="46">
        <v>0</v>
      </c>
      <c r="AC21" s="46">
        <v>0</v>
      </c>
      <c r="AD21" s="46">
        <v>0</v>
      </c>
      <c r="AE21" s="46">
        <v>0</v>
      </c>
      <c r="AF21" s="46">
        <v>0</v>
      </c>
      <c r="AG21" s="46">
        <v>1</v>
      </c>
      <c r="AL21" s="43" t="s">
        <v>158</v>
      </c>
    </row>
    <row r="22" spans="2:38" ht="18.75" customHeight="1" x14ac:dyDescent="0.2">
      <c r="B22" s="72" t="s">
        <v>42</v>
      </c>
      <c r="C22" s="127">
        <f>IFERROR(INDEX(阻害要因×疾患名[#All],MATCH($AL22,阻害要因×疾患名[[#All],[値]],0),MATCH($AM$4,阻害要因×疾患名[#Headers],0)),0)+IFERROR(INDEX(阻害要因×疾患名[#All],MATCH($AL22,阻害要因×疾患名[[#All],[値]],0),MATCH($AN$4,阻害要因×疾患名[#Headers],0)),0)</f>
        <v>77</v>
      </c>
      <c r="D22" s="128">
        <f t="shared" si="1"/>
        <v>0.33189655172413796</v>
      </c>
      <c r="E22" s="127">
        <f>IFERROR(INDEX(阻害要因×疾患名[#All],MATCH($AL22,阻害要因×疾患名[[#All],[値]],0),MATCH($AO$4,阻害要因×疾患名[#Headers],0)),0)</f>
        <v>65</v>
      </c>
      <c r="F22" s="128">
        <f t="shared" si="2"/>
        <v>0.32019704433497537</v>
      </c>
      <c r="G22" s="127">
        <f>IFERROR(INDEX(阻害要因×疾患名[#All],MATCH($AL22,阻害要因×疾患名[[#All],[値]],0),MATCH($AS$4,阻害要因×疾患名[#Headers],0)),0)</f>
        <v>273</v>
      </c>
      <c r="H22" s="128">
        <f t="shared" si="3"/>
        <v>0.33333333333333331</v>
      </c>
      <c r="I22" s="127">
        <f>IFERROR(INDEX(阻害要因×疾患名[#All],MATCH($AL22,阻害要因×疾患名[[#All],[値]],0),MATCH($AT$4,阻害要因×疾患名[#Headers],0)),0)+IFERROR(INDEX(阻害要因×疾患名[#All],MATCH($AL22,阻害要因×疾患名[[#All],[値]],0),MATCH($AU$4,阻害要因×疾患名[#Headers],0)),0)</f>
        <v>50</v>
      </c>
      <c r="J22" s="128">
        <f t="shared" si="4"/>
        <v>0.28901734104046245</v>
      </c>
      <c r="K22" s="745"/>
      <c r="L22" s="745"/>
      <c r="M22" s="745"/>
      <c r="N22" s="26">
        <f t="shared" si="5"/>
        <v>465</v>
      </c>
      <c r="O22" s="43" t="s">
        <v>159</v>
      </c>
      <c r="P22" s="49">
        <v>273</v>
      </c>
      <c r="Q22" s="49">
        <v>17</v>
      </c>
      <c r="R22" s="49">
        <v>65</v>
      </c>
      <c r="S22" s="46">
        <v>33</v>
      </c>
      <c r="T22" s="46">
        <v>8</v>
      </c>
      <c r="U22" s="46">
        <v>6</v>
      </c>
      <c r="V22" s="46">
        <v>71</v>
      </c>
      <c r="W22" s="46">
        <v>6</v>
      </c>
      <c r="X22" s="46">
        <v>4</v>
      </c>
      <c r="Y22" s="46">
        <v>1</v>
      </c>
      <c r="Z22" s="46">
        <v>26</v>
      </c>
      <c r="AA22" s="46">
        <v>14</v>
      </c>
      <c r="AB22" s="46">
        <v>0</v>
      </c>
      <c r="AC22" s="46">
        <v>3</v>
      </c>
      <c r="AD22" s="46">
        <v>1</v>
      </c>
      <c r="AE22" s="46">
        <v>0</v>
      </c>
      <c r="AF22" s="46">
        <v>0</v>
      </c>
      <c r="AG22" s="46">
        <v>2</v>
      </c>
      <c r="AL22" s="43" t="s">
        <v>159</v>
      </c>
    </row>
    <row r="23" spans="2:38" ht="18.75" customHeight="1" x14ac:dyDescent="0.2">
      <c r="B23" s="72" t="s">
        <v>43</v>
      </c>
      <c r="C23" s="127">
        <f>IFERROR(INDEX(阻害要因×疾患名[#All],MATCH($AL23,阻害要因×疾患名[[#All],[値]],0),MATCH($AM$4,阻害要因×疾患名[#Headers],0)),0)+IFERROR(INDEX(阻害要因×疾患名[#All],MATCH($AL23,阻害要因×疾患名[[#All],[値]],0),MATCH($AN$4,阻害要因×疾患名[#Headers],0)),0)</f>
        <v>28</v>
      </c>
      <c r="D23" s="128">
        <f t="shared" si="1"/>
        <v>0.1206896551724138</v>
      </c>
      <c r="E23" s="127">
        <f>IFERROR(INDEX(阻害要因×疾患名[#All],MATCH($AL23,阻害要因×疾患名[[#All],[値]],0),MATCH($AO$4,阻害要因×疾患名[#Headers],0)),0)</f>
        <v>29</v>
      </c>
      <c r="F23" s="128">
        <f t="shared" si="2"/>
        <v>0.14285714285714285</v>
      </c>
      <c r="G23" s="127">
        <f>IFERROR(INDEX(阻害要因×疾患名[#All],MATCH($AL23,阻害要因×疾患名[[#All],[値]],0),MATCH($AS$4,阻害要因×疾患名[#Headers],0)),0)</f>
        <v>169</v>
      </c>
      <c r="H23" s="128">
        <f t="shared" si="3"/>
        <v>0.20634920634920634</v>
      </c>
      <c r="I23" s="127">
        <f>IFERROR(INDEX(阻害要因×疾患名[#All],MATCH($AL23,阻害要因×疾患名[[#All],[値]],0),MATCH($AT$4,阻害要因×疾患名[#Headers],0)),0)+IFERROR(INDEX(阻害要因×疾患名[#All],MATCH($AL23,阻害要因×疾患名[[#All],[値]],0),MATCH($AU$4,阻害要因×疾患名[#Headers],0)),0)</f>
        <v>23</v>
      </c>
      <c r="J23" s="128">
        <f t="shared" si="4"/>
        <v>0.13294797687861271</v>
      </c>
      <c r="K23" s="745"/>
      <c r="L23" s="745"/>
      <c r="M23" s="745"/>
      <c r="N23" s="26">
        <f t="shared" si="5"/>
        <v>249</v>
      </c>
      <c r="O23" s="43" t="s">
        <v>160</v>
      </c>
      <c r="P23" s="49">
        <v>169</v>
      </c>
      <c r="Q23" s="49">
        <v>10</v>
      </c>
      <c r="R23" s="49">
        <v>29</v>
      </c>
      <c r="S23" s="46">
        <v>13</v>
      </c>
      <c r="T23" s="46">
        <v>8</v>
      </c>
      <c r="U23" s="46">
        <v>4</v>
      </c>
      <c r="V23" s="46">
        <v>24</v>
      </c>
      <c r="W23" s="46">
        <v>3</v>
      </c>
      <c r="X23" s="46">
        <v>1</v>
      </c>
      <c r="Y23" s="46">
        <v>0</v>
      </c>
      <c r="Z23" s="46">
        <v>18</v>
      </c>
      <c r="AA23" s="46">
        <v>6</v>
      </c>
      <c r="AB23" s="46">
        <v>0</v>
      </c>
      <c r="AC23" s="46">
        <v>1</v>
      </c>
      <c r="AD23" s="46">
        <v>1</v>
      </c>
      <c r="AE23" s="46">
        <v>1</v>
      </c>
      <c r="AF23" s="46">
        <v>0</v>
      </c>
      <c r="AG23" s="46">
        <v>0</v>
      </c>
      <c r="AL23" s="43" t="s">
        <v>160</v>
      </c>
    </row>
    <row r="24" spans="2:38" ht="18.75" customHeight="1" x14ac:dyDescent="0.2">
      <c r="B24" s="72" t="s">
        <v>229</v>
      </c>
      <c r="C24" s="127">
        <f>IFERROR(INDEX(阻害要因×疾患名[#All],MATCH($AL24,阻害要因×疾患名[[#All],[値]],0),MATCH($AM$4,阻害要因×疾患名[#Headers],0)),0)+IFERROR(INDEX(阻害要因×疾患名[#All],MATCH($AL24,阻害要因×疾患名[[#All],[値]],0),MATCH($AN$4,阻害要因×疾患名[#Headers],0)),0)</f>
        <v>40</v>
      </c>
      <c r="D24" s="128">
        <f t="shared" si="1"/>
        <v>0.17241379310344829</v>
      </c>
      <c r="E24" s="127">
        <f>IFERROR(INDEX(阻害要因×疾患名[#All],MATCH($AL24,阻害要因×疾患名[[#All],[値]],0),MATCH($AO$4,阻害要因×疾患名[#Headers],0)),0)</f>
        <v>43</v>
      </c>
      <c r="F24" s="128">
        <f t="shared" si="2"/>
        <v>0.21182266009852216</v>
      </c>
      <c r="G24" s="127">
        <f>IFERROR(INDEX(阻害要因×疾患名[#All],MATCH($AL24,阻害要因×疾患名[[#All],[値]],0),MATCH($AS$4,阻害要因×疾患名[#Headers],0)),0)</f>
        <v>129</v>
      </c>
      <c r="H24" s="128">
        <f t="shared" si="3"/>
        <v>0.1575091575091575</v>
      </c>
      <c r="I24" s="127">
        <f>IFERROR(INDEX(阻害要因×疾患名[#All],MATCH($AL24,阻害要因×疾患名[[#All],[値]],0),MATCH($AT$4,阻害要因×疾患名[#Headers],0)),0)+IFERROR(INDEX(阻害要因×疾患名[#All],MATCH($AL24,阻害要因×疾患名[[#All],[値]],0),MATCH($AU$4,阻害要因×疾患名[#Headers],0)),0)</f>
        <v>24</v>
      </c>
      <c r="J24" s="128">
        <f t="shared" si="4"/>
        <v>0.13872832369942195</v>
      </c>
      <c r="K24" s="745"/>
      <c r="L24" s="745"/>
      <c r="M24" s="745"/>
      <c r="N24" s="26">
        <f t="shared" si="5"/>
        <v>236</v>
      </c>
      <c r="O24" s="43" t="s">
        <v>161</v>
      </c>
      <c r="P24" s="49">
        <v>129</v>
      </c>
      <c r="Q24" s="49">
        <v>12</v>
      </c>
      <c r="R24" s="49">
        <v>43</v>
      </c>
      <c r="S24" s="46">
        <v>12</v>
      </c>
      <c r="T24" s="46">
        <v>1</v>
      </c>
      <c r="U24" s="46">
        <v>8</v>
      </c>
      <c r="V24" s="46">
        <v>32</v>
      </c>
      <c r="W24" s="46">
        <v>4</v>
      </c>
      <c r="X24" s="46">
        <v>0</v>
      </c>
      <c r="Y24" s="46">
        <v>1</v>
      </c>
      <c r="Z24" s="46">
        <v>12</v>
      </c>
      <c r="AA24" s="46">
        <v>9</v>
      </c>
      <c r="AB24" s="46">
        <v>1</v>
      </c>
      <c r="AC24" s="46">
        <v>2</v>
      </c>
      <c r="AD24" s="46">
        <v>1</v>
      </c>
      <c r="AE24" s="46">
        <v>0</v>
      </c>
      <c r="AF24" s="46">
        <v>0</v>
      </c>
      <c r="AG24" s="46">
        <v>1</v>
      </c>
      <c r="AL24" s="43" t="s">
        <v>161</v>
      </c>
    </row>
    <row r="25" spans="2:38" ht="18.75" customHeight="1" x14ac:dyDescent="0.2">
      <c r="B25" s="72" t="s">
        <v>45</v>
      </c>
      <c r="C25" s="613">
        <f>IFERROR(INDEX(阻害要因×疾患名[#All],MATCH($AL25,阻害要因×疾患名[[#All],[値]],0),MATCH($AM$4,阻害要因×疾患名[#Headers],0)),0)+IFERROR(INDEX(阻害要因×疾患名[#All],MATCH($AL25,阻害要因×疾患名[[#All],[値]],0),MATCH($AN$4,阻害要因×疾患名[#Headers],0)),0)</f>
        <v>106</v>
      </c>
      <c r="D25" s="128">
        <f t="shared" si="1"/>
        <v>0.45689655172413796</v>
      </c>
      <c r="E25" s="127">
        <f>IFERROR(INDEX(阻害要因×疾患名[#All],MATCH($AL25,阻害要因×疾患名[[#All],[値]],0),MATCH($AO$4,阻害要因×疾患名[#Headers],0)),0)</f>
        <v>83</v>
      </c>
      <c r="F25" s="128">
        <f t="shared" si="2"/>
        <v>0.40886699507389163</v>
      </c>
      <c r="G25" s="127">
        <f>IFERROR(INDEX(阻害要因×疾患名[#All],MATCH($AL25,阻害要因×疾患名[[#All],[値]],0),MATCH($AS$4,阻害要因×疾患名[#Headers],0)),0)</f>
        <v>235</v>
      </c>
      <c r="H25" s="128">
        <f t="shared" si="3"/>
        <v>0.28693528693528692</v>
      </c>
      <c r="I25" s="127">
        <f>IFERROR(INDEX(阻害要因×疾患名[#All],MATCH($AL25,阻害要因×疾患名[[#All],[値]],0),MATCH($AT$4,阻害要因×疾患名[#Headers],0)),0)+IFERROR(INDEX(阻害要因×疾患名[#All],MATCH($AL25,阻害要因×疾患名[[#All],[値]],0),MATCH($AU$4,阻害要因×疾患名[#Headers],0)),0)</f>
        <v>47</v>
      </c>
      <c r="J25" s="128">
        <f t="shared" si="4"/>
        <v>0.27167630057803466</v>
      </c>
      <c r="K25" s="745"/>
      <c r="L25" s="745"/>
      <c r="M25" s="745"/>
      <c r="N25" s="26">
        <f t="shared" si="5"/>
        <v>471</v>
      </c>
      <c r="O25" s="43" t="s">
        <v>162</v>
      </c>
      <c r="P25" s="49">
        <v>235</v>
      </c>
      <c r="Q25" s="49">
        <v>16</v>
      </c>
      <c r="R25" s="49">
        <v>83</v>
      </c>
      <c r="S25" s="46">
        <v>31</v>
      </c>
      <c r="T25" s="46">
        <v>8</v>
      </c>
      <c r="U25" s="46">
        <v>12</v>
      </c>
      <c r="V25" s="46">
        <v>94</v>
      </c>
      <c r="W25" s="46">
        <v>6</v>
      </c>
      <c r="X25" s="46">
        <v>5</v>
      </c>
      <c r="Y25" s="46">
        <v>0</v>
      </c>
      <c r="Z25" s="46">
        <v>46</v>
      </c>
      <c r="AA25" s="46">
        <v>7</v>
      </c>
      <c r="AB25" s="46">
        <v>0</v>
      </c>
      <c r="AC25" s="46">
        <v>5</v>
      </c>
      <c r="AD25" s="46">
        <v>0</v>
      </c>
      <c r="AE25" s="46">
        <v>0</v>
      </c>
      <c r="AF25" s="46">
        <v>0</v>
      </c>
      <c r="AG25" s="46">
        <v>0</v>
      </c>
      <c r="AL25" s="43" t="s">
        <v>162</v>
      </c>
    </row>
    <row r="26" spans="2:38" ht="18.75" customHeight="1" x14ac:dyDescent="0.2">
      <c r="B26" s="72" t="s">
        <v>46</v>
      </c>
      <c r="C26" s="127">
        <f>IFERROR(INDEX(阻害要因×疾患名[#All],MATCH($AL26,阻害要因×疾患名[[#All],[値]],0),MATCH($AM$4,阻害要因×疾患名[#Headers],0)),0)+IFERROR(INDEX(阻害要因×疾患名[#All],MATCH($AL26,阻害要因×疾患名[[#All],[値]],0),MATCH($AN$4,阻害要因×疾患名[#Headers],0)),0)</f>
        <v>25</v>
      </c>
      <c r="D26" s="128">
        <f t="shared" si="1"/>
        <v>0.10775862068965517</v>
      </c>
      <c r="E26" s="127">
        <f>IFERROR(INDEX(阻害要因×疾患名[#All],MATCH($AL26,阻害要因×疾患名[[#All],[値]],0),MATCH($AO$4,阻害要因×疾患名[#Headers],0)),0)</f>
        <v>16</v>
      </c>
      <c r="F26" s="128">
        <f t="shared" si="2"/>
        <v>7.8817733990147784E-2</v>
      </c>
      <c r="G26" s="127">
        <f>IFERROR(INDEX(阻害要因×疾患名[#All],MATCH($AL26,阻害要因×疾患名[[#All],[値]],0),MATCH($AS$4,阻害要因×疾患名[#Headers],0)),0)</f>
        <v>42</v>
      </c>
      <c r="H26" s="128">
        <f t="shared" si="3"/>
        <v>5.128205128205128E-2</v>
      </c>
      <c r="I26" s="127">
        <f>IFERROR(INDEX(阻害要因×疾患名[#All],MATCH($AL26,阻害要因×疾患名[[#All],[値]],0),MATCH($AT$4,阻害要因×疾患名[#Headers],0)),0)+IFERROR(INDEX(阻害要因×疾患名[#All],MATCH($AL26,阻害要因×疾患名[[#All],[値]],0),MATCH($AU$4,阻害要因×疾患名[#Headers],0)),0)</f>
        <v>9</v>
      </c>
      <c r="J26" s="128">
        <f t="shared" si="4"/>
        <v>5.2023121387283239E-2</v>
      </c>
      <c r="K26" s="745"/>
      <c r="L26" s="745"/>
      <c r="M26" s="745"/>
      <c r="N26" s="26">
        <f t="shared" si="5"/>
        <v>92</v>
      </c>
      <c r="O26" s="43" t="s">
        <v>163</v>
      </c>
      <c r="P26" s="49">
        <v>42</v>
      </c>
      <c r="Q26" s="49">
        <v>6</v>
      </c>
      <c r="R26" s="49">
        <v>16</v>
      </c>
      <c r="S26" s="46">
        <v>3</v>
      </c>
      <c r="T26" s="46">
        <v>3</v>
      </c>
      <c r="U26" s="46">
        <v>5</v>
      </c>
      <c r="V26" s="46">
        <v>20</v>
      </c>
      <c r="W26" s="46">
        <v>2</v>
      </c>
      <c r="X26" s="46">
        <v>1</v>
      </c>
      <c r="Y26" s="46">
        <v>0</v>
      </c>
      <c r="Z26" s="46">
        <v>7</v>
      </c>
      <c r="AA26" s="46">
        <v>0</v>
      </c>
      <c r="AB26" s="46">
        <v>0</v>
      </c>
      <c r="AC26" s="46">
        <v>2</v>
      </c>
      <c r="AD26" s="46">
        <v>0</v>
      </c>
      <c r="AE26" s="46">
        <v>0</v>
      </c>
      <c r="AF26" s="46">
        <v>0</v>
      </c>
      <c r="AG26" s="46">
        <v>0</v>
      </c>
      <c r="AL26" s="43" t="s">
        <v>163</v>
      </c>
    </row>
    <row r="27" spans="2:38" ht="18.75" customHeight="1" x14ac:dyDescent="0.2">
      <c r="B27" s="72" t="s">
        <v>47</v>
      </c>
      <c r="C27" s="127">
        <f>IFERROR(INDEX(阻害要因×疾患名[#All],MATCH($AL27,阻害要因×疾患名[[#All],[値]],0),MATCH($AM$4,阻害要因×疾患名[#Headers],0)),0)+IFERROR(INDEX(阻害要因×疾患名[#All],MATCH($AL27,阻害要因×疾患名[[#All],[値]],0),MATCH($AN$4,阻害要因×疾患名[#Headers],0)),0)</f>
        <v>15</v>
      </c>
      <c r="D27" s="128">
        <f t="shared" si="1"/>
        <v>6.4655172413793108E-2</v>
      </c>
      <c r="E27" s="127">
        <f>IFERROR(INDEX(阻害要因×疾患名[#All],MATCH($AL27,阻害要因×疾患名[[#All],[値]],0),MATCH($AO$4,阻害要因×疾患名[#Headers],0)),0)</f>
        <v>17</v>
      </c>
      <c r="F27" s="128">
        <f t="shared" si="2"/>
        <v>8.3743842364532015E-2</v>
      </c>
      <c r="G27" s="127">
        <f>IFERROR(INDEX(阻害要因×疾患名[#All],MATCH($AL27,阻害要因×疾患名[[#All],[値]],0),MATCH($AS$4,阻害要因×疾患名[#Headers],0)),0)</f>
        <v>25</v>
      </c>
      <c r="H27" s="128">
        <f t="shared" si="3"/>
        <v>3.0525030525030524E-2</v>
      </c>
      <c r="I27" s="127">
        <f>IFERROR(INDEX(阻害要因×疾患名[#All],MATCH($AL27,阻害要因×疾患名[[#All],[値]],0),MATCH($AT$4,阻害要因×疾患名[#Headers],0)),0)+IFERROR(INDEX(阻害要因×疾患名[#All],MATCH($AL27,阻害要因×疾患名[[#All],[値]],0),MATCH($AU$4,阻害要因×疾患名[#Headers],0)),0)</f>
        <v>8</v>
      </c>
      <c r="J27" s="128">
        <f t="shared" si="4"/>
        <v>4.6242774566473986E-2</v>
      </c>
      <c r="K27" s="745"/>
      <c r="L27" s="745"/>
      <c r="M27" s="745"/>
      <c r="N27" s="26">
        <f t="shared" si="5"/>
        <v>65</v>
      </c>
      <c r="O27" s="43" t="s">
        <v>164</v>
      </c>
      <c r="P27" s="49">
        <v>25</v>
      </c>
      <c r="Q27" s="49">
        <v>4</v>
      </c>
      <c r="R27" s="49">
        <v>17</v>
      </c>
      <c r="S27" s="46">
        <v>4</v>
      </c>
      <c r="T27" s="46">
        <v>2</v>
      </c>
      <c r="U27" s="46">
        <v>3</v>
      </c>
      <c r="V27" s="46">
        <v>12</v>
      </c>
      <c r="W27" s="46">
        <v>0</v>
      </c>
      <c r="X27" s="46">
        <v>2</v>
      </c>
      <c r="Y27" s="46">
        <v>0</v>
      </c>
      <c r="Z27" s="46">
        <v>10</v>
      </c>
      <c r="AA27" s="46">
        <v>1</v>
      </c>
      <c r="AB27" s="46">
        <v>0</v>
      </c>
      <c r="AC27" s="46">
        <v>0</v>
      </c>
      <c r="AD27" s="46">
        <v>0</v>
      </c>
      <c r="AE27" s="46">
        <v>0</v>
      </c>
      <c r="AF27" s="46">
        <v>0</v>
      </c>
      <c r="AG27" s="46">
        <v>0</v>
      </c>
      <c r="AL27" s="43" t="s">
        <v>164</v>
      </c>
    </row>
    <row r="28" spans="2:38" ht="18.75" customHeight="1" x14ac:dyDescent="0.2">
      <c r="B28" s="72" t="s">
        <v>48</v>
      </c>
      <c r="C28" s="150">
        <f>IFERROR(INDEX(阻害要因×疾患名[#All],MATCH($AL28,阻害要因×疾患名[[#All],[値]],0),MATCH($AM$4,阻害要因×疾患名[#Headers],0)),0)+IFERROR(INDEX(阻害要因×疾患名[#All],MATCH($AL28,阻害要因×疾患名[[#All],[値]],0),MATCH($AN$4,阻害要因×疾患名[#Headers],0)),0)</f>
        <v>6</v>
      </c>
      <c r="D28" s="144">
        <f t="shared" si="1"/>
        <v>2.5862068965517241E-2</v>
      </c>
      <c r="E28" s="150">
        <f>IFERROR(INDEX(阻害要因×疾患名[#All],MATCH($AL28,阻害要因×疾患名[[#All],[値]],0),MATCH($AO$4,阻害要因×疾患名[#Headers],0)),0)</f>
        <v>3</v>
      </c>
      <c r="F28" s="144">
        <f t="shared" si="2"/>
        <v>1.4778325123152709E-2</v>
      </c>
      <c r="G28" s="150">
        <f>IFERROR(INDEX(阻害要因×疾患名[#All],MATCH($AL28,阻害要因×疾患名[[#All],[値]],0),MATCH($AS$4,阻害要因×疾患名[#Headers],0)),0)</f>
        <v>5</v>
      </c>
      <c r="H28" s="144">
        <f t="shared" si="3"/>
        <v>6.105006105006105E-3</v>
      </c>
      <c r="I28" s="150">
        <f>IFERROR(INDEX(阻害要因×疾患名[#All],MATCH($AL28,阻害要因×疾患名[[#All],[値]],0),MATCH($AT$4,阻害要因×疾患名[#Headers],0)),0)+IFERROR(INDEX(阻害要因×疾患名[#All],MATCH($AL28,阻害要因×疾患名[[#All],[値]],0),MATCH($AU$4,阻害要因×疾患名[#Headers],0)),0)</f>
        <v>3</v>
      </c>
      <c r="J28" s="144">
        <f t="shared" si="4"/>
        <v>1.7341040462427744E-2</v>
      </c>
      <c r="K28" s="745"/>
      <c r="L28" s="745"/>
      <c r="M28" s="745"/>
      <c r="N28" s="26">
        <f t="shared" si="5"/>
        <v>17</v>
      </c>
      <c r="O28" s="43" t="s">
        <v>165</v>
      </c>
      <c r="P28" s="49">
        <v>5</v>
      </c>
      <c r="Q28" s="49">
        <v>2</v>
      </c>
      <c r="R28" s="46">
        <v>3</v>
      </c>
      <c r="S28" s="46">
        <v>1</v>
      </c>
      <c r="T28" s="46">
        <v>1</v>
      </c>
      <c r="U28" s="46">
        <v>0</v>
      </c>
      <c r="V28" s="46">
        <v>6</v>
      </c>
      <c r="W28" s="46">
        <v>0</v>
      </c>
      <c r="X28" s="46">
        <v>0</v>
      </c>
      <c r="Y28" s="46">
        <v>0</v>
      </c>
      <c r="Z28" s="46">
        <v>0</v>
      </c>
      <c r="AA28" s="46">
        <v>0</v>
      </c>
      <c r="AB28" s="46">
        <v>0</v>
      </c>
      <c r="AC28" s="46">
        <v>0</v>
      </c>
      <c r="AD28" s="46">
        <v>0</v>
      </c>
      <c r="AE28" s="46">
        <v>0</v>
      </c>
      <c r="AF28" s="46">
        <v>0</v>
      </c>
      <c r="AG28" s="46">
        <v>0</v>
      </c>
      <c r="AL28" s="43" t="s">
        <v>165</v>
      </c>
    </row>
    <row r="29" spans="2:38" ht="18.75" customHeight="1" x14ac:dyDescent="0.2">
      <c r="B29" s="72" t="s">
        <v>49</v>
      </c>
      <c r="C29" s="613">
        <f>IFERROR(INDEX(阻害要因×疾患名[#All],MATCH($AL29,阻害要因×疾患名[[#All],[値]],0),MATCH($AM$4,阻害要因×疾患名[#Headers],0)),0)+IFERROR(INDEX(阻害要因×疾患名[#All],MATCH($AL29,阻害要因×疾患名[[#All],[値]],0),MATCH($AN$4,阻害要因×疾患名[#Headers],0)),0)</f>
        <v>25</v>
      </c>
      <c r="D29" s="128">
        <f t="shared" si="1"/>
        <v>0.10775862068965517</v>
      </c>
      <c r="E29" s="127">
        <f>IFERROR(INDEX(阻害要因×疾患名[#All],MATCH($AL29,阻害要因×疾患名[[#All],[値]],0),MATCH($AO$4,阻害要因×疾患名[#Headers],0)),0)</f>
        <v>22</v>
      </c>
      <c r="F29" s="128">
        <f t="shared" si="2"/>
        <v>0.10837438423645321</v>
      </c>
      <c r="G29" s="127">
        <f>IFERROR(INDEX(阻害要因×疾患名[#All],MATCH($AL29,阻害要因×疾患名[[#All],[値]],0),MATCH($AS$4,阻害要因×疾患名[#Headers],0)),0)</f>
        <v>66</v>
      </c>
      <c r="H29" s="128">
        <f t="shared" si="3"/>
        <v>8.0586080586080591E-2</v>
      </c>
      <c r="I29" s="127">
        <f>IFERROR(INDEX(阻害要因×疾患名[#All],MATCH($AL29,阻害要因×疾患名[[#All],[値]],0),MATCH($AT$4,阻害要因×疾患名[#Headers],0)),0)+IFERROR(INDEX(阻害要因×疾患名[#All],MATCH($AL29,阻害要因×疾患名[[#All],[値]],0),MATCH($AU$4,阻害要因×疾患名[#Headers],0)),0)</f>
        <v>11</v>
      </c>
      <c r="J29" s="128">
        <f t="shared" si="4"/>
        <v>6.358381502890173E-2</v>
      </c>
      <c r="K29" s="745"/>
      <c r="L29" s="745"/>
      <c r="M29" s="745"/>
      <c r="N29" s="26">
        <f t="shared" si="5"/>
        <v>124</v>
      </c>
      <c r="O29" s="43" t="s">
        <v>166</v>
      </c>
      <c r="P29" s="49">
        <v>66</v>
      </c>
      <c r="Q29" s="49">
        <v>6</v>
      </c>
      <c r="R29" s="46">
        <v>22</v>
      </c>
      <c r="S29" s="46">
        <v>5</v>
      </c>
      <c r="T29" s="46">
        <v>3</v>
      </c>
      <c r="U29" s="46">
        <v>0</v>
      </c>
      <c r="V29" s="46">
        <v>25</v>
      </c>
      <c r="W29" s="46">
        <v>3</v>
      </c>
      <c r="X29" s="46">
        <v>1</v>
      </c>
      <c r="Y29" s="46">
        <v>1</v>
      </c>
      <c r="Z29" s="46">
        <v>6</v>
      </c>
      <c r="AA29" s="46">
        <v>4</v>
      </c>
      <c r="AB29" s="46">
        <v>0</v>
      </c>
      <c r="AC29" s="46">
        <v>0</v>
      </c>
      <c r="AD29" s="46">
        <v>0</v>
      </c>
      <c r="AE29" s="46">
        <v>1</v>
      </c>
      <c r="AF29" s="46">
        <v>0</v>
      </c>
      <c r="AG29" s="46">
        <v>0</v>
      </c>
      <c r="AL29" s="43" t="s">
        <v>166</v>
      </c>
    </row>
    <row r="30" spans="2:38" ht="18.75" customHeight="1" x14ac:dyDescent="0.2">
      <c r="B30" s="72" t="s">
        <v>50</v>
      </c>
      <c r="C30" s="613">
        <f>IFERROR(INDEX(阻害要因×疾患名[#All],MATCH($AL30,阻害要因×疾患名[[#All],[値]],0),MATCH($AM$4,阻害要因×疾患名[#Headers],0)),0)+IFERROR(INDEX(阻害要因×疾患名[#All],MATCH($AL30,阻害要因×疾患名[[#All],[値]],0),MATCH($AN$4,阻害要因×疾患名[#Headers],0)),0)</f>
        <v>16</v>
      </c>
      <c r="D30" s="128">
        <f t="shared" si="1"/>
        <v>6.8965517241379309E-2</v>
      </c>
      <c r="E30" s="127">
        <f>IFERROR(INDEX(阻害要因×疾患名[#All],MATCH($AL30,阻害要因×疾患名[[#All],[値]],0),MATCH($AO$4,阻害要因×疾患名[#Headers],0)),0)</f>
        <v>21</v>
      </c>
      <c r="F30" s="128">
        <f t="shared" si="2"/>
        <v>0.10344827586206896</v>
      </c>
      <c r="G30" s="127">
        <f>IFERROR(INDEX(阻害要因×疾患名[#All],MATCH($AL30,阻害要因×疾患名[[#All],[値]],0),MATCH($AS$4,阻害要因×疾患名[#Headers],0)),0)</f>
        <v>71</v>
      </c>
      <c r="H30" s="128">
        <f t="shared" si="3"/>
        <v>8.6691086691086688E-2</v>
      </c>
      <c r="I30" s="127">
        <f>IFERROR(INDEX(阻害要因×疾患名[#All],MATCH($AL30,阻害要因×疾患名[[#All],[値]],0),MATCH($AT$4,阻害要因×疾患名[#Headers],0)),0)+IFERROR(INDEX(阻害要因×疾患名[#All],MATCH($AL30,阻害要因×疾患名[[#All],[値]],0),MATCH($AU$4,阻害要因×疾患名[#Headers],0)),0)</f>
        <v>15</v>
      </c>
      <c r="J30" s="128">
        <f t="shared" si="4"/>
        <v>8.6705202312138727E-2</v>
      </c>
      <c r="K30" s="745"/>
      <c r="L30" s="745"/>
      <c r="M30" s="745"/>
      <c r="N30" s="26">
        <f t="shared" si="5"/>
        <v>123</v>
      </c>
      <c r="O30" s="43" t="s">
        <v>167</v>
      </c>
      <c r="P30" s="49">
        <v>71</v>
      </c>
      <c r="Q30" s="49">
        <v>7</v>
      </c>
      <c r="R30" s="46">
        <v>21</v>
      </c>
      <c r="S30" s="46">
        <v>8</v>
      </c>
      <c r="T30" s="46">
        <v>2</v>
      </c>
      <c r="U30" s="46">
        <v>1</v>
      </c>
      <c r="V30" s="46">
        <v>15</v>
      </c>
      <c r="W30" s="46">
        <v>3</v>
      </c>
      <c r="X30" s="46">
        <v>0</v>
      </c>
      <c r="Y30" s="46">
        <v>1</v>
      </c>
      <c r="Z30" s="46">
        <v>6</v>
      </c>
      <c r="AA30" s="46">
        <v>3</v>
      </c>
      <c r="AB30" s="46">
        <v>0</v>
      </c>
      <c r="AC30" s="46">
        <v>0</v>
      </c>
      <c r="AD30" s="46">
        <v>0</v>
      </c>
      <c r="AE30" s="46">
        <v>0</v>
      </c>
      <c r="AF30" s="46">
        <v>0</v>
      </c>
      <c r="AG30" s="46">
        <v>0</v>
      </c>
      <c r="AL30" s="43" t="s">
        <v>167</v>
      </c>
    </row>
    <row r="31" spans="2:38" ht="18.75" customHeight="1" x14ac:dyDescent="0.2">
      <c r="B31" s="72" t="s">
        <v>230</v>
      </c>
      <c r="C31" s="127">
        <f>IFERROR(INDEX(阻害要因×疾患名[#All],MATCH($AL31,阻害要因×疾患名[[#All],[値]],0),MATCH($AM$4,阻害要因×疾患名[#Headers],0)),0)+IFERROR(INDEX(阻害要因×疾患名[#All],MATCH($AL31,阻害要因×疾患名[[#All],[値]],0),MATCH($AN$4,阻害要因×疾患名[#Headers],0)),0)</f>
        <v>2</v>
      </c>
      <c r="D31" s="128">
        <f t="shared" si="1"/>
        <v>8.6206896551724137E-3</v>
      </c>
      <c r="E31" s="127">
        <f>IFERROR(INDEX(阻害要因×疾患名[#All],MATCH($AL31,阻害要因×疾患名[[#All],[値]],0),MATCH($AO$4,阻害要因×疾患名[#Headers],0)),0)</f>
        <v>3</v>
      </c>
      <c r="F31" s="128">
        <f t="shared" si="2"/>
        <v>1.4778325123152709E-2</v>
      </c>
      <c r="G31" s="127">
        <f>IFERROR(INDEX(阻害要因×疾患名[#All],MATCH($AL31,阻害要因×疾患名[[#All],[値]],0),MATCH($AS$4,阻害要因×疾患名[#Headers],0)),0)</f>
        <v>11</v>
      </c>
      <c r="H31" s="128">
        <f t="shared" si="3"/>
        <v>1.3431013431013432E-2</v>
      </c>
      <c r="I31" s="127">
        <f>IFERROR(INDEX(阻害要因×疾患名[#All],MATCH($AL31,阻害要因×疾患名[[#All],[値]],0),MATCH($AT$4,阻害要因×疾患名[#Headers],0)),0)+IFERROR(INDEX(阻害要因×疾患名[#All],MATCH($AL31,阻害要因×疾患名[[#All],[値]],0),MATCH($AU$4,阻害要因×疾患名[#Headers],0)),0)</f>
        <v>1</v>
      </c>
      <c r="J31" s="128">
        <f t="shared" si="4"/>
        <v>5.7803468208092483E-3</v>
      </c>
      <c r="K31" s="745"/>
      <c r="L31" s="745"/>
      <c r="M31" s="745"/>
      <c r="N31" s="26">
        <f t="shared" si="5"/>
        <v>17</v>
      </c>
      <c r="O31" s="43" t="s">
        <v>168</v>
      </c>
      <c r="P31" s="49">
        <v>11</v>
      </c>
      <c r="Q31" s="49">
        <v>1</v>
      </c>
      <c r="R31" s="46">
        <v>3</v>
      </c>
      <c r="S31" s="46">
        <v>0</v>
      </c>
      <c r="T31" s="46">
        <v>1</v>
      </c>
      <c r="U31" s="46">
        <v>0</v>
      </c>
      <c r="V31" s="46">
        <v>2</v>
      </c>
      <c r="W31" s="46">
        <v>0</v>
      </c>
      <c r="X31" s="46">
        <v>0</v>
      </c>
      <c r="Y31" s="46">
        <v>0</v>
      </c>
      <c r="Z31" s="46">
        <v>1</v>
      </c>
      <c r="AA31" s="46">
        <v>0</v>
      </c>
      <c r="AB31" s="46">
        <v>0</v>
      </c>
      <c r="AC31" s="46">
        <v>0</v>
      </c>
      <c r="AD31" s="46">
        <v>0</v>
      </c>
      <c r="AE31" s="46">
        <v>1</v>
      </c>
      <c r="AF31" s="46">
        <v>0</v>
      </c>
      <c r="AG31" s="46">
        <v>0</v>
      </c>
      <c r="AL31" s="43" t="s">
        <v>168</v>
      </c>
    </row>
    <row r="32" spans="2:38" s="352" customFormat="1" ht="18.75" customHeight="1" x14ac:dyDescent="0.2">
      <c r="B32" s="356" t="s">
        <v>352</v>
      </c>
      <c r="C32" s="127">
        <f>IFERROR(INDEX(阻害要因×疾患名[#All],MATCH($AL32,阻害要因×疾患名[[#All],[値]],0),MATCH($AM$4,阻害要因×疾患名[#Headers],0)),0)+IFERROR(INDEX(阻害要因×疾患名[#All],MATCH($AL32,阻害要因×疾患名[[#All],[値]],0),MATCH($AN$4,阻害要因×疾患名[#Headers],0)),0)</f>
        <v>72</v>
      </c>
      <c r="D32" s="128">
        <f t="shared" ref="D32:D34" si="6">IFERROR(C32/C$11,"-")</f>
        <v>0.31034482758620691</v>
      </c>
      <c r="E32" s="127">
        <f>IFERROR(INDEX(阻害要因×疾患名[#All],MATCH($AL32,阻害要因×疾患名[[#All],[値]],0),MATCH($AO$4,阻害要因×疾患名[#Headers],0)),0)</f>
        <v>63</v>
      </c>
      <c r="F32" s="128">
        <f t="shared" ref="F32:F34" si="7">IFERROR(E32/E$11,"-")</f>
        <v>0.31034482758620691</v>
      </c>
      <c r="G32" s="127">
        <f>IFERROR(INDEX(阻害要因×疾患名[#All],MATCH($AL32,阻害要因×疾患名[[#All],[値]],0),MATCH($AS$4,阻害要因×疾患名[#Headers],0)),0)</f>
        <v>116</v>
      </c>
      <c r="H32" s="128">
        <f t="shared" ref="H32:H34" si="8">IFERROR(G32/G$11,"-")</f>
        <v>0.14163614163614163</v>
      </c>
      <c r="I32" s="127">
        <f>IFERROR(INDEX(阻害要因×疾患名[#All],MATCH($AL32,阻害要因×疾患名[[#All],[値]],0),MATCH($AT$4,阻害要因×疾患名[#Headers],0)),0)+IFERROR(INDEX(阻害要因×疾患名[#All],MATCH($AL32,阻害要因×疾患名[[#All],[値]],0),MATCH($AU$4,阻害要因×疾患名[#Headers],0)),0)</f>
        <v>35</v>
      </c>
      <c r="J32" s="128">
        <f t="shared" ref="J32:J34" si="9">IFERROR(I32/I$11,"-")</f>
        <v>0.20231213872832371</v>
      </c>
      <c r="K32" s="745"/>
      <c r="L32" s="745"/>
      <c r="M32" s="745"/>
      <c r="N32" s="26">
        <f t="shared" si="5"/>
        <v>286</v>
      </c>
      <c r="O32" s="43" t="s">
        <v>354</v>
      </c>
      <c r="P32" s="355">
        <v>116</v>
      </c>
      <c r="Q32" s="49">
        <v>14</v>
      </c>
      <c r="R32" s="46">
        <v>63</v>
      </c>
      <c r="S32" s="46">
        <v>21</v>
      </c>
      <c r="T32" s="46">
        <v>6</v>
      </c>
      <c r="U32" s="46">
        <v>12</v>
      </c>
      <c r="V32" s="46">
        <v>60</v>
      </c>
      <c r="W32" s="46">
        <v>0</v>
      </c>
      <c r="X32" s="46">
        <v>2</v>
      </c>
      <c r="Y32" s="46">
        <v>0</v>
      </c>
      <c r="Z32" s="46">
        <v>10</v>
      </c>
      <c r="AA32" s="46">
        <v>6</v>
      </c>
      <c r="AB32" s="46">
        <v>0</v>
      </c>
      <c r="AC32" s="46">
        <v>0</v>
      </c>
      <c r="AD32" s="46">
        <v>0</v>
      </c>
      <c r="AE32" s="46">
        <v>1</v>
      </c>
      <c r="AF32" s="46">
        <v>0</v>
      </c>
      <c r="AG32" s="46">
        <v>0</v>
      </c>
      <c r="AL32" s="43" t="s">
        <v>354</v>
      </c>
    </row>
    <row r="33" spans="2:38" s="352" customFormat="1" ht="39" customHeight="1" x14ac:dyDescent="0.2">
      <c r="B33" s="357" t="s">
        <v>353</v>
      </c>
      <c r="C33" s="127">
        <f>IFERROR(INDEX(阻害要因×疾患名[#All],MATCH($AL33,阻害要因×疾患名[[#All],[値]],0),MATCH($AM$4,阻害要因×疾患名[#Headers],0)),0)+IFERROR(INDEX(阻害要因×疾患名[#All],MATCH($AL33,阻害要因×疾患名[[#All],[値]],0),MATCH($AN$4,阻害要因×疾患名[#Headers],0)),0)</f>
        <v>27</v>
      </c>
      <c r="D33" s="128">
        <f t="shared" si="6"/>
        <v>0.11637931034482758</v>
      </c>
      <c r="E33" s="127">
        <f>IFERROR(INDEX(阻害要因×疾患名[#All],MATCH($AL33,阻害要因×疾患名[[#All],[値]],0),MATCH($AO$4,阻害要因×疾患名[#Headers],0)),0)</f>
        <v>30</v>
      </c>
      <c r="F33" s="128">
        <f t="shared" si="7"/>
        <v>0.14778325123152711</v>
      </c>
      <c r="G33" s="127">
        <f>IFERROR(INDEX(阻害要因×疾患名[#All],MATCH($AL33,阻害要因×疾患名[[#All],[値]],0),MATCH($AS$4,阻害要因×疾患名[#Headers],0)),0)</f>
        <v>42</v>
      </c>
      <c r="H33" s="128">
        <f t="shared" si="8"/>
        <v>5.128205128205128E-2</v>
      </c>
      <c r="I33" s="127">
        <f>IFERROR(INDEX(阻害要因×疾患名[#All],MATCH($AL33,阻害要因×疾患名[[#All],[値]],0),MATCH($AT$4,阻害要因×疾患名[#Headers],0)),0)+IFERROR(INDEX(阻害要因×疾患名[#All],MATCH($AL33,阻害要因×疾患名[[#All],[値]],0),MATCH($AU$4,阻害要因×疾患名[#Headers],0)),0)</f>
        <v>17</v>
      </c>
      <c r="J33" s="128">
        <f t="shared" si="9"/>
        <v>9.8265895953757232E-2</v>
      </c>
      <c r="K33" s="745"/>
      <c r="L33" s="745"/>
      <c r="M33" s="745"/>
      <c r="N33" s="26">
        <f t="shared" si="5"/>
        <v>116</v>
      </c>
      <c r="O33" s="43" t="s">
        <v>355</v>
      </c>
      <c r="P33" s="355">
        <v>42</v>
      </c>
      <c r="Q33" s="49">
        <v>8</v>
      </c>
      <c r="R33" s="46">
        <v>30</v>
      </c>
      <c r="S33" s="46">
        <v>9</v>
      </c>
      <c r="T33" s="46">
        <v>3</v>
      </c>
      <c r="U33" s="46">
        <v>4</v>
      </c>
      <c r="V33" s="46">
        <v>23</v>
      </c>
      <c r="W33" s="46">
        <v>0</v>
      </c>
      <c r="X33" s="46">
        <v>0</v>
      </c>
      <c r="Y33" s="46">
        <v>0</v>
      </c>
      <c r="Z33" s="46">
        <v>2</v>
      </c>
      <c r="AA33" s="46">
        <v>1</v>
      </c>
      <c r="AB33" s="46">
        <v>0</v>
      </c>
      <c r="AC33" s="46">
        <v>0</v>
      </c>
      <c r="AD33" s="46">
        <v>1</v>
      </c>
      <c r="AE33" s="46">
        <v>0</v>
      </c>
      <c r="AF33" s="46">
        <v>0</v>
      </c>
      <c r="AG33" s="46">
        <v>0</v>
      </c>
      <c r="AL33" s="43" t="s">
        <v>355</v>
      </c>
    </row>
    <row r="34" spans="2:38" ht="18.75" customHeight="1" x14ac:dyDescent="0.2">
      <c r="B34" s="73" t="s">
        <v>52</v>
      </c>
      <c r="C34" s="130">
        <f>IFERROR(INDEX(阻害要因×疾患名[#All],MATCH($AL34,阻害要因×疾患名[[#All],[値]],0),MATCH($AM$4,阻害要因×疾患名[#Headers],0)),0)+IFERROR(INDEX(阻害要因×疾患名[#All],MATCH($AL34,阻害要因×疾患名[[#All],[値]],0),MATCH($AN$4,阻害要因×疾患名[#Headers],0)),0)</f>
        <v>5</v>
      </c>
      <c r="D34" s="132">
        <f t="shared" si="6"/>
        <v>2.1551724137931036E-2</v>
      </c>
      <c r="E34" s="130">
        <f>IFERROR(INDEX(阻害要因×疾患名[#All],MATCH($AL34,阻害要因×疾患名[[#All],[値]],0),MATCH($AO$4,阻害要因×疾患名[#Headers],0)),0)</f>
        <v>7</v>
      </c>
      <c r="F34" s="132">
        <f t="shared" si="7"/>
        <v>3.4482758620689655E-2</v>
      </c>
      <c r="G34" s="130">
        <f>IFERROR(INDEX(阻害要因×疾患名[#All],MATCH($AL34,阻害要因×疾患名[[#All],[値]],0),MATCH($AS$4,阻害要因×疾患名[#Headers],0)),0)</f>
        <v>13</v>
      </c>
      <c r="H34" s="132">
        <f t="shared" si="8"/>
        <v>1.5873015873015872E-2</v>
      </c>
      <c r="I34" s="130">
        <f>IFERROR(INDEX(阻害要因×疾患名[#All],MATCH($AL34,阻害要因×疾患名[[#All],[値]],0),MATCH($AT$4,阻害要因×疾患名[#Headers],0)),0)+IFERROR(INDEX(阻害要因×疾患名[#All],MATCH($AL34,阻害要因×疾患名[[#All],[値]],0),MATCH($AU$4,阻害要因×疾患名[#Headers],0)),0)</f>
        <v>3</v>
      </c>
      <c r="J34" s="132">
        <f t="shared" si="9"/>
        <v>1.7341040462427744E-2</v>
      </c>
      <c r="K34" s="745"/>
      <c r="L34" s="745"/>
      <c r="M34" s="745"/>
      <c r="N34" s="26">
        <f t="shared" si="5"/>
        <v>28</v>
      </c>
      <c r="O34" s="43" t="s">
        <v>169</v>
      </c>
      <c r="P34" s="49">
        <v>13</v>
      </c>
      <c r="Q34" s="49">
        <v>1</v>
      </c>
      <c r="R34" s="46">
        <v>7</v>
      </c>
      <c r="S34" s="46">
        <v>2</v>
      </c>
      <c r="T34" s="46">
        <v>2</v>
      </c>
      <c r="U34" s="46">
        <v>0</v>
      </c>
      <c r="V34" s="46">
        <v>5</v>
      </c>
      <c r="W34" s="46">
        <v>3</v>
      </c>
      <c r="X34" s="46">
        <v>0</v>
      </c>
      <c r="Y34" s="46">
        <v>0</v>
      </c>
      <c r="Z34" s="46">
        <v>2</v>
      </c>
      <c r="AA34" s="46">
        <v>3</v>
      </c>
      <c r="AB34" s="46">
        <v>0</v>
      </c>
      <c r="AC34" s="46">
        <v>0</v>
      </c>
      <c r="AD34" s="46">
        <v>1</v>
      </c>
      <c r="AE34" s="46">
        <v>0</v>
      </c>
      <c r="AF34" s="46">
        <v>0</v>
      </c>
      <c r="AG34" s="383">
        <v>0</v>
      </c>
      <c r="AL34" s="43" t="s">
        <v>169</v>
      </c>
    </row>
    <row r="35" spans="2:38" ht="18.75" customHeight="1" x14ac:dyDescent="0.2">
      <c r="C35" s="16"/>
      <c r="N35" s="26"/>
    </row>
    <row r="36" spans="2:38" ht="18.75" customHeight="1" x14ac:dyDescent="0.2">
      <c r="B36" s="2" t="s">
        <v>78</v>
      </c>
      <c r="N36" s="26"/>
    </row>
    <row r="37" spans="2:38" ht="18.75" customHeight="1" x14ac:dyDescent="0.2">
      <c r="B37" s="1036" t="s">
        <v>227</v>
      </c>
      <c r="C37" s="1022" t="s">
        <v>77</v>
      </c>
      <c r="D37" s="1023"/>
      <c r="E37" s="1023"/>
      <c r="F37" s="1023"/>
      <c r="G37" s="1023"/>
      <c r="H37" s="1023"/>
      <c r="I37" s="1023"/>
      <c r="J37" s="1024"/>
      <c r="K37" s="763"/>
      <c r="L37" s="763"/>
      <c r="M37" s="763"/>
    </row>
    <row r="38" spans="2:38" ht="56.25" customHeight="1" thickBot="1" x14ac:dyDescent="0.25">
      <c r="B38" s="1049"/>
      <c r="C38" s="1022" t="s">
        <v>249</v>
      </c>
      <c r="D38" s="1023"/>
      <c r="E38" s="1023"/>
      <c r="F38" s="1024"/>
      <c r="G38" s="1042" t="s">
        <v>72</v>
      </c>
      <c r="H38" s="1043"/>
      <c r="I38" s="1042" t="s">
        <v>73</v>
      </c>
      <c r="J38" s="1043"/>
      <c r="K38" s="764"/>
      <c r="L38" s="764"/>
      <c r="M38" s="764"/>
      <c r="N38" s="26"/>
      <c r="O38" s="40"/>
    </row>
    <row r="39" spans="2:38" ht="56.25" customHeight="1" thickTop="1" thickBot="1" x14ac:dyDescent="0.25">
      <c r="B39" s="1037"/>
      <c r="C39" s="1050" t="s">
        <v>186</v>
      </c>
      <c r="D39" s="1051"/>
      <c r="E39" s="1050" t="s">
        <v>187</v>
      </c>
      <c r="F39" s="1051"/>
      <c r="G39" s="1044"/>
      <c r="H39" s="1045"/>
      <c r="I39" s="1044"/>
      <c r="J39" s="1045"/>
      <c r="K39" s="764"/>
      <c r="L39" s="764"/>
      <c r="M39" s="764"/>
      <c r="N39" s="26">
        <f>C40+E40+G40+I40</f>
        <v>498</v>
      </c>
      <c r="O39" s="305" t="s">
        <v>655</v>
      </c>
      <c r="P39" s="59" t="s">
        <v>712</v>
      </c>
      <c r="Q39" s="59" t="s">
        <v>713</v>
      </c>
      <c r="R39" s="59" t="s">
        <v>714</v>
      </c>
      <c r="S39" s="59" t="s">
        <v>715</v>
      </c>
      <c r="T39" s="59" t="s">
        <v>289</v>
      </c>
      <c r="U39" s="59" t="s">
        <v>290</v>
      </c>
      <c r="V39" s="59" t="s">
        <v>716</v>
      </c>
      <c r="W39" s="59" t="s">
        <v>717</v>
      </c>
      <c r="X39" s="59" t="s">
        <v>718</v>
      </c>
      <c r="Y39" s="59" t="s">
        <v>719</v>
      </c>
      <c r="Z39" s="59" t="s">
        <v>720</v>
      </c>
      <c r="AA39" s="59" t="s">
        <v>721</v>
      </c>
      <c r="AB39" s="59" t="s">
        <v>722</v>
      </c>
      <c r="AC39" s="59" t="s">
        <v>723</v>
      </c>
      <c r="AD39" s="59" t="s">
        <v>724</v>
      </c>
      <c r="AE39" s="59" t="s">
        <v>418</v>
      </c>
      <c r="AF39" s="59" t="s">
        <v>725</v>
      </c>
      <c r="AG39" s="59" t="s">
        <v>671</v>
      </c>
    </row>
    <row r="40" spans="2:38" ht="37.5" customHeight="1" thickTop="1" x14ac:dyDescent="0.2">
      <c r="B40" s="60" t="s">
        <v>218</v>
      </c>
      <c r="C40" s="124">
        <f>IFERROR(INDEX(退院予定有無×疾患名＿寛解・院内寛解[#All],MATCH($AL40,退院予定有無×疾患名＿寛解・院内寛解[[#All],[行ラベル]],0),MATCH($AM$4,退院予定有無×疾患名＿寛解・院内寛解[#Headers],0)),0)+IFERROR(INDEX(退院予定有無×疾患名＿寛解・院内寛解[#All],MATCH($AL40,退院予定有無×疾患名＿寛解・院内寛解[[#All],[行ラベル]],0),MATCH($AN$4,退院予定有無×疾患名＿寛解・院内寛解[#Headers],0)),0)</f>
        <v>54</v>
      </c>
      <c r="D40" s="126">
        <f>IFERROR(C40/C$43,"-")</f>
        <v>0.39130434782608697</v>
      </c>
      <c r="E40" s="124">
        <f>IFERROR(INDEX(退院予定有無×疾患名＿寛解・院内寛解[#All],MATCH($AL40,退院予定有無×疾患名＿寛解・院内寛解[[#All],[行ラベル]],0),MATCH($AO$4,退院予定有無×疾患名＿寛解・院内寛解[#Headers],0)),0)</f>
        <v>64</v>
      </c>
      <c r="F40" s="126">
        <f>IFERROR(E40/E$43,"-")</f>
        <v>0.44444444444444442</v>
      </c>
      <c r="G40" s="124">
        <f>IFERROR(INDEX(退院予定有無×疾患名＿寛解・院内寛解[#All],MATCH($AL40,退院予定有無×疾患名＿寛解・院内寛解[[#All],[行ラベル]],0),MATCH($AS$4,退院予定有無×疾患名＿寛解・院内寛解[#Headers],0)),0)</f>
        <v>290</v>
      </c>
      <c r="H40" s="126">
        <f>IFERROR(G40/G$43,"-")</f>
        <v>0.41076487252124644</v>
      </c>
      <c r="I40" s="124">
        <f>IFERROR(INDEX(退院予定有無×疾患名＿寛解・院内寛解[#All],MATCH($AL40,退院予定有無×疾患名＿寛解・院内寛解[[#All],[行ラベル]],0),MATCH($AT$4,退院予定有無×疾患名＿寛解・院内寛解[#Headers],0)),0)+IFERROR(INDEX(退院予定有無×疾患名＿寛解・院内寛解[#All],MATCH($AL40,退院予定有無×疾患名＿寛解・院内寛解[[#All],[行ラベル]],0),MATCH($AU$4,退院予定有無×疾患名＿寛解・院内寛解[#Headers],0)),0)</f>
        <v>90</v>
      </c>
      <c r="J40" s="126">
        <f>IFERROR(I40/I$43,"-")</f>
        <v>0.29801324503311261</v>
      </c>
      <c r="K40" s="137"/>
      <c r="L40" s="137"/>
      <c r="M40" s="137"/>
      <c r="N40" s="26">
        <f>C41+E41+G41+I41</f>
        <v>299</v>
      </c>
      <c r="O40" s="21">
        <v>98</v>
      </c>
      <c r="P40" s="46">
        <v>32</v>
      </c>
      <c r="Q40" s="49">
        <v>2</v>
      </c>
      <c r="R40" s="49">
        <v>38</v>
      </c>
      <c r="S40" s="46">
        <v>55</v>
      </c>
      <c r="T40" s="46">
        <v>2</v>
      </c>
      <c r="U40" s="46">
        <v>5</v>
      </c>
      <c r="V40" s="46">
        <v>166</v>
      </c>
      <c r="W40" s="46">
        <v>18</v>
      </c>
      <c r="X40" s="46">
        <v>43</v>
      </c>
      <c r="Y40" s="46">
        <v>7</v>
      </c>
      <c r="Z40" s="46">
        <v>0</v>
      </c>
      <c r="AA40" s="46">
        <v>2</v>
      </c>
      <c r="AB40" s="46">
        <v>8</v>
      </c>
      <c r="AC40" s="46">
        <v>3</v>
      </c>
      <c r="AD40" s="46">
        <v>2</v>
      </c>
      <c r="AE40" s="46">
        <v>3</v>
      </c>
      <c r="AF40" s="46">
        <v>0</v>
      </c>
      <c r="AG40" s="382">
        <v>0</v>
      </c>
      <c r="AL40" s="251">
        <v>97</v>
      </c>
    </row>
    <row r="41" spans="2:38" ht="18.75" customHeight="1" x14ac:dyDescent="0.2">
      <c r="B41" s="61" t="s">
        <v>225</v>
      </c>
      <c r="C41" s="127">
        <f>IFERROR(INDEX(退院予定有無×疾患名＿寛解・院内寛解[#All],MATCH($AL41,退院予定有無×疾患名＿寛解・院内寛解[[#All],[行ラベル]],0),MATCH($AM$4,退院予定有無×疾患名＿寛解・院内寛解[#Headers],0)),0)+IFERROR(INDEX(退院予定有無×疾患名＿寛解・院内寛解[#All],MATCH($AL41,退院予定有無×疾患名＿寛解・院内寛解[[#All],[行ラベル]],0),MATCH($AN$4,退院予定有無×疾患名＿寛解・院内寛解[#Headers],0)),0)</f>
        <v>34</v>
      </c>
      <c r="D41" s="128">
        <f>IFERROR(C41/C$43,"-")</f>
        <v>0.24637681159420291</v>
      </c>
      <c r="E41" s="127">
        <f>IFERROR(INDEX(退院予定有無×疾患名＿寛解・院内寛解[#All],MATCH($AL41,退院予定有無×疾患名＿寛解・院内寛解[[#All],[行ラベル]],0),MATCH($AO$4,退院予定有無×疾患名＿寛解・院内寛解[#Headers],0)),0)</f>
        <v>38</v>
      </c>
      <c r="F41" s="128">
        <f>IFERROR(E41/E$43,"-")</f>
        <v>0.2638888888888889</v>
      </c>
      <c r="G41" s="127">
        <f>IFERROR(INDEX(退院予定有無×疾患名＿寛解・院内寛解[#All],MATCH($AL41,退院予定有無×疾患名＿寛解・院内寛解[[#All],[行ラベル]],0),MATCH($AS$4,退院予定有無×疾患名＿寛解・院内寛解[#Headers],0)),0)</f>
        <v>166</v>
      </c>
      <c r="H41" s="128">
        <f>IFERROR(G41/G$43,"-")</f>
        <v>0.23512747875354106</v>
      </c>
      <c r="I41" s="127">
        <f>IFERROR(INDEX(退院予定有無×疾患名＿寛解・院内寛解[#All],MATCH($AL41,退院予定有無×疾患名＿寛解・院内寛解[[#All],[行ラベル]],0),MATCH($AT$4,退院予定有無×疾患名＿寛解・院内寛解[#Headers],0)),0)+IFERROR(INDEX(退院予定有無×疾患名＿寛解・院内寛解[#All],MATCH($AL41,退院予定有無×疾患名＿寛解・院内寛解[[#All],[行ラベル]],0),MATCH($AU$4,退院予定有無×疾患名＿寛解・院内寛解[#Headers],0)),0)</f>
        <v>61</v>
      </c>
      <c r="J41" s="128">
        <f>IFERROR(I41/I$43,"-")</f>
        <v>0.20198675496688742</v>
      </c>
      <c r="K41" s="745"/>
      <c r="L41" s="745"/>
      <c r="M41" s="745"/>
      <c r="N41" s="26">
        <f>C42+E42+G42+I42</f>
        <v>493</v>
      </c>
      <c r="O41" s="21">
        <v>97</v>
      </c>
      <c r="P41" s="46">
        <v>45</v>
      </c>
      <c r="Q41" s="49">
        <v>9</v>
      </c>
      <c r="R41" s="49">
        <v>64</v>
      </c>
      <c r="S41" s="46">
        <v>48</v>
      </c>
      <c r="T41" s="46">
        <v>0</v>
      </c>
      <c r="U41" s="46">
        <v>2</v>
      </c>
      <c r="V41" s="46">
        <v>290</v>
      </c>
      <c r="W41" s="46">
        <v>29</v>
      </c>
      <c r="X41" s="46">
        <v>61</v>
      </c>
      <c r="Y41" s="46">
        <v>21</v>
      </c>
      <c r="Z41" s="46">
        <v>0</v>
      </c>
      <c r="AA41" s="46">
        <v>5</v>
      </c>
      <c r="AB41" s="46">
        <v>5</v>
      </c>
      <c r="AC41" s="46">
        <v>12</v>
      </c>
      <c r="AD41" s="46">
        <v>2</v>
      </c>
      <c r="AE41" s="46">
        <v>6</v>
      </c>
      <c r="AF41" s="46">
        <v>0</v>
      </c>
      <c r="AG41" s="46">
        <v>0</v>
      </c>
      <c r="AL41" s="251">
        <v>98</v>
      </c>
    </row>
    <row r="42" spans="2:38" ht="18.75" customHeight="1" x14ac:dyDescent="0.2">
      <c r="B42" s="62" t="s">
        <v>36</v>
      </c>
      <c r="C42" s="127">
        <f>IFERROR(INDEX(退院予定有無×疾患名＿寛解・院内寛解[#All],MATCH($AL42,退院予定有無×疾患名＿寛解・院内寛解[[#All],[行ラベル]],0),MATCH($AM$4,退院予定有無×疾患名＿寛解・院内寛解[#Headers],0)),0)+IFERROR(INDEX(退院予定有無×疾患名＿寛解・院内寛解[#All],MATCH($AL42,退院予定有無×疾患名＿寛解・院内寛解[[#All],[行ラベル]],0),MATCH($AN$4,退院予定有無×疾患名＿寛解・院内寛解[#Headers],0)),0)</f>
        <v>50</v>
      </c>
      <c r="D42" s="128">
        <f>IFERROR(C42/C$43,"-")</f>
        <v>0.36231884057971014</v>
      </c>
      <c r="E42" s="127">
        <f>IFERROR(INDEX(退院予定有無×疾患名＿寛解・院内寛解[#All],MATCH($AL42,退院予定有無×疾患名＿寛解・院内寛解[[#All],[行ラベル]],0),MATCH($AO$4,退院予定有無×疾患名＿寛解・院内寛解[#Headers],0)),0)</f>
        <v>42</v>
      </c>
      <c r="F42" s="128">
        <f>IFERROR(E42/E$43,"-")</f>
        <v>0.29166666666666669</v>
      </c>
      <c r="G42" s="127">
        <f>IFERROR(INDEX(退院予定有無×疾患名＿寛解・院内寛解[#All],MATCH($AL42,退院予定有無×疾患名＿寛解・院内寛解[[#All],[行ラベル]],0),MATCH($AS$4,退院予定有無×疾患名＿寛解・院内寛解[#Headers],0)),0)</f>
        <v>250</v>
      </c>
      <c r="H42" s="128">
        <f>IFERROR(G42/G$43,"-")</f>
        <v>0.35410764872521244</v>
      </c>
      <c r="I42" s="127">
        <f>IFERROR(INDEX(退院予定有無×疾患名＿寛解・院内寛解[#All],MATCH($AL42,退院予定有無×疾患名＿寛解・院内寛解[[#All],[行ラベル]],0),MATCH($AT$4,退院予定有無×疾患名＿寛解・院内寛解[#Headers],0)),0)+IFERROR(INDEX(退院予定有無×疾患名＿寛解・院内寛解[#All],MATCH($AL42,退院予定有無×疾患名＿寛解・院内寛解[[#All],[行ラベル]],0),MATCH($AU$4,退院予定有無×疾患名＿寛解・院内寛解[#Headers],0)),0)</f>
        <v>151</v>
      </c>
      <c r="J42" s="128">
        <f>IFERROR(I42/I$43,"-")</f>
        <v>0.5</v>
      </c>
      <c r="K42" s="745"/>
      <c r="L42" s="745"/>
      <c r="M42" s="745"/>
      <c r="N42" s="26">
        <f>C43+E43+G43+I43</f>
        <v>1290</v>
      </c>
      <c r="O42" s="21">
        <v>99</v>
      </c>
      <c r="P42" s="46">
        <v>46</v>
      </c>
      <c r="Q42" s="49">
        <v>4</v>
      </c>
      <c r="R42" s="49">
        <v>42</v>
      </c>
      <c r="S42" s="46">
        <v>96</v>
      </c>
      <c r="T42" s="46">
        <v>7</v>
      </c>
      <c r="U42" s="46">
        <v>11</v>
      </c>
      <c r="V42" s="46">
        <v>250</v>
      </c>
      <c r="W42" s="46">
        <v>47</v>
      </c>
      <c r="X42" s="46">
        <v>104</v>
      </c>
      <c r="Y42" s="46">
        <v>22</v>
      </c>
      <c r="Z42" s="46">
        <v>6</v>
      </c>
      <c r="AA42" s="46">
        <v>7</v>
      </c>
      <c r="AB42" s="46">
        <v>14</v>
      </c>
      <c r="AC42" s="46">
        <v>11</v>
      </c>
      <c r="AD42" s="46">
        <v>3</v>
      </c>
      <c r="AE42" s="46">
        <v>5</v>
      </c>
      <c r="AF42" s="46">
        <v>0</v>
      </c>
      <c r="AG42" s="383">
        <v>0</v>
      </c>
      <c r="AL42" s="251">
        <v>99</v>
      </c>
    </row>
    <row r="43" spans="2:38" ht="18.75" customHeight="1" x14ac:dyDescent="0.2">
      <c r="B43" s="63" t="s">
        <v>149</v>
      </c>
      <c r="C43" s="133">
        <f t="shared" ref="C43:J43" si="10">SUM(C40:C42)</f>
        <v>138</v>
      </c>
      <c r="D43" s="134">
        <f t="shared" si="10"/>
        <v>1</v>
      </c>
      <c r="E43" s="135">
        <f t="shared" si="10"/>
        <v>144</v>
      </c>
      <c r="F43" s="134">
        <f t="shared" si="10"/>
        <v>1</v>
      </c>
      <c r="G43" s="135">
        <f t="shared" si="10"/>
        <v>706</v>
      </c>
      <c r="H43" s="134">
        <f t="shared" si="10"/>
        <v>1</v>
      </c>
      <c r="I43" s="135">
        <f t="shared" si="10"/>
        <v>302</v>
      </c>
      <c r="J43" s="134">
        <f t="shared" si="10"/>
        <v>1</v>
      </c>
      <c r="K43" s="765"/>
      <c r="L43" s="765"/>
      <c r="M43" s="765"/>
      <c r="N43" s="26"/>
      <c r="O43" s="21"/>
      <c r="P43" s="30"/>
      <c r="Q43" s="30"/>
      <c r="R43" s="30"/>
      <c r="S43" s="30"/>
      <c r="T43" s="30"/>
      <c r="U43" s="30"/>
      <c r="V43" s="30"/>
      <c r="W43" s="30"/>
      <c r="X43" s="30"/>
      <c r="Y43" s="30"/>
      <c r="Z43" s="30"/>
      <c r="AA43" s="30"/>
      <c r="AB43" s="30"/>
      <c r="AC43" s="30"/>
      <c r="AD43" s="30"/>
      <c r="AE43" s="30"/>
      <c r="AL43" s="251"/>
    </row>
    <row r="44" spans="2:38" ht="18.75" customHeight="1" thickBot="1" x14ac:dyDescent="0.25">
      <c r="B44" s="64"/>
      <c r="C44" s="65"/>
      <c r="D44" s="66"/>
      <c r="E44" s="67"/>
      <c r="F44" s="66"/>
      <c r="G44" s="67"/>
      <c r="H44" s="66"/>
      <c r="I44" s="67"/>
      <c r="J44" s="66"/>
      <c r="K44" s="66"/>
      <c r="L44" s="66"/>
      <c r="M44" s="66"/>
      <c r="N44" s="26"/>
      <c r="AL44" s="251"/>
    </row>
    <row r="45" spans="2:38" ht="18.75" customHeight="1" thickTop="1" thickBot="1" x14ac:dyDescent="0.25">
      <c r="B45" s="68" t="s">
        <v>226</v>
      </c>
      <c r="C45" s="1046"/>
      <c r="D45" s="1047"/>
      <c r="E45" s="1047"/>
      <c r="F45" s="1047"/>
      <c r="G45" s="1047"/>
      <c r="H45" s="1047"/>
      <c r="I45" s="1047"/>
      <c r="J45" s="1048"/>
      <c r="K45" s="769"/>
      <c r="L45" s="769"/>
      <c r="M45" s="769"/>
      <c r="N45" s="26">
        <f>C46+E46+G46+I46</f>
        <v>406</v>
      </c>
      <c r="O45" s="305" t="s">
        <v>655</v>
      </c>
      <c r="P45" s="59" t="s">
        <v>712</v>
      </c>
      <c r="Q45" s="59" t="s">
        <v>713</v>
      </c>
      <c r="R45" s="59" t="s">
        <v>714</v>
      </c>
      <c r="S45" s="59" t="s">
        <v>715</v>
      </c>
      <c r="T45" s="59" t="s">
        <v>716</v>
      </c>
      <c r="U45" s="59" t="s">
        <v>717</v>
      </c>
      <c r="V45" s="59" t="s">
        <v>718</v>
      </c>
      <c r="W45" s="59" t="s">
        <v>719</v>
      </c>
      <c r="X45" s="59" t="s">
        <v>720</v>
      </c>
      <c r="Y45" s="59" t="s">
        <v>721</v>
      </c>
      <c r="Z45" s="59" t="s">
        <v>722</v>
      </c>
      <c r="AA45" s="59" t="s">
        <v>723</v>
      </c>
      <c r="AB45" s="59" t="s">
        <v>724</v>
      </c>
      <c r="AC45" s="59" t="s">
        <v>289</v>
      </c>
      <c r="AD45" s="59" t="s">
        <v>418</v>
      </c>
      <c r="AE45" s="59" t="s">
        <v>725</v>
      </c>
      <c r="AF45" s="59" t="s">
        <v>290</v>
      </c>
      <c r="AG45" s="42" t="s">
        <v>671</v>
      </c>
      <c r="AL45" s="251"/>
    </row>
    <row r="46" spans="2:38" ht="18.75" customHeight="1" thickTop="1" x14ac:dyDescent="0.2">
      <c r="B46" s="69" t="s">
        <v>34</v>
      </c>
      <c r="C46" s="124">
        <f>IFERROR(INDEX(阻害要因有無×疾患名＿寛解・院内寛解[#All],MATCH($AL46,阻害要因有無×疾患名＿寛解・院内寛解[[#All],[行ラベル]],0),MATCH($AM$4,阻害要因有無×疾患名＿寛解・院内寛解[#Headers],0)),0)+IFERROR(INDEX(阻害要因有無×疾患名＿寛解・院内寛解[#All],MATCH($AL46,阻害要因有無×疾患名＿寛解・院内寛解[[#All],[行ラベル]],0),MATCH($AN$4,阻害要因有無×疾患名＿寛解・院内寛解[#Headers],0)),0)</f>
        <v>39</v>
      </c>
      <c r="D46" s="126">
        <f>IFERROR(C46/C$40,"-")</f>
        <v>0.72222222222222221</v>
      </c>
      <c r="E46" s="124">
        <f>IFERROR(INDEX(阻害要因有無×疾患名＿寛解・院内寛解[#All],MATCH($AL46,阻害要因有無×疾患名＿寛解・院内寛解[[#All],[行ラベル]],0),MATCH($AO$4,阻害要因有無×疾患名＿寛解・院内寛解[#Headers],0)),0)</f>
        <v>52</v>
      </c>
      <c r="F46" s="126">
        <f>IFERROR(E46/E$40,"-")</f>
        <v>0.8125</v>
      </c>
      <c r="G46" s="124">
        <f>IFERROR(INDEX(阻害要因有無×疾患名＿寛解・院内寛解[#All],MATCH($AL46,阻害要因有無×疾患名＿寛解・院内寛解[[#All],[行ラベル]],0),MATCH($AS$4,阻害要因有無×疾患名＿寛解・院内寛解[#Headers],0)),0)</f>
        <v>243</v>
      </c>
      <c r="H46" s="126">
        <f>IFERROR(G46/G$40,"-")</f>
        <v>0.83793103448275863</v>
      </c>
      <c r="I46" s="124">
        <f>IFERROR(INDEX(阻害要因有無×疾患名＿寛解・院内寛解[#All],MATCH($AL46,阻害要因有無×疾患名＿寛解・院内寛解[[#All],[行ラベル]],0),MATCH($AT$4,阻害要因有無×疾患名＿寛解・院内寛解[#Headers],0)),0)+IFERROR(INDEX(阻害要因有無×疾患名＿寛解・院内寛解[#All],MATCH($AL46,阻害要因有無×疾患名＿寛解・院内寛解[[#All],[行ラベル]],0),MATCH($AU$4,阻害要因有無×疾患名＿寛解・院内寛解[#Headers],0)),0)</f>
        <v>72</v>
      </c>
      <c r="J46" s="126">
        <f>IFERROR(I46/I$40,"-")</f>
        <v>0.8</v>
      </c>
      <c r="K46" s="137"/>
      <c r="L46" s="137"/>
      <c r="M46" s="137"/>
      <c r="N46" s="26">
        <f>C47+E47+G47+I47</f>
        <v>92</v>
      </c>
      <c r="O46" s="21">
        <v>91</v>
      </c>
      <c r="P46" s="46">
        <v>32</v>
      </c>
      <c r="Q46" s="49">
        <v>7</v>
      </c>
      <c r="R46" s="49">
        <v>52</v>
      </c>
      <c r="S46" s="46">
        <v>43</v>
      </c>
      <c r="T46" s="46">
        <v>243</v>
      </c>
      <c r="U46" s="46">
        <v>23</v>
      </c>
      <c r="V46" s="46">
        <v>49</v>
      </c>
      <c r="W46" s="46">
        <v>10</v>
      </c>
      <c r="X46" s="46">
        <v>0</v>
      </c>
      <c r="Y46" s="46">
        <v>3</v>
      </c>
      <c r="Z46" s="46">
        <v>4</v>
      </c>
      <c r="AA46" s="46">
        <v>10</v>
      </c>
      <c r="AB46" s="46">
        <v>1</v>
      </c>
      <c r="AC46" s="46">
        <v>0</v>
      </c>
      <c r="AD46" s="46">
        <v>6</v>
      </c>
      <c r="AE46" s="46">
        <v>0</v>
      </c>
      <c r="AF46" s="46">
        <v>2</v>
      </c>
      <c r="AG46" s="382">
        <v>0</v>
      </c>
      <c r="AL46" s="251">
        <v>91</v>
      </c>
    </row>
    <row r="47" spans="2:38" ht="18.75" customHeight="1" x14ac:dyDescent="0.2">
      <c r="B47" s="62" t="s">
        <v>35</v>
      </c>
      <c r="C47" s="127">
        <f>IFERROR(INDEX(阻害要因有無×疾患名＿寛解・院内寛解[#All],MATCH($AL47,阻害要因有無×疾患名＿寛解・院内寛解[[#All],[行ラベル]],0),MATCH($AM$4,阻害要因有無×疾患名＿寛解・院内寛解[#Headers],0)),0)+IFERROR(INDEX(阻害要因有無×疾患名＿寛解・院内寛解[#All],MATCH($AL47,阻害要因有無×疾患名＿寛解・院内寛解[[#All],[行ラベル]],0),MATCH($AN$4,阻害要因有無×疾患名＿寛解・院内寛解[#Headers],0)),0)</f>
        <v>15</v>
      </c>
      <c r="D47" s="128">
        <f>IFERROR(C47/C$40,"-")</f>
        <v>0.27777777777777779</v>
      </c>
      <c r="E47" s="127">
        <f>IFERROR(INDEX(阻害要因有無×疾患名＿寛解・院内寛解[#All],MATCH($AL47,阻害要因有無×疾患名＿寛解・院内寛解[[#All],[行ラベル]],0),MATCH($AO$4,阻害要因有無×疾患名＿寛解・院内寛解[#Headers],0)),0)</f>
        <v>12</v>
      </c>
      <c r="F47" s="128">
        <f>IFERROR(E47/E$40,"-")</f>
        <v>0.1875</v>
      </c>
      <c r="G47" s="127">
        <f>IFERROR(INDEX(阻害要因有無×疾患名＿寛解・院内寛解[#All],MATCH($AL47,阻害要因有無×疾患名＿寛解・院内寛解[[#All],[行ラベル]],0),MATCH($AS$4,阻害要因有無×疾患名＿寛解・院内寛解[#Headers],0)),0)</f>
        <v>47</v>
      </c>
      <c r="H47" s="128">
        <f>IFERROR(G47/G$40,"-")</f>
        <v>0.16206896551724137</v>
      </c>
      <c r="I47" s="127">
        <f>IFERROR(INDEX(阻害要因有無×疾患名＿寛解・院内寛解[#All],MATCH($AL47,阻害要因有無×疾患名＿寛解・院内寛解[[#All],[行ラベル]],0),MATCH($AT$4,阻害要因有無×疾患名＿寛解・院内寛解[#Headers],0)),0)+IFERROR(INDEX(阻害要因有無×疾患名＿寛解・院内寛解[#All],MATCH($AL47,阻害要因有無×疾患名＿寛解・院内寛解[[#All],[行ラベル]],0),MATCH($AU$4,阻害要因有無×疾患名＿寛解・院内寛解[#Headers],0)),0)</f>
        <v>18</v>
      </c>
      <c r="J47" s="128">
        <f>IFERROR(I47/I$40,"-")</f>
        <v>0.2</v>
      </c>
      <c r="K47" s="745"/>
      <c r="L47" s="745"/>
      <c r="M47" s="745"/>
      <c r="N47" s="26"/>
      <c r="O47" s="21">
        <v>90</v>
      </c>
      <c r="P47" s="46">
        <v>13</v>
      </c>
      <c r="Q47" s="49">
        <v>2</v>
      </c>
      <c r="R47" s="49">
        <v>12</v>
      </c>
      <c r="S47" s="46">
        <v>5</v>
      </c>
      <c r="T47" s="46">
        <v>47</v>
      </c>
      <c r="U47" s="46">
        <v>6</v>
      </c>
      <c r="V47" s="46">
        <v>12</v>
      </c>
      <c r="W47" s="46">
        <v>11</v>
      </c>
      <c r="X47" s="46">
        <v>0</v>
      </c>
      <c r="Y47" s="46">
        <v>2</v>
      </c>
      <c r="Z47" s="46">
        <v>1</v>
      </c>
      <c r="AA47" s="46">
        <v>2</v>
      </c>
      <c r="AB47" s="46">
        <v>1</v>
      </c>
      <c r="AC47" s="46">
        <v>0</v>
      </c>
      <c r="AD47" s="46">
        <v>0</v>
      </c>
      <c r="AE47" s="46">
        <v>0</v>
      </c>
      <c r="AF47" s="46">
        <v>0</v>
      </c>
      <c r="AG47" s="383">
        <v>0</v>
      </c>
      <c r="AL47" s="251">
        <v>90</v>
      </c>
    </row>
    <row r="48" spans="2:38" ht="19.5" customHeight="1" thickBot="1" x14ac:dyDescent="0.25">
      <c r="B48" s="70" t="s">
        <v>245</v>
      </c>
      <c r="C48" s="1033"/>
      <c r="D48" s="1034"/>
      <c r="E48" s="1034"/>
      <c r="F48" s="1034"/>
      <c r="G48" s="1034"/>
      <c r="H48" s="1034"/>
      <c r="I48" s="1034"/>
      <c r="J48" s="1035"/>
      <c r="K48" s="767"/>
      <c r="L48" s="767"/>
      <c r="M48" s="767"/>
      <c r="N48" s="26">
        <f>C50+E50+G50+I50</f>
        <v>113</v>
      </c>
    </row>
    <row r="49" spans="2:38" ht="18.75" customHeight="1" thickTop="1" thickBot="1" x14ac:dyDescent="0.25">
      <c r="B49" s="1030" t="s">
        <v>255</v>
      </c>
      <c r="C49" s="1031"/>
      <c r="D49" s="1031"/>
      <c r="E49" s="1031"/>
      <c r="F49" s="1031"/>
      <c r="G49" s="1031"/>
      <c r="H49" s="1031"/>
      <c r="I49" s="1031"/>
      <c r="J49" s="1032"/>
      <c r="K49" s="768"/>
      <c r="L49" s="768"/>
      <c r="M49" s="768"/>
      <c r="N49" s="26">
        <f t="shared" ref="N49" si="11">C51+E51+G51+I51</f>
        <v>73</v>
      </c>
      <c r="O49" s="305" t="s">
        <v>676</v>
      </c>
      <c r="P49" s="59" t="s">
        <v>716</v>
      </c>
      <c r="Q49" s="59" t="s">
        <v>717</v>
      </c>
      <c r="R49" s="59" t="s">
        <v>714</v>
      </c>
      <c r="S49" s="59" t="s">
        <v>718</v>
      </c>
      <c r="T49" s="59" t="s">
        <v>722</v>
      </c>
      <c r="U49" s="59" t="s">
        <v>713</v>
      </c>
      <c r="V49" s="59" t="s">
        <v>712</v>
      </c>
      <c r="W49" s="59" t="s">
        <v>723</v>
      </c>
      <c r="X49" s="59" t="s">
        <v>418</v>
      </c>
      <c r="Y49" s="59" t="s">
        <v>289</v>
      </c>
      <c r="Z49" s="59" t="s">
        <v>715</v>
      </c>
      <c r="AA49" s="59" t="s">
        <v>719</v>
      </c>
      <c r="AB49" s="59" t="s">
        <v>725</v>
      </c>
      <c r="AC49" s="59" t="s">
        <v>290</v>
      </c>
      <c r="AD49" s="59" t="s">
        <v>721</v>
      </c>
      <c r="AE49" s="59" t="s">
        <v>724</v>
      </c>
      <c r="AF49" s="59" t="s">
        <v>720</v>
      </c>
      <c r="AG49" s="30" t="s">
        <v>446</v>
      </c>
    </row>
    <row r="50" spans="2:38" ht="37.5" customHeight="1" thickTop="1" x14ac:dyDescent="0.2">
      <c r="B50" s="358" t="s">
        <v>221</v>
      </c>
      <c r="C50" s="148">
        <f>IFERROR(INDEX(阻害要因×疾患名＿寛解・院内寛解[#All],MATCH($AL50,阻害要因×疾患名＿寛解・院内寛解[[#All],[値]],0),MATCH($AM$4,阻害要因×疾患名＿寛解・院内寛解[#Headers],0)),0)+IFERROR(INDEX(阻害要因×疾患名＿寛解・院内寛解[#All],MATCH($AL50,阻害要因×疾患名＿寛解・院内寛解[[#All],[値]],0),MATCH($AN$4,阻害要因×疾患名＿寛解・院内寛解[#Headers],0)),0)</f>
        <v>15</v>
      </c>
      <c r="D50" s="143">
        <f t="shared" ref="D50:D66" si="12">IFERROR(C50/C$46,"-")</f>
        <v>0.38461538461538464</v>
      </c>
      <c r="E50" s="142">
        <f>IFERROR(INDEX(阻害要因×疾患名＿寛解・院内寛解[#All],MATCH($AL50,阻害要因×疾患名＿寛解・院内寛解[[#All],[値]],0),MATCH($AO$4,阻害要因×疾患名＿寛解・院内寛解[#Headers],0)),0)</f>
        <v>16</v>
      </c>
      <c r="F50" s="143">
        <f t="shared" ref="F50:F66" si="13">IFERROR(E50/E$46,"-")</f>
        <v>0.30769230769230771</v>
      </c>
      <c r="G50" s="142">
        <f>IFERROR(INDEX(阻害要因×疾患名＿寛解・院内寛解[#All],MATCH($AL50,阻害要因×疾患名＿寛解・院内寛解[[#All],[値]],0),MATCH($AS$4,阻害要因×疾患名＿寛解・院内寛解[#Headers],0)),0)</f>
        <v>61</v>
      </c>
      <c r="H50" s="143">
        <f t="shared" ref="H50:H66" si="14">IFERROR(G50/G$46,"-")</f>
        <v>0.25102880658436216</v>
      </c>
      <c r="I50" s="142">
        <f>IFERROR(INDEX(阻害要因×疾患名＿寛解・院内寛解[#All],MATCH($AL50,阻害要因×疾患名＿寛解・院内寛解[[#All],[値]],0),MATCH($AT$4,阻害要因×疾患名＿寛解・院内寛解[#Headers],0)),0)+IFERROR(INDEX(阻害要因×疾患名＿寛解・院内寛解[#All],MATCH($AL50,阻害要因×疾患名＿寛解・院内寛解[[#All],[値]],0),MATCH($AU$4,阻害要因×疾患名＿寛解・院内寛解[#Headers],0)),0)</f>
        <v>21</v>
      </c>
      <c r="J50" s="143">
        <f t="shared" ref="J50:J66" si="15">IFERROR(I50/I$46,"-")</f>
        <v>0.29166666666666669</v>
      </c>
      <c r="K50" s="745"/>
      <c r="L50" s="745"/>
      <c r="M50" s="745"/>
      <c r="N50" s="26">
        <f>C50+E50+G50+I50</f>
        <v>113</v>
      </c>
      <c r="O50" s="21" t="s">
        <v>286</v>
      </c>
      <c r="P50" s="46">
        <v>61</v>
      </c>
      <c r="Q50" s="49">
        <v>6</v>
      </c>
      <c r="R50" s="49">
        <v>16</v>
      </c>
      <c r="S50" s="46">
        <v>15</v>
      </c>
      <c r="T50" s="46">
        <v>2</v>
      </c>
      <c r="U50" s="46">
        <v>3</v>
      </c>
      <c r="V50" s="46">
        <v>12</v>
      </c>
      <c r="W50" s="46">
        <v>3</v>
      </c>
      <c r="X50" s="46">
        <v>3</v>
      </c>
      <c r="Y50" s="46">
        <v>0</v>
      </c>
      <c r="Z50" s="46">
        <v>5</v>
      </c>
      <c r="AA50" s="46">
        <v>3</v>
      </c>
      <c r="AB50" s="46">
        <v>0</v>
      </c>
      <c r="AC50" s="46">
        <v>0</v>
      </c>
      <c r="AD50" s="46">
        <v>0</v>
      </c>
      <c r="AE50" s="46">
        <v>0</v>
      </c>
      <c r="AF50" s="46">
        <v>0</v>
      </c>
      <c r="AG50" s="382">
        <v>129</v>
      </c>
      <c r="AL50" s="43" t="s">
        <v>286</v>
      </c>
    </row>
    <row r="51" spans="2:38" ht="18.75" customHeight="1" x14ac:dyDescent="0.2">
      <c r="B51" s="72" t="s">
        <v>65</v>
      </c>
      <c r="C51" s="150">
        <f>IFERROR(INDEX(阻害要因×疾患名＿寛解・院内寛解[#All],MATCH($AL51,阻害要因×疾患名＿寛解・院内寛解[[#All],[値]],0),MATCH($AM$4,阻害要因×疾患名＿寛解・院内寛解[#Headers],0)),0)+IFERROR(INDEX(阻害要因×疾患名＿寛解・院内寛解[#All],MATCH($AL51,阻害要因×疾患名＿寛解・院内寛解[[#All],[値]],0),MATCH($AN$4,阻害要因×疾患名＿寛解・院内寛解[#Headers],0)),0)</f>
        <v>6</v>
      </c>
      <c r="D51" s="144">
        <f t="shared" si="12"/>
        <v>0.15384615384615385</v>
      </c>
      <c r="E51" s="151">
        <f>IFERROR(INDEX(阻害要因×疾患名＿寛解・院内寛解[#All],MATCH($AL51,阻害要因×疾患名＿寛解・院内寛解[[#All],[値]],0),MATCH($AO$4,阻害要因×疾患名＿寛解・院内寛解[#Headers],0)),0)</f>
        <v>5</v>
      </c>
      <c r="F51" s="144">
        <f t="shared" si="13"/>
        <v>9.6153846153846159E-2</v>
      </c>
      <c r="G51" s="127">
        <f>IFERROR(INDEX(阻害要因×疾患名＿寛解・院内寛解[#All],MATCH($AL51,阻害要因×疾患名＿寛解・院内寛解[[#All],[値]],0),MATCH($AS$4,阻害要因×疾患名＿寛解・院内寛解[#Headers],0)),0)</f>
        <v>51</v>
      </c>
      <c r="H51" s="144">
        <f t="shared" si="14"/>
        <v>0.20987654320987653</v>
      </c>
      <c r="I51" s="127">
        <f>IFERROR(INDEX(阻害要因×疾患名＿寛解・院内寛解[#All],MATCH($AL51,阻害要因×疾患名＿寛解・院内寛解[[#All],[値]],0),MATCH($AT$4,阻害要因×疾患名＿寛解・院内寛解[#Headers],0)),0)+IFERROR(INDEX(阻害要因×疾患名＿寛解・院内寛解[#All],MATCH($AL51,阻害要因×疾患名＿寛解・院内寛解[[#All],[値]],0),MATCH($AU$4,阻害要因×疾患名＿寛解・院内寛解[#Headers],0)),0)</f>
        <v>11</v>
      </c>
      <c r="J51" s="144">
        <f t="shared" si="15"/>
        <v>0.15277777777777779</v>
      </c>
      <c r="K51" s="745"/>
      <c r="L51" s="745"/>
      <c r="M51" s="745"/>
      <c r="N51" s="26">
        <f t="shared" ref="N51:N69" si="16">C51+E51+G51+I51</f>
        <v>73</v>
      </c>
      <c r="O51" s="43" t="s">
        <v>287</v>
      </c>
      <c r="P51" s="49">
        <v>51</v>
      </c>
      <c r="Q51" s="49">
        <v>4</v>
      </c>
      <c r="R51" s="49">
        <v>5</v>
      </c>
      <c r="S51" s="46">
        <v>7</v>
      </c>
      <c r="T51" s="46">
        <v>1</v>
      </c>
      <c r="U51" s="46">
        <v>1</v>
      </c>
      <c r="V51" s="46">
        <v>5</v>
      </c>
      <c r="W51" s="46">
        <v>0</v>
      </c>
      <c r="X51" s="46">
        <v>0</v>
      </c>
      <c r="Y51" s="46">
        <v>0</v>
      </c>
      <c r="Z51" s="46">
        <v>8</v>
      </c>
      <c r="AA51" s="46">
        <v>1</v>
      </c>
      <c r="AB51" s="46">
        <v>0</v>
      </c>
      <c r="AC51" s="46">
        <v>0</v>
      </c>
      <c r="AD51" s="46">
        <v>0</v>
      </c>
      <c r="AE51" s="46">
        <v>0</v>
      </c>
      <c r="AF51" s="46">
        <v>0</v>
      </c>
      <c r="AG51" s="46">
        <v>83</v>
      </c>
      <c r="AL51" s="43" t="s">
        <v>287</v>
      </c>
    </row>
    <row r="52" spans="2:38" ht="18.75" customHeight="1" x14ac:dyDescent="0.2">
      <c r="B52" s="72" t="s">
        <v>37</v>
      </c>
      <c r="C52" s="150">
        <f>IFERROR(INDEX(阻害要因×疾患名＿寛解・院内寛解[#All],MATCH($AL52,阻害要因×疾患名＿寛解・院内寛解[[#All],[値]],0),MATCH($AM$4,阻害要因×疾患名＿寛解・院内寛解[#Headers],0)),0)+IFERROR(INDEX(阻害要因×疾患名＿寛解・院内寛解[#All],MATCH($AL52,阻害要因×疾患名＿寛解・院内寛解[[#All],[値]],0),MATCH($AN$4,阻害要因×疾患名＿寛解・院内寛解[#Headers],0)),0)</f>
        <v>0</v>
      </c>
      <c r="D52" s="144">
        <f t="shared" si="12"/>
        <v>0</v>
      </c>
      <c r="E52" s="127">
        <f>IFERROR(INDEX(阻害要因×疾患名＿寛解・院内寛解[#All],MATCH($AL52,阻害要因×疾患名＿寛解・院内寛解[[#All],[値]],0),MATCH($AO$4,阻害要因×疾患名＿寛解・院内寛解[#Headers],0)),0)</f>
        <v>0</v>
      </c>
      <c r="F52" s="144">
        <f t="shared" si="13"/>
        <v>0</v>
      </c>
      <c r="G52" s="127">
        <f>IFERROR(INDEX(阻害要因×疾患名＿寛解・院内寛解[#All],MATCH($AL52,阻害要因×疾患名＿寛解・院内寛解[[#All],[値]],0),MATCH($AS$4,阻害要因×疾患名＿寛解・院内寛解[#Headers],0)),0)</f>
        <v>8</v>
      </c>
      <c r="H52" s="144">
        <f t="shared" si="14"/>
        <v>3.292181069958848E-2</v>
      </c>
      <c r="I52" s="127">
        <f>IFERROR(INDEX(阻害要因×疾患名＿寛解・院内寛解[#All],MATCH($AL52,阻害要因×疾患名＿寛解・院内寛解[[#All],[値]],0),MATCH($AT$4,阻害要因×疾患名＿寛解・院内寛解[#Headers],0)),0)+IFERROR(INDEX(阻害要因×疾患名＿寛解・院内寛解[#All],MATCH($AL52,阻害要因×疾患名＿寛解・院内寛解[[#All],[値]],0),MATCH($AU$4,阻害要因×疾患名＿寛解・院内寛解[#Headers],0)),0)</f>
        <v>0</v>
      </c>
      <c r="J52" s="144">
        <f t="shared" si="15"/>
        <v>0</v>
      </c>
      <c r="K52" s="745"/>
      <c r="L52" s="745"/>
      <c r="M52" s="745"/>
      <c r="N52" s="26">
        <f t="shared" si="16"/>
        <v>8</v>
      </c>
      <c r="O52" s="43" t="s">
        <v>154</v>
      </c>
      <c r="P52" s="49">
        <v>8</v>
      </c>
      <c r="Q52" s="49">
        <v>0</v>
      </c>
      <c r="R52" s="49">
        <v>0</v>
      </c>
      <c r="S52" s="46">
        <v>0</v>
      </c>
      <c r="T52" s="46">
        <v>0</v>
      </c>
      <c r="U52" s="46">
        <v>0</v>
      </c>
      <c r="V52" s="46">
        <v>0</v>
      </c>
      <c r="W52" s="46">
        <v>0</v>
      </c>
      <c r="X52" s="46">
        <v>0</v>
      </c>
      <c r="Y52" s="46">
        <v>0</v>
      </c>
      <c r="Z52" s="46">
        <v>4</v>
      </c>
      <c r="AA52" s="46">
        <v>0</v>
      </c>
      <c r="AB52" s="46">
        <v>0</v>
      </c>
      <c r="AC52" s="46">
        <v>0</v>
      </c>
      <c r="AD52" s="46">
        <v>0</v>
      </c>
      <c r="AE52" s="46">
        <v>0</v>
      </c>
      <c r="AF52" s="46">
        <v>0</v>
      </c>
      <c r="AG52" s="46">
        <v>12</v>
      </c>
      <c r="AL52" s="43" t="s">
        <v>154</v>
      </c>
    </row>
    <row r="53" spans="2:38" ht="18.75" customHeight="1" x14ac:dyDescent="0.2">
      <c r="B53" s="72" t="s">
        <v>38</v>
      </c>
      <c r="C53" s="127">
        <f>IFERROR(INDEX(阻害要因×疾患名＿寛解・院内寛解[#All],MATCH($AL53,阻害要因×疾患名＿寛解・院内寛解[[#All],[値]],0),MATCH($AM$4,阻害要因×疾患名＿寛解・院内寛解[#Headers],0)),0)+IFERROR(INDEX(阻害要因×疾患名＿寛解・院内寛解[#All],MATCH($AL53,阻害要因×疾患名＿寛解・院内寛解[[#All],[値]],0),MATCH($AN$4,阻害要因×疾患名＿寛解・院内寛解[#Headers],0)),0)</f>
        <v>14</v>
      </c>
      <c r="D53" s="128">
        <f t="shared" si="12"/>
        <v>0.35897435897435898</v>
      </c>
      <c r="E53" s="127">
        <f>IFERROR(INDEX(阻害要因×疾患名＿寛解・院内寛解[#All],MATCH($AL53,阻害要因×疾患名＿寛解・院内寛解[[#All],[値]],0),MATCH($AO$4,阻害要因×疾患名＿寛解・院内寛解[#Headers],0)),0)</f>
        <v>14</v>
      </c>
      <c r="F53" s="128">
        <f t="shared" si="13"/>
        <v>0.26923076923076922</v>
      </c>
      <c r="G53" s="127">
        <f>IFERROR(INDEX(阻害要因×疾患名＿寛解・院内寛解[#All],MATCH($AL53,阻害要因×疾患名＿寛解・院内寛解[[#All],[値]],0),MATCH($AS$4,阻害要因×疾患名＿寛解・院内寛解[#Headers],0)),0)</f>
        <v>103</v>
      </c>
      <c r="H53" s="128">
        <f t="shared" si="14"/>
        <v>0.42386831275720166</v>
      </c>
      <c r="I53" s="127">
        <f>IFERROR(INDEX(阻害要因×疾患名＿寛解・院内寛解[#All],MATCH($AL53,阻害要因×疾患名＿寛解・院内寛解[[#All],[値]],0),MATCH($AT$4,阻害要因×疾患名＿寛解・院内寛解[#Headers],0)),0)+IFERROR(INDEX(阻害要因×疾患名＿寛解・院内寛解[#All],MATCH($AL53,阻害要因×疾患名＿寛解・院内寛解[[#All],[値]],0),MATCH($AU$4,阻害要因×疾患名＿寛解・院内寛解[#Headers],0)),0)</f>
        <v>31</v>
      </c>
      <c r="J53" s="128">
        <f t="shared" si="15"/>
        <v>0.43055555555555558</v>
      </c>
      <c r="K53" s="745"/>
      <c r="L53" s="745"/>
      <c r="M53" s="745"/>
      <c r="N53" s="26">
        <f t="shared" si="16"/>
        <v>162</v>
      </c>
      <c r="O53" s="43" t="s">
        <v>155</v>
      </c>
      <c r="P53" s="49">
        <v>103</v>
      </c>
      <c r="Q53" s="49">
        <v>11</v>
      </c>
      <c r="R53" s="49">
        <v>14</v>
      </c>
      <c r="S53" s="46">
        <v>20</v>
      </c>
      <c r="T53" s="46">
        <v>1</v>
      </c>
      <c r="U53" s="46">
        <v>3</v>
      </c>
      <c r="V53" s="46">
        <v>11</v>
      </c>
      <c r="W53" s="46">
        <v>1</v>
      </c>
      <c r="X53" s="46">
        <v>3</v>
      </c>
      <c r="Y53" s="46">
        <v>0</v>
      </c>
      <c r="Z53" s="46">
        <v>5</v>
      </c>
      <c r="AA53" s="46">
        <v>5</v>
      </c>
      <c r="AB53" s="46">
        <v>0</v>
      </c>
      <c r="AC53" s="46">
        <v>1</v>
      </c>
      <c r="AD53" s="46">
        <v>1</v>
      </c>
      <c r="AE53" s="46">
        <v>0</v>
      </c>
      <c r="AF53" s="46">
        <v>0</v>
      </c>
      <c r="AG53" s="46">
        <v>179</v>
      </c>
      <c r="AL53" s="43" t="s">
        <v>155</v>
      </c>
    </row>
    <row r="54" spans="2:38" ht="18.75" customHeight="1" x14ac:dyDescent="0.2">
      <c r="B54" s="72" t="s">
        <v>39</v>
      </c>
      <c r="C54" s="127">
        <f>IFERROR(INDEX(阻害要因×疾患名＿寛解・院内寛解[#All],MATCH($AL54,阻害要因×疾患名＿寛解・院内寛解[[#All],[値]],0),MATCH($AM$4,阻害要因×疾患名＿寛解・院内寛解[#Headers],0)),0)+IFERROR(INDEX(阻害要因×疾患名＿寛解・院内寛解[#All],MATCH($AL54,阻害要因×疾患名＿寛解・院内寛解[[#All],[値]],0),MATCH($AN$4,阻害要因×疾患名＿寛解・院内寛解[#Headers],0)),0)</f>
        <v>11</v>
      </c>
      <c r="D54" s="128">
        <f t="shared" si="12"/>
        <v>0.28205128205128205</v>
      </c>
      <c r="E54" s="127">
        <f>IFERROR(INDEX(阻害要因×疾患名＿寛解・院内寛解[#All],MATCH($AL54,阻害要因×疾患名＿寛解・院内寛解[[#All],[値]],0),MATCH($AO$4,阻害要因×疾患名＿寛解・院内寛解[#Headers],0)),0)</f>
        <v>9</v>
      </c>
      <c r="F54" s="128">
        <f t="shared" si="13"/>
        <v>0.17307692307692307</v>
      </c>
      <c r="G54" s="127">
        <f>IFERROR(INDEX(阻害要因×疾患名＿寛解・院内寛解[#All],MATCH($AL54,阻害要因×疾患名＿寛解・院内寛解[[#All],[値]],0),MATCH($AS$4,阻害要因×疾患名＿寛解・院内寛解[#Headers],0)),0)</f>
        <v>82</v>
      </c>
      <c r="H54" s="128">
        <f t="shared" si="14"/>
        <v>0.33744855967078191</v>
      </c>
      <c r="I54" s="127">
        <f>IFERROR(INDEX(阻害要因×疾患名＿寛解・院内寛解[#All],MATCH($AL54,阻害要因×疾患名＿寛解・院内寛解[[#All],[値]],0),MATCH($AT$4,阻害要因×疾患名＿寛解・院内寛解[#Headers],0)),0)+IFERROR(INDEX(阻害要因×疾患名＿寛解・院内寛解[#All],MATCH($AL54,阻害要因×疾患名＿寛解・院内寛解[[#All],[値]],0),MATCH($AU$4,阻害要因×疾患名＿寛解・院内寛解[#Headers],0)),0)</f>
        <v>12</v>
      </c>
      <c r="J54" s="128">
        <f t="shared" si="15"/>
        <v>0.16666666666666666</v>
      </c>
      <c r="K54" s="745"/>
      <c r="L54" s="745"/>
      <c r="M54" s="745"/>
      <c r="N54" s="26">
        <f t="shared" si="16"/>
        <v>114</v>
      </c>
      <c r="O54" s="43" t="s">
        <v>156</v>
      </c>
      <c r="P54" s="49">
        <v>82</v>
      </c>
      <c r="Q54" s="49">
        <v>6</v>
      </c>
      <c r="R54" s="49">
        <v>9</v>
      </c>
      <c r="S54" s="46">
        <v>6</v>
      </c>
      <c r="T54" s="46">
        <v>1</v>
      </c>
      <c r="U54" s="46">
        <v>1</v>
      </c>
      <c r="V54" s="46">
        <v>10</v>
      </c>
      <c r="W54" s="46">
        <v>2</v>
      </c>
      <c r="X54" s="46">
        <v>0</v>
      </c>
      <c r="Y54" s="46">
        <v>0</v>
      </c>
      <c r="Z54" s="46">
        <v>12</v>
      </c>
      <c r="AA54" s="46">
        <v>4</v>
      </c>
      <c r="AB54" s="46">
        <v>0</v>
      </c>
      <c r="AC54" s="46">
        <v>0</v>
      </c>
      <c r="AD54" s="46">
        <v>0</v>
      </c>
      <c r="AE54" s="46">
        <v>0</v>
      </c>
      <c r="AF54" s="46">
        <v>0</v>
      </c>
      <c r="AG54" s="46">
        <v>133</v>
      </c>
      <c r="AL54" s="43" t="s">
        <v>156</v>
      </c>
    </row>
    <row r="55" spans="2:38" ht="18.75" customHeight="1" x14ac:dyDescent="0.2">
      <c r="B55" s="72" t="s">
        <v>40</v>
      </c>
      <c r="C55" s="153">
        <f>IFERROR(INDEX(阻害要因×疾患名＿寛解・院内寛解[#All],MATCH($AL55,阻害要因×疾患名＿寛解・院内寛解[[#All],[値]],0),MATCH($AM$4,阻害要因×疾患名＿寛解・院内寛解[#Headers],0)),0)+IFERROR(INDEX(阻害要因×疾患名＿寛解・院内寛解[#All],MATCH($AL55,阻害要因×疾患名＿寛解・院内寛解[[#All],[値]],0),MATCH($AN$4,阻害要因×疾患名＿寛解・院内寛解[#Headers],0)),0)</f>
        <v>6</v>
      </c>
      <c r="D55" s="131">
        <f t="shared" si="12"/>
        <v>0.15384615384615385</v>
      </c>
      <c r="E55" s="153">
        <f>IFERROR(INDEX(阻害要因×疾患名＿寛解・院内寛解[#All],MATCH($AL55,阻害要因×疾患名＿寛解・院内寛解[[#All],[値]],0),MATCH($AO$4,阻害要因×疾患名＿寛解・院内寛解[#Headers],0)),0)</f>
        <v>5</v>
      </c>
      <c r="F55" s="131">
        <f t="shared" si="13"/>
        <v>9.6153846153846159E-2</v>
      </c>
      <c r="G55" s="153">
        <f>IFERROR(INDEX(阻害要因×疾患名＿寛解・院内寛解[#All],MATCH($AL55,阻害要因×疾患名＿寛解・院内寛解[[#All],[値]],0),MATCH($AS$4,阻害要因×疾患名＿寛解・院内寛解[#Headers],0)),0)</f>
        <v>72</v>
      </c>
      <c r="H55" s="131">
        <f t="shared" si="14"/>
        <v>0.29629629629629628</v>
      </c>
      <c r="I55" s="153">
        <f>IFERROR(INDEX(阻害要因×疾患名＿寛解・院内寛解[#All],MATCH($AL55,阻害要因×疾患名＿寛解・院内寛解[[#All],[値]],0),MATCH($AT$4,阻害要因×疾患名＿寛解・院内寛解[#Headers],0)),0)+IFERROR(INDEX(阻害要因×疾患名＿寛解・院内寛解[#All],MATCH($AL55,阻害要因×疾患名＿寛解・院内寛解[[#All],[値]],0),MATCH($AU$4,阻害要因×疾患名＿寛解・院内寛解[#Headers],0)),0)</f>
        <v>27</v>
      </c>
      <c r="J55" s="131">
        <f t="shared" si="15"/>
        <v>0.375</v>
      </c>
      <c r="K55" s="745"/>
      <c r="L55" s="745"/>
      <c r="M55" s="745"/>
      <c r="N55" s="26">
        <f t="shared" si="16"/>
        <v>110</v>
      </c>
      <c r="O55" s="43" t="s">
        <v>157</v>
      </c>
      <c r="P55" s="49">
        <v>72</v>
      </c>
      <c r="Q55" s="49">
        <v>5</v>
      </c>
      <c r="R55" s="49">
        <v>5</v>
      </c>
      <c r="S55" s="46">
        <v>22</v>
      </c>
      <c r="T55" s="46">
        <v>1</v>
      </c>
      <c r="U55" s="46">
        <v>0</v>
      </c>
      <c r="V55" s="46">
        <v>6</v>
      </c>
      <c r="W55" s="46">
        <v>6</v>
      </c>
      <c r="X55" s="46">
        <v>3</v>
      </c>
      <c r="Y55" s="46">
        <v>0</v>
      </c>
      <c r="Z55" s="46">
        <v>6</v>
      </c>
      <c r="AA55" s="46">
        <v>5</v>
      </c>
      <c r="AB55" s="46">
        <v>0</v>
      </c>
      <c r="AC55" s="46">
        <v>1</v>
      </c>
      <c r="AD55" s="46">
        <v>2</v>
      </c>
      <c r="AE55" s="46">
        <v>0</v>
      </c>
      <c r="AF55" s="46">
        <v>0</v>
      </c>
      <c r="AG55" s="46">
        <v>134</v>
      </c>
      <c r="AL55" s="43" t="s">
        <v>157</v>
      </c>
    </row>
    <row r="56" spans="2:38" ht="18.75" customHeight="1" x14ac:dyDescent="0.2">
      <c r="B56" s="72" t="s">
        <v>41</v>
      </c>
      <c r="C56" s="127">
        <f>IFERROR(INDEX(阻害要因×疾患名＿寛解・院内寛解[#All],MATCH($AL56,阻害要因×疾患名＿寛解・院内寛解[[#All],[値]],0),MATCH($AM$4,阻害要因×疾患名＿寛解・院内寛解[#Headers],0)),0)+IFERROR(INDEX(阻害要因×疾患名＿寛解・院内寛解[#All],MATCH($AL56,阻害要因×疾患名＿寛解・院内寛解[[#All],[値]],0),MATCH($AN$4,阻害要因×疾患名＿寛解・院内寛解[#Headers],0)),0)</f>
        <v>4</v>
      </c>
      <c r="D56" s="128">
        <f t="shared" si="12"/>
        <v>0.10256410256410256</v>
      </c>
      <c r="E56" s="127">
        <f>IFERROR(INDEX(阻害要因×疾患名＿寛解・院内寛解[#All],MATCH($AL56,阻害要因×疾患名＿寛解・院内寛解[[#All],[値]],0),MATCH($AO$4,阻害要因×疾患名＿寛解・院内寛解[#Headers],0)),0)</f>
        <v>2</v>
      </c>
      <c r="F56" s="128">
        <f t="shared" si="13"/>
        <v>3.8461538461538464E-2</v>
      </c>
      <c r="G56" s="127">
        <f>IFERROR(INDEX(阻害要因×疾患名＿寛解・院内寛解[#All],MATCH($AL56,阻害要因×疾患名＿寛解・院内寛解[[#All],[値]],0),MATCH($AS$4,阻害要因×疾患名＿寛解・院内寛解[#Headers],0)),0)</f>
        <v>8</v>
      </c>
      <c r="H56" s="128">
        <f t="shared" si="14"/>
        <v>3.292181069958848E-2</v>
      </c>
      <c r="I56" s="127">
        <f>IFERROR(INDEX(阻害要因×疾患名＿寛解・院内寛解[#All],MATCH($AL56,阻害要因×疾患名＿寛解・院内寛解[[#All],[値]],0),MATCH($AT$4,阻害要因×疾患名＿寛解・院内寛解[#Headers],0)),0)+IFERROR(INDEX(阻害要因×疾患名＿寛解・院内寛解[#All],MATCH($AL56,阻害要因×疾患名＿寛解・院内寛解[[#All],[値]],0),MATCH($AU$4,阻害要因×疾患名＿寛解・院内寛解[#Headers],0)),0)</f>
        <v>2</v>
      </c>
      <c r="J56" s="128">
        <f t="shared" si="15"/>
        <v>2.7777777777777776E-2</v>
      </c>
      <c r="K56" s="745"/>
      <c r="L56" s="745"/>
      <c r="M56" s="745"/>
      <c r="N56" s="26">
        <f t="shared" si="16"/>
        <v>16</v>
      </c>
      <c r="O56" s="43" t="s">
        <v>158</v>
      </c>
      <c r="P56" s="49">
        <v>8</v>
      </c>
      <c r="Q56" s="49">
        <v>0</v>
      </c>
      <c r="R56" s="49">
        <v>2</v>
      </c>
      <c r="S56" s="46">
        <v>2</v>
      </c>
      <c r="T56" s="46">
        <v>0</v>
      </c>
      <c r="U56" s="46">
        <v>0</v>
      </c>
      <c r="V56" s="46">
        <v>4</v>
      </c>
      <c r="W56" s="46">
        <v>2</v>
      </c>
      <c r="X56" s="46">
        <v>1</v>
      </c>
      <c r="Y56" s="46">
        <v>0</v>
      </c>
      <c r="Z56" s="46">
        <v>1</v>
      </c>
      <c r="AA56" s="46">
        <v>2</v>
      </c>
      <c r="AB56" s="46">
        <v>0</v>
      </c>
      <c r="AC56" s="46">
        <v>0</v>
      </c>
      <c r="AD56" s="46">
        <v>0</v>
      </c>
      <c r="AE56" s="46">
        <v>0</v>
      </c>
      <c r="AF56" s="46">
        <v>0</v>
      </c>
      <c r="AG56" s="46">
        <v>22</v>
      </c>
      <c r="AL56" s="43" t="s">
        <v>158</v>
      </c>
    </row>
    <row r="57" spans="2:38" ht="18.75" customHeight="1" x14ac:dyDescent="0.2">
      <c r="B57" s="72" t="s">
        <v>42</v>
      </c>
      <c r="C57" s="127">
        <f>IFERROR(INDEX(阻害要因×疾患名＿寛解・院内寛解[#All],MATCH($AL57,阻害要因×疾患名＿寛解・院内寛解[[#All],[値]],0),MATCH($AM$4,阻害要因×疾患名＿寛解・院内寛解[#Headers],0)),0)+IFERROR(INDEX(阻害要因×疾患名＿寛解・院内寛解[#All],MATCH($AL57,阻害要因×疾患名＿寛解・院内寛解[[#All],[値]],0),MATCH($AN$4,阻害要因×疾患名＿寛解・院内寛解[#Headers],0)),0)</f>
        <v>10</v>
      </c>
      <c r="D57" s="128">
        <f t="shared" si="12"/>
        <v>0.25641025641025639</v>
      </c>
      <c r="E57" s="127">
        <f>IFERROR(INDEX(阻害要因×疾患名＿寛解・院内寛解[#All],MATCH($AL57,阻害要因×疾患名＿寛解・院内寛解[[#All],[値]],0),MATCH($AO$4,阻害要因×疾患名＿寛解・院内寛解[#Headers],0)),0)</f>
        <v>11</v>
      </c>
      <c r="F57" s="128">
        <f t="shared" si="13"/>
        <v>0.21153846153846154</v>
      </c>
      <c r="G57" s="127">
        <f>IFERROR(INDEX(阻害要因×疾患名＿寛解・院内寛解[#All],MATCH($AL57,阻害要因×疾患名＿寛解・院内寛解[[#All],[値]],0),MATCH($AS$4,阻害要因×疾患名＿寛解・院内寛解[#Headers],0)),0)</f>
        <v>69</v>
      </c>
      <c r="H57" s="128">
        <f t="shared" si="14"/>
        <v>0.2839506172839506</v>
      </c>
      <c r="I57" s="127">
        <f>IFERROR(INDEX(阻害要因×疾患名＿寛解・院内寛解[#All],MATCH($AL57,阻害要因×疾患名＿寛解・院内寛解[[#All],[値]],0),MATCH($AT$4,阻害要因×疾患名＿寛解・院内寛解[#Headers],0)),0)+IFERROR(INDEX(阻害要因×疾患名＿寛解・院内寛解[#All],MATCH($AL57,阻害要因×疾患名＿寛解・院内寛解[[#All],[値]],0),MATCH($AU$4,阻害要因×疾患名＿寛解・院内寛解[#Headers],0)),0)</f>
        <v>17</v>
      </c>
      <c r="J57" s="128">
        <f t="shared" si="15"/>
        <v>0.2361111111111111</v>
      </c>
      <c r="K57" s="745"/>
      <c r="L57" s="745"/>
      <c r="M57" s="745"/>
      <c r="N57" s="26">
        <f t="shared" si="16"/>
        <v>107</v>
      </c>
      <c r="O57" s="43" t="s">
        <v>159</v>
      </c>
      <c r="P57" s="49">
        <v>69</v>
      </c>
      <c r="Q57" s="49">
        <v>4</v>
      </c>
      <c r="R57" s="49">
        <v>11</v>
      </c>
      <c r="S57" s="46">
        <v>13</v>
      </c>
      <c r="T57" s="46">
        <v>1</v>
      </c>
      <c r="U57" s="46">
        <v>0</v>
      </c>
      <c r="V57" s="46">
        <v>10</v>
      </c>
      <c r="W57" s="46">
        <v>2</v>
      </c>
      <c r="X57" s="46">
        <v>2</v>
      </c>
      <c r="Y57" s="46">
        <v>0</v>
      </c>
      <c r="Z57" s="46">
        <v>10</v>
      </c>
      <c r="AA57" s="46">
        <v>6</v>
      </c>
      <c r="AB57" s="46">
        <v>0</v>
      </c>
      <c r="AC57" s="46">
        <v>1</v>
      </c>
      <c r="AD57" s="46">
        <v>1</v>
      </c>
      <c r="AE57" s="46">
        <v>0</v>
      </c>
      <c r="AF57" s="46">
        <v>0</v>
      </c>
      <c r="AG57" s="46">
        <v>130</v>
      </c>
      <c r="AL57" s="43" t="s">
        <v>159</v>
      </c>
    </row>
    <row r="58" spans="2:38" ht="18.75" customHeight="1" x14ac:dyDescent="0.2">
      <c r="B58" s="72" t="s">
        <v>43</v>
      </c>
      <c r="C58" s="127">
        <f>IFERROR(INDEX(阻害要因×疾患名＿寛解・院内寛解[#All],MATCH($AL58,阻害要因×疾患名＿寛解・院内寛解[[#All],[値]],0),MATCH($AM$4,阻害要因×疾患名＿寛解・院内寛解[#Headers],0)),0)+IFERROR(INDEX(阻害要因×疾患名＿寛解・院内寛解[#All],MATCH($AL58,阻害要因×疾患名＿寛解・院内寛解[[#All],[値]],0),MATCH($AN$4,阻害要因×疾患名＿寛解・院内寛解[#Headers],0)),0)</f>
        <v>7</v>
      </c>
      <c r="D58" s="128">
        <f t="shared" si="12"/>
        <v>0.17948717948717949</v>
      </c>
      <c r="E58" s="127">
        <f>IFERROR(INDEX(阻害要因×疾患名＿寛解・院内寛解[#All],MATCH($AL58,阻害要因×疾患名＿寛解・院内寛解[[#All],[値]],0),MATCH($AO$4,阻害要因×疾患名＿寛解・院内寛解[#Headers],0)),0)</f>
        <v>6</v>
      </c>
      <c r="F58" s="128">
        <f t="shared" si="13"/>
        <v>0.11538461538461539</v>
      </c>
      <c r="G58" s="127">
        <f>IFERROR(INDEX(阻害要因×疾患名＿寛解・院内寛解[#All],MATCH($AL58,阻害要因×疾患名＿寛解・院内寛解[[#All],[値]],0),MATCH($AS$4,阻害要因×疾患名＿寛解・院内寛解[#Headers],0)),0)</f>
        <v>36</v>
      </c>
      <c r="H58" s="128">
        <f t="shared" si="14"/>
        <v>0.14814814814814814</v>
      </c>
      <c r="I58" s="127">
        <f>IFERROR(INDEX(阻害要因×疾患名＿寛解・院内寛解[#All],MATCH($AL58,阻害要因×疾患名＿寛解・院内寛解[[#All],[値]],0),MATCH($AT$4,阻害要因×疾患名＿寛解・院内寛解[#Headers],0)),0)+IFERROR(INDEX(阻害要因×疾患名＿寛解・院内寛解[#All],MATCH($AL58,阻害要因×疾患名＿寛解・院内寛解[[#All],[値]],0),MATCH($AU$4,阻害要因×疾患名＿寛解・院内寛解[#Headers],0)),0)</f>
        <v>6</v>
      </c>
      <c r="J58" s="128">
        <f t="shared" si="15"/>
        <v>8.3333333333333329E-2</v>
      </c>
      <c r="K58" s="745"/>
      <c r="L58" s="745"/>
      <c r="M58" s="745"/>
      <c r="N58" s="26">
        <f t="shared" si="16"/>
        <v>55</v>
      </c>
      <c r="O58" s="43" t="s">
        <v>160</v>
      </c>
      <c r="P58" s="49">
        <v>36</v>
      </c>
      <c r="Q58" s="49">
        <v>2</v>
      </c>
      <c r="R58" s="49">
        <v>6</v>
      </c>
      <c r="S58" s="46">
        <v>4</v>
      </c>
      <c r="T58" s="46">
        <v>2</v>
      </c>
      <c r="U58" s="46">
        <v>1</v>
      </c>
      <c r="V58" s="46">
        <v>6</v>
      </c>
      <c r="W58" s="46">
        <v>1</v>
      </c>
      <c r="X58" s="46">
        <v>1</v>
      </c>
      <c r="Y58" s="46">
        <v>0</v>
      </c>
      <c r="Z58" s="46">
        <v>7</v>
      </c>
      <c r="AA58" s="46">
        <v>2</v>
      </c>
      <c r="AB58" s="46">
        <v>0</v>
      </c>
      <c r="AC58" s="46">
        <v>0</v>
      </c>
      <c r="AD58" s="46">
        <v>1</v>
      </c>
      <c r="AE58" s="46">
        <v>0</v>
      </c>
      <c r="AF58" s="46">
        <v>0</v>
      </c>
      <c r="AG58" s="46">
        <v>69</v>
      </c>
      <c r="AL58" s="43" t="s">
        <v>160</v>
      </c>
    </row>
    <row r="59" spans="2:38" ht="18.75" customHeight="1" x14ac:dyDescent="0.2">
      <c r="B59" s="72" t="s">
        <v>229</v>
      </c>
      <c r="C59" s="127">
        <f>IFERROR(INDEX(阻害要因×疾患名＿寛解・院内寛解[#All],MATCH($AL59,阻害要因×疾患名＿寛解・院内寛解[[#All],[値]],0),MATCH($AM$4,阻害要因×疾患名＿寛解・院内寛解[#Headers],0)),0)+IFERROR(INDEX(阻害要因×疾患名＿寛解・院内寛解[#All],MATCH($AL59,阻害要因×疾患名＿寛解・院内寛解[[#All],[値]],0),MATCH($AN$4,阻害要因×疾患名＿寛解・院内寛解[#Headers],0)),0)</f>
        <v>4</v>
      </c>
      <c r="D59" s="128">
        <f t="shared" si="12"/>
        <v>0.10256410256410256</v>
      </c>
      <c r="E59" s="127">
        <f>IFERROR(INDEX(阻害要因×疾患名＿寛解・院内寛解[#All],MATCH($AL59,阻害要因×疾患名＿寛解・院内寛解[[#All],[値]],0),MATCH($AO$4,阻害要因×疾患名＿寛解・院内寛解[#Headers],0)),0)</f>
        <v>6</v>
      </c>
      <c r="F59" s="128">
        <f t="shared" si="13"/>
        <v>0.11538461538461539</v>
      </c>
      <c r="G59" s="127">
        <f>IFERROR(INDEX(阻害要因×疾患名＿寛解・院内寛解[#All],MATCH($AL59,阻害要因×疾患名＿寛解・院内寛解[[#All],[値]],0),MATCH($AS$4,阻害要因×疾患名＿寛解・院内寛解[#Headers],0)),0)</f>
        <v>45</v>
      </c>
      <c r="H59" s="128">
        <f t="shared" si="14"/>
        <v>0.18518518518518517</v>
      </c>
      <c r="I59" s="127">
        <f>IFERROR(INDEX(阻害要因×疾患名＿寛解・院内寛解[#All],MATCH($AL59,阻害要因×疾患名＿寛解・院内寛解[[#All],[値]],0),MATCH($AT$4,阻害要因×疾患名＿寛解・院内寛解[#Headers],0)),0)+IFERROR(INDEX(阻害要因×疾患名＿寛解・院内寛解[#All],MATCH($AL59,阻害要因×疾患名＿寛解・院内寛解[[#All],[値]],0),MATCH($AU$4,阻害要因×疾患名＿寛解・院内寛解[#Headers],0)),0)</f>
        <v>7</v>
      </c>
      <c r="J59" s="128">
        <f t="shared" si="15"/>
        <v>9.7222222222222224E-2</v>
      </c>
      <c r="K59" s="745"/>
      <c r="L59" s="745"/>
      <c r="M59" s="745"/>
      <c r="N59" s="26">
        <f t="shared" si="16"/>
        <v>62</v>
      </c>
      <c r="O59" s="43" t="s">
        <v>161</v>
      </c>
      <c r="P59" s="49">
        <v>45</v>
      </c>
      <c r="Q59" s="49">
        <v>2</v>
      </c>
      <c r="R59" s="49">
        <v>6</v>
      </c>
      <c r="S59" s="46">
        <v>5</v>
      </c>
      <c r="T59" s="46">
        <v>1</v>
      </c>
      <c r="U59" s="46">
        <v>1</v>
      </c>
      <c r="V59" s="46">
        <v>3</v>
      </c>
      <c r="W59" s="46">
        <v>3</v>
      </c>
      <c r="X59" s="46">
        <v>0</v>
      </c>
      <c r="Y59" s="46">
        <v>0</v>
      </c>
      <c r="Z59" s="46">
        <v>4</v>
      </c>
      <c r="AA59" s="46">
        <v>4</v>
      </c>
      <c r="AB59" s="46">
        <v>0</v>
      </c>
      <c r="AC59" s="46">
        <v>0</v>
      </c>
      <c r="AD59" s="46">
        <v>1</v>
      </c>
      <c r="AE59" s="46">
        <v>0</v>
      </c>
      <c r="AF59" s="46">
        <v>0</v>
      </c>
      <c r="AG59" s="46">
        <v>75</v>
      </c>
      <c r="AL59" s="43" t="s">
        <v>161</v>
      </c>
    </row>
    <row r="60" spans="2:38" ht="18.75" customHeight="1" x14ac:dyDescent="0.2">
      <c r="B60" s="72" t="s">
        <v>45</v>
      </c>
      <c r="C60" s="613">
        <f>IFERROR(INDEX(阻害要因×疾患名＿寛解・院内寛解[#All],MATCH($AL60,阻害要因×疾患名＿寛解・院内寛解[[#All],[値]],0),MATCH($AM$4,阻害要因×疾患名＿寛解・院内寛解[#Headers],0)),0)+IFERROR(INDEX(阻害要因×疾患名＿寛解・院内寛解[#All],MATCH($AL60,阻害要因×疾患名＿寛解・院内寛解[[#All],[値]],0),MATCH($AN$4,阻害要因×疾患名＿寛解・院内寛解[#Headers],0)),0)</f>
        <v>16</v>
      </c>
      <c r="D60" s="128">
        <f t="shared" si="12"/>
        <v>0.41025641025641024</v>
      </c>
      <c r="E60" s="127">
        <f>IFERROR(INDEX(阻害要因×疾患名＿寛解・院内寛解[#All],MATCH($AL60,阻害要因×疾患名＿寛解・院内寛解[[#All],[値]],0),MATCH($AO$4,阻害要因×疾患名＿寛解・院内寛解[#Headers],0)),0)</f>
        <v>22</v>
      </c>
      <c r="F60" s="128">
        <f t="shared" si="13"/>
        <v>0.42307692307692307</v>
      </c>
      <c r="G60" s="127">
        <f>IFERROR(INDEX(阻害要因×疾患名＿寛解・院内寛解[#All],MATCH($AL60,阻害要因×疾患名＿寛解・院内寛解[[#All],[値]],0),MATCH($AS$4,阻害要因×疾患名＿寛解・院内寛解[#Headers],0)),0)</f>
        <v>76</v>
      </c>
      <c r="H60" s="128">
        <f t="shared" si="14"/>
        <v>0.31275720164609055</v>
      </c>
      <c r="I60" s="127">
        <f>IFERROR(INDEX(阻害要因×疾患名＿寛解・院内寛解[#All],MATCH($AL60,阻害要因×疾患名＿寛解・院内寛解[[#All],[値]],0),MATCH($AT$4,阻害要因×疾患名＿寛解・院内寛解[#Headers],0)),0)+IFERROR(INDEX(阻害要因×疾患名＿寛解・院内寛解[#All],MATCH($AL60,阻害要因×疾患名＿寛解・院内寛解[[#All],[値]],0),MATCH($AU$4,阻害要因×疾患名＿寛解・院内寛解[#Headers],0)),0)</f>
        <v>19</v>
      </c>
      <c r="J60" s="128">
        <f t="shared" si="15"/>
        <v>0.2638888888888889</v>
      </c>
      <c r="K60" s="745"/>
      <c r="L60" s="745"/>
      <c r="M60" s="745"/>
      <c r="N60" s="26">
        <f t="shared" si="16"/>
        <v>133</v>
      </c>
      <c r="O60" s="43" t="s">
        <v>162</v>
      </c>
      <c r="P60" s="49">
        <v>76</v>
      </c>
      <c r="Q60" s="49">
        <v>6</v>
      </c>
      <c r="R60" s="49">
        <v>22</v>
      </c>
      <c r="S60" s="46">
        <v>13</v>
      </c>
      <c r="T60" s="46">
        <v>1</v>
      </c>
      <c r="U60" s="46">
        <v>3</v>
      </c>
      <c r="V60" s="46">
        <v>13</v>
      </c>
      <c r="W60" s="46">
        <v>2</v>
      </c>
      <c r="X60" s="46">
        <v>2</v>
      </c>
      <c r="Y60" s="46">
        <v>0</v>
      </c>
      <c r="Z60" s="46">
        <v>27</v>
      </c>
      <c r="AA60" s="46">
        <v>2</v>
      </c>
      <c r="AB60" s="46">
        <v>0</v>
      </c>
      <c r="AC60" s="46">
        <v>1</v>
      </c>
      <c r="AD60" s="46">
        <v>0</v>
      </c>
      <c r="AE60" s="46">
        <v>0</v>
      </c>
      <c r="AF60" s="46">
        <v>0</v>
      </c>
      <c r="AG60" s="46">
        <v>168</v>
      </c>
      <c r="AL60" s="43" t="s">
        <v>162</v>
      </c>
    </row>
    <row r="61" spans="2:38" ht="18.75" customHeight="1" x14ac:dyDescent="0.2">
      <c r="B61" s="72" t="s">
        <v>46</v>
      </c>
      <c r="C61" s="127">
        <f>IFERROR(INDEX(阻害要因×疾患名＿寛解・院内寛解[#All],MATCH($AL61,阻害要因×疾患名＿寛解・院内寛解[[#All],[値]],0),MATCH($AM$4,阻害要因×疾患名＿寛解・院内寛解[#Headers],0)),0)+IFERROR(INDEX(阻害要因×疾患名＿寛解・院内寛解[#All],MATCH($AL61,阻害要因×疾患名＿寛解・院内寛解[[#All],[値]],0),MATCH($AN$4,阻害要因×疾患名＿寛解・院内寛解[#Headers],0)),0)</f>
        <v>3</v>
      </c>
      <c r="D61" s="128">
        <f t="shared" si="12"/>
        <v>7.6923076923076927E-2</v>
      </c>
      <c r="E61" s="127">
        <f>IFERROR(INDEX(阻害要因×疾患名＿寛解・院内寛解[#All],MATCH($AL61,阻害要因×疾患名＿寛解・院内寛解[[#All],[値]],0),MATCH($AO$4,阻害要因×疾患名＿寛解・院内寛解[#Headers],0)),0)</f>
        <v>1</v>
      </c>
      <c r="F61" s="128">
        <f t="shared" si="13"/>
        <v>1.9230769230769232E-2</v>
      </c>
      <c r="G61" s="127">
        <f>IFERROR(INDEX(阻害要因×疾患名＿寛解・院内寛解[#All],MATCH($AL61,阻害要因×疾患名＿寛解・院内寛解[[#All],[値]],0),MATCH($AS$4,阻害要因×疾患名＿寛解・院内寛解[#Headers],0)),0)</f>
        <v>15</v>
      </c>
      <c r="H61" s="128">
        <f t="shared" si="14"/>
        <v>6.1728395061728392E-2</v>
      </c>
      <c r="I61" s="127">
        <f>IFERROR(INDEX(阻害要因×疾患名＿寛解・院内寛解[#All],MATCH($AL61,阻害要因×疾患名＿寛解・院内寛解[[#All],[値]],0),MATCH($AT$4,阻害要因×疾患名＿寛解・院内寛解[#Headers],0)),0)+IFERROR(INDEX(阻害要因×疾患名＿寛解・院内寛解[#All],MATCH($AL61,阻害要因×疾患名＿寛解・院内寛解[[#All],[値]],0),MATCH($AU$4,阻害要因×疾患名＿寛解・院内寛解[#Headers],0)),0)</f>
        <v>3</v>
      </c>
      <c r="J61" s="128">
        <f t="shared" si="15"/>
        <v>4.1666666666666664E-2</v>
      </c>
      <c r="K61" s="745"/>
      <c r="L61" s="745"/>
      <c r="M61" s="745"/>
      <c r="N61" s="26">
        <f t="shared" si="16"/>
        <v>22</v>
      </c>
      <c r="O61" s="43" t="s">
        <v>163</v>
      </c>
      <c r="P61" s="49">
        <v>15</v>
      </c>
      <c r="Q61" s="49">
        <v>1</v>
      </c>
      <c r="R61" s="49">
        <v>1</v>
      </c>
      <c r="S61" s="46">
        <v>2</v>
      </c>
      <c r="T61" s="46">
        <v>1</v>
      </c>
      <c r="U61" s="46">
        <v>0</v>
      </c>
      <c r="V61" s="46">
        <v>3</v>
      </c>
      <c r="W61" s="46">
        <v>1</v>
      </c>
      <c r="X61" s="46">
        <v>0</v>
      </c>
      <c r="Y61" s="46">
        <v>0</v>
      </c>
      <c r="Z61" s="46">
        <v>2</v>
      </c>
      <c r="AA61" s="46">
        <v>0</v>
      </c>
      <c r="AB61" s="46">
        <v>0</v>
      </c>
      <c r="AC61" s="46">
        <v>1</v>
      </c>
      <c r="AD61" s="46">
        <v>0</v>
      </c>
      <c r="AE61" s="46">
        <v>0</v>
      </c>
      <c r="AF61" s="46">
        <v>0</v>
      </c>
      <c r="AG61" s="46">
        <v>27</v>
      </c>
      <c r="AL61" s="43" t="s">
        <v>163</v>
      </c>
    </row>
    <row r="62" spans="2:38" ht="18.75" customHeight="1" x14ac:dyDescent="0.2">
      <c r="B62" s="72" t="s">
        <v>47</v>
      </c>
      <c r="C62" s="127">
        <f>IFERROR(INDEX(阻害要因×疾患名＿寛解・院内寛解[#All],MATCH($AL62,阻害要因×疾患名＿寛解・院内寛解[[#All],[値]],0),MATCH($AM$4,阻害要因×疾患名＿寛解・院内寛解[#Headers],0)),0)+IFERROR(INDEX(阻害要因×疾患名＿寛解・院内寛解[#All],MATCH($AL62,阻害要因×疾患名＿寛解・院内寛解[[#All],[値]],0),MATCH($AN$4,阻害要因×疾患名＿寛解・院内寛解[#Headers],0)),0)</f>
        <v>2</v>
      </c>
      <c r="D62" s="128">
        <f t="shared" si="12"/>
        <v>5.128205128205128E-2</v>
      </c>
      <c r="E62" s="127">
        <f>IFERROR(INDEX(阻害要因×疾患名＿寛解・院内寛解[#All],MATCH($AL62,阻害要因×疾患名＿寛解・院内寛解[[#All],[値]],0),MATCH($AO$4,阻害要因×疾患名＿寛解・院内寛解[#Headers],0)),0)</f>
        <v>2</v>
      </c>
      <c r="F62" s="128">
        <f t="shared" si="13"/>
        <v>3.8461538461538464E-2</v>
      </c>
      <c r="G62" s="127">
        <f>IFERROR(INDEX(阻害要因×疾患名＿寛解・院内寛解[#All],MATCH($AL62,阻害要因×疾患名＿寛解・院内寛解[[#All],[値]],0),MATCH($AS$4,阻害要因×疾患名＿寛解・院内寛解[#Headers],0)),0)</f>
        <v>2</v>
      </c>
      <c r="H62" s="128">
        <f t="shared" si="14"/>
        <v>8.23045267489712E-3</v>
      </c>
      <c r="I62" s="127">
        <f>IFERROR(INDEX(阻害要因×疾患名＿寛解・院内寛解[#All],MATCH($AL62,阻害要因×疾患名＿寛解・院内寛解[[#All],[値]],0),MATCH($AT$4,阻害要因×疾患名＿寛解・院内寛解[#Headers],0)),0)+IFERROR(INDEX(阻害要因×疾患名＿寛解・院内寛解[#All],MATCH($AL62,阻害要因×疾患名＿寛解・院内寛解[[#All],[値]],0),MATCH($AU$4,阻害要因×疾患名＿寛解・院内寛解[#Headers],0)),0)</f>
        <v>3</v>
      </c>
      <c r="J62" s="128">
        <f t="shared" si="15"/>
        <v>4.1666666666666664E-2</v>
      </c>
      <c r="K62" s="745"/>
      <c r="L62" s="745"/>
      <c r="M62" s="745"/>
      <c r="N62" s="26">
        <f t="shared" si="16"/>
        <v>9</v>
      </c>
      <c r="O62" s="43" t="s">
        <v>164</v>
      </c>
      <c r="P62" s="49">
        <v>2</v>
      </c>
      <c r="Q62" s="49">
        <v>0</v>
      </c>
      <c r="R62" s="49">
        <v>2</v>
      </c>
      <c r="S62" s="46">
        <v>3</v>
      </c>
      <c r="T62" s="46">
        <v>0</v>
      </c>
      <c r="U62" s="46">
        <v>2</v>
      </c>
      <c r="V62" s="46">
        <v>0</v>
      </c>
      <c r="W62" s="46">
        <v>0</v>
      </c>
      <c r="X62" s="46">
        <v>1</v>
      </c>
      <c r="Y62" s="46">
        <v>0</v>
      </c>
      <c r="Z62" s="46">
        <v>3</v>
      </c>
      <c r="AA62" s="46">
        <v>1</v>
      </c>
      <c r="AB62" s="46">
        <v>0</v>
      </c>
      <c r="AC62" s="46">
        <v>0</v>
      </c>
      <c r="AD62" s="46">
        <v>0</v>
      </c>
      <c r="AE62" s="46">
        <v>0</v>
      </c>
      <c r="AF62" s="46">
        <v>0</v>
      </c>
      <c r="AG62" s="46">
        <v>14</v>
      </c>
      <c r="AL62" s="43" t="s">
        <v>164</v>
      </c>
    </row>
    <row r="63" spans="2:38" ht="18.75" customHeight="1" x14ac:dyDescent="0.2">
      <c r="B63" s="72" t="s">
        <v>48</v>
      </c>
      <c r="C63" s="150">
        <f>IFERROR(INDEX(阻害要因×疾患名＿寛解・院内寛解[#All],MATCH($AL63,阻害要因×疾患名＿寛解・院内寛解[[#All],[値]],0),MATCH($AM$4,阻害要因×疾患名＿寛解・院内寛解[#Headers],0)),0)+IFERROR(INDEX(阻害要因×疾患名＿寛解・院内寛解[#All],MATCH($AL63,阻害要因×疾患名＿寛解・院内寛解[[#All],[値]],0),MATCH($AN$4,阻害要因×疾患名＿寛解・院内寛解[#Headers],0)),0)</f>
        <v>0</v>
      </c>
      <c r="D63" s="144">
        <f t="shared" si="12"/>
        <v>0</v>
      </c>
      <c r="E63" s="150">
        <f>IFERROR(INDEX(阻害要因×疾患名＿寛解・院内寛解[#All],MATCH($AL63,阻害要因×疾患名＿寛解・院内寛解[[#All],[値]],0),MATCH($AO$4,阻害要因×疾患名＿寛解・院内寛解[#Headers],0)),0)</f>
        <v>0</v>
      </c>
      <c r="F63" s="144">
        <f t="shared" si="13"/>
        <v>0</v>
      </c>
      <c r="G63" s="150">
        <f>IFERROR(INDEX(阻害要因×疾患名＿寛解・院内寛解[#All],MATCH($AL63,阻害要因×疾患名＿寛解・院内寛解[[#All],[値]],0),MATCH($AS$4,阻害要因×疾患名＿寛解・院内寛解[#Headers],0)),0)</f>
        <v>0</v>
      </c>
      <c r="H63" s="144">
        <f t="shared" si="14"/>
        <v>0</v>
      </c>
      <c r="I63" s="150">
        <f>IFERROR(INDEX(阻害要因×疾患名＿寛解・院内寛解[#All],MATCH($AL63,阻害要因×疾患名＿寛解・院内寛解[[#All],[値]],0),MATCH($AT$4,阻害要因×疾患名＿寛解・院内寛解[#Headers],0)),0)+IFERROR(INDEX(阻害要因×疾患名＿寛解・院内寛解[#All],MATCH($AL63,阻害要因×疾患名＿寛解・院内寛解[[#All],[値]],0),MATCH($AU$4,阻害要因×疾患名＿寛解・院内寛解[#Headers],0)),0)</f>
        <v>1</v>
      </c>
      <c r="J63" s="144">
        <f t="shared" si="15"/>
        <v>1.3888888888888888E-2</v>
      </c>
      <c r="K63" s="745"/>
      <c r="L63" s="745"/>
      <c r="M63" s="745"/>
      <c r="N63" s="26">
        <f t="shared" si="16"/>
        <v>1</v>
      </c>
      <c r="O63" s="43" t="s">
        <v>165</v>
      </c>
      <c r="P63" s="49">
        <v>0</v>
      </c>
      <c r="Q63" s="46">
        <v>0</v>
      </c>
      <c r="R63" s="46">
        <v>0</v>
      </c>
      <c r="S63" s="46">
        <v>1</v>
      </c>
      <c r="T63" s="46">
        <v>0</v>
      </c>
      <c r="U63" s="46">
        <v>0</v>
      </c>
      <c r="V63" s="46">
        <v>0</v>
      </c>
      <c r="W63" s="46">
        <v>0</v>
      </c>
      <c r="X63" s="46">
        <v>0</v>
      </c>
      <c r="Y63" s="46">
        <v>0</v>
      </c>
      <c r="Z63" s="46">
        <v>0</v>
      </c>
      <c r="AA63" s="46">
        <v>0</v>
      </c>
      <c r="AB63" s="46">
        <v>0</v>
      </c>
      <c r="AC63" s="46">
        <v>0</v>
      </c>
      <c r="AD63" s="46">
        <v>0</v>
      </c>
      <c r="AE63" s="46">
        <v>0</v>
      </c>
      <c r="AF63" s="46">
        <v>0</v>
      </c>
      <c r="AG63" s="46">
        <v>1</v>
      </c>
      <c r="AL63" s="43" t="s">
        <v>165</v>
      </c>
    </row>
    <row r="64" spans="2:38" ht="18.75" customHeight="1" x14ac:dyDescent="0.2">
      <c r="B64" s="72" t="s">
        <v>49</v>
      </c>
      <c r="C64" s="613">
        <f>IFERROR(INDEX(阻害要因×疾患名＿寛解・院内寛解[#All],MATCH($AL64,阻害要因×疾患名＿寛解・院内寛解[[#All],[値]],0),MATCH($AM$4,阻害要因×疾患名＿寛解・院内寛解[#Headers],0)),0)+IFERROR(INDEX(阻害要因×疾患名＿寛解・院内寛解[#All],MATCH($AL64,阻害要因×疾患名＿寛解・院内寛解[[#All],[値]],0),MATCH($AN$4,阻害要因×疾患名＿寛解・院内寛解[#Headers],0)),0)</f>
        <v>7</v>
      </c>
      <c r="D64" s="128">
        <f t="shared" si="12"/>
        <v>0.17948717948717949</v>
      </c>
      <c r="E64" s="127">
        <f>IFERROR(INDEX(阻害要因×疾患名＿寛解・院内寛解[#All],MATCH($AL64,阻害要因×疾患名＿寛解・院内寛解[[#All],[値]],0),MATCH($AO$4,阻害要因×疾患名＿寛解・院内寛解[#Headers],0)),0)</f>
        <v>3</v>
      </c>
      <c r="F64" s="128">
        <f t="shared" si="13"/>
        <v>5.7692307692307696E-2</v>
      </c>
      <c r="G64" s="127">
        <f>IFERROR(INDEX(阻害要因×疾患名＿寛解・院内寛解[#All],MATCH($AL64,阻害要因×疾患名＿寛解・院内寛解[[#All],[値]],0),MATCH($AS$4,阻害要因×疾患名＿寛解・院内寛解[#Headers],0)),0)</f>
        <v>22</v>
      </c>
      <c r="H64" s="128">
        <f t="shared" si="14"/>
        <v>9.0534979423868317E-2</v>
      </c>
      <c r="I64" s="127">
        <f>IFERROR(INDEX(阻害要因×疾患名＿寛解・院内寛解[#All],MATCH($AL64,阻害要因×疾患名＿寛解・院内寛解[[#All],[値]],0),MATCH($AT$4,阻害要因×疾患名＿寛解・院内寛解[#Headers],0)),0)+IFERROR(INDEX(阻害要因×疾患名＿寛解・院内寛解[#All],MATCH($AL64,阻害要因×疾患名＿寛解・院内寛解[[#All],[値]],0),MATCH($AU$4,阻害要因×疾患名＿寛解・院内寛解[#Headers],0)),0)</f>
        <v>8</v>
      </c>
      <c r="J64" s="128">
        <f t="shared" si="15"/>
        <v>0.1111111111111111</v>
      </c>
      <c r="K64" s="745"/>
      <c r="L64" s="745"/>
      <c r="M64" s="745"/>
      <c r="N64" s="26">
        <f t="shared" si="16"/>
        <v>40</v>
      </c>
      <c r="O64" s="43" t="s">
        <v>166</v>
      </c>
      <c r="P64" s="49">
        <v>22</v>
      </c>
      <c r="Q64" s="46">
        <v>3</v>
      </c>
      <c r="R64" s="46">
        <v>3</v>
      </c>
      <c r="S64" s="46">
        <v>5</v>
      </c>
      <c r="T64" s="46">
        <v>0</v>
      </c>
      <c r="U64" s="46">
        <v>0</v>
      </c>
      <c r="V64" s="46">
        <v>7</v>
      </c>
      <c r="W64" s="46">
        <v>1</v>
      </c>
      <c r="X64" s="46">
        <v>1</v>
      </c>
      <c r="Y64" s="46">
        <v>0</v>
      </c>
      <c r="Z64" s="46">
        <v>3</v>
      </c>
      <c r="AA64" s="46">
        <v>1</v>
      </c>
      <c r="AB64" s="46">
        <v>0</v>
      </c>
      <c r="AC64" s="46">
        <v>0</v>
      </c>
      <c r="AD64" s="46">
        <v>0</v>
      </c>
      <c r="AE64" s="46">
        <v>0</v>
      </c>
      <c r="AF64" s="46">
        <v>0</v>
      </c>
      <c r="AG64" s="46">
        <v>46</v>
      </c>
      <c r="AL64" s="43" t="s">
        <v>166</v>
      </c>
    </row>
    <row r="65" spans="2:38" ht="18.75" customHeight="1" x14ac:dyDescent="0.2">
      <c r="B65" s="72" t="s">
        <v>50</v>
      </c>
      <c r="C65" s="613">
        <f>IFERROR(INDEX(阻害要因×疾患名＿寛解・院内寛解[#All],MATCH($AL65,阻害要因×疾患名＿寛解・院内寛解[[#All],[値]],0),MATCH($AM$4,阻害要因×疾患名＿寛解・院内寛解[#Headers],0)),0)+IFERROR(INDEX(阻害要因×疾患名＿寛解・院内寛解[#All],MATCH($AL65,阻害要因×疾患名＿寛解・院内寛解[[#All],[値]],0),MATCH($AN$4,阻害要因×疾患名＿寛解・院内寛解[#Headers],0)),0)</f>
        <v>5</v>
      </c>
      <c r="D65" s="128">
        <f t="shared" si="12"/>
        <v>0.12820512820512819</v>
      </c>
      <c r="E65" s="127">
        <f>IFERROR(INDEX(阻害要因×疾患名＿寛解・院内寛解[#All],MATCH($AL65,阻害要因×疾患名＿寛解・院内寛解[[#All],[値]],0),MATCH($AO$4,阻害要因×疾患名＿寛解・院内寛解[#Headers],0)),0)</f>
        <v>3</v>
      </c>
      <c r="F65" s="128">
        <f t="shared" si="13"/>
        <v>5.7692307692307696E-2</v>
      </c>
      <c r="G65" s="127">
        <f>IFERROR(INDEX(阻害要因×疾患名＿寛解・院内寛解[#All],MATCH($AL65,阻害要因×疾患名＿寛解・院内寛解[[#All],[値]],0),MATCH($AS$4,阻害要因×疾患名＿寛解・院内寛解[#Headers],0)),0)</f>
        <v>19</v>
      </c>
      <c r="H65" s="128">
        <f t="shared" si="14"/>
        <v>7.8189300411522639E-2</v>
      </c>
      <c r="I65" s="127">
        <f>IFERROR(INDEX(阻害要因×疾患名＿寛解・院内寛解[#All],MATCH($AL65,阻害要因×疾患名＿寛解・院内寛解[[#All],[値]],0),MATCH($AT$4,阻害要因×疾患名＿寛解・院内寛解[#Headers],0)),0)+IFERROR(INDEX(阻害要因×疾患名＿寛解・院内寛解[#All],MATCH($AL65,阻害要因×疾患名＿寛解・院内寛解[[#All],[値]],0),MATCH($AU$4,阻害要因×疾患名＿寛解・院内寛解[#Headers],0)),0)</f>
        <v>4</v>
      </c>
      <c r="J65" s="128">
        <f t="shared" si="15"/>
        <v>5.5555555555555552E-2</v>
      </c>
      <c r="K65" s="745"/>
      <c r="L65" s="745"/>
      <c r="M65" s="745"/>
      <c r="N65" s="26">
        <f t="shared" si="16"/>
        <v>31</v>
      </c>
      <c r="O65" s="43" t="s">
        <v>167</v>
      </c>
      <c r="P65" s="49">
        <v>19</v>
      </c>
      <c r="Q65" s="46">
        <v>1</v>
      </c>
      <c r="R65" s="46">
        <v>3</v>
      </c>
      <c r="S65" s="46">
        <v>3</v>
      </c>
      <c r="T65" s="46">
        <v>0</v>
      </c>
      <c r="U65" s="46">
        <v>0</v>
      </c>
      <c r="V65" s="46">
        <v>5</v>
      </c>
      <c r="W65" s="46">
        <v>1</v>
      </c>
      <c r="X65" s="46">
        <v>0</v>
      </c>
      <c r="Y65" s="46">
        <v>0</v>
      </c>
      <c r="Z65" s="46">
        <v>4</v>
      </c>
      <c r="AA65" s="46">
        <v>2</v>
      </c>
      <c r="AB65" s="46">
        <v>0</v>
      </c>
      <c r="AC65" s="46">
        <v>0</v>
      </c>
      <c r="AD65" s="46">
        <v>0</v>
      </c>
      <c r="AE65" s="46">
        <v>0</v>
      </c>
      <c r="AF65" s="46">
        <v>0</v>
      </c>
      <c r="AG65" s="46">
        <v>38</v>
      </c>
      <c r="AL65" s="43" t="s">
        <v>167</v>
      </c>
    </row>
    <row r="66" spans="2:38" x14ac:dyDescent="0.2">
      <c r="B66" s="72" t="s">
        <v>230</v>
      </c>
      <c r="C66" s="127">
        <f>IFERROR(INDEX(阻害要因×疾患名＿寛解・院内寛解[#All],MATCH($AL66,阻害要因×疾患名＿寛解・院内寛解[[#All],[値]],0),MATCH($AM$4,阻害要因×疾患名＿寛解・院内寛解[#Headers],0)),0)+IFERROR(INDEX(阻害要因×疾患名＿寛解・院内寛解[#All],MATCH($AL66,阻害要因×疾患名＿寛解・院内寛解[[#All],[値]],0),MATCH($AN$4,阻害要因×疾患名＿寛解・院内寛解[#Headers],0)),0)</f>
        <v>0</v>
      </c>
      <c r="D66" s="128">
        <f t="shared" si="12"/>
        <v>0</v>
      </c>
      <c r="E66" s="127">
        <f>IFERROR(INDEX(阻害要因×疾患名＿寛解・院内寛解[#All],MATCH($AL66,阻害要因×疾患名＿寛解・院内寛解[[#All],[値]],0),MATCH($AO$4,阻害要因×疾患名＿寛解・院内寛解[#Headers],0)),0)</f>
        <v>1</v>
      </c>
      <c r="F66" s="128">
        <f t="shared" si="13"/>
        <v>1.9230769230769232E-2</v>
      </c>
      <c r="G66" s="127">
        <f>IFERROR(INDEX(阻害要因×疾患名＿寛解・院内寛解[#All],MATCH($AL66,阻害要因×疾患名＿寛解・院内寛解[[#All],[値]],0),MATCH($AS$4,阻害要因×疾患名＿寛解・院内寛解[#Headers],0)),0)</f>
        <v>7</v>
      </c>
      <c r="H66" s="128">
        <f t="shared" si="14"/>
        <v>2.8806584362139918E-2</v>
      </c>
      <c r="I66" s="127">
        <f>IFERROR(INDEX(阻害要因×疾患名＿寛解・院内寛解[#All],MATCH($AL66,阻害要因×疾患名＿寛解・院内寛解[[#All],[値]],0),MATCH($AT$4,阻害要因×疾患名＿寛解・院内寛解[#Headers],0)),0)+IFERROR(INDEX(阻害要因×疾患名＿寛解・院内寛解[#All],MATCH($AL66,阻害要因×疾患名＿寛解・院内寛解[[#All],[値]],0),MATCH($AU$4,阻害要因×疾患名＿寛解・院内寛解[#Headers],0)),0)</f>
        <v>1</v>
      </c>
      <c r="J66" s="128">
        <f t="shared" si="15"/>
        <v>1.3888888888888888E-2</v>
      </c>
      <c r="K66" s="745"/>
      <c r="L66" s="745"/>
      <c r="M66" s="745"/>
      <c r="N66" s="26">
        <f t="shared" si="16"/>
        <v>9</v>
      </c>
      <c r="O66" s="43" t="s">
        <v>168</v>
      </c>
      <c r="P66" s="49">
        <v>7</v>
      </c>
      <c r="Q66" s="46">
        <v>1</v>
      </c>
      <c r="R66" s="46">
        <v>1</v>
      </c>
      <c r="S66" s="46">
        <v>0</v>
      </c>
      <c r="T66" s="46">
        <v>1</v>
      </c>
      <c r="U66" s="46">
        <v>0</v>
      </c>
      <c r="V66" s="46">
        <v>0</v>
      </c>
      <c r="W66" s="46">
        <v>0</v>
      </c>
      <c r="X66" s="46">
        <v>0</v>
      </c>
      <c r="Y66" s="46">
        <v>0</v>
      </c>
      <c r="Z66" s="46">
        <v>1</v>
      </c>
      <c r="AA66" s="46">
        <v>0</v>
      </c>
      <c r="AB66" s="46">
        <v>0</v>
      </c>
      <c r="AC66" s="46">
        <v>0</v>
      </c>
      <c r="AD66" s="46">
        <v>0</v>
      </c>
      <c r="AE66" s="46">
        <v>1</v>
      </c>
      <c r="AF66" s="46">
        <v>0</v>
      </c>
      <c r="AG66" s="46">
        <v>12</v>
      </c>
      <c r="AL66" s="43" t="s">
        <v>168</v>
      </c>
    </row>
    <row r="67" spans="2:38" s="352" customFormat="1" x14ac:dyDescent="0.2">
      <c r="B67" s="356" t="s">
        <v>352</v>
      </c>
      <c r="C67" s="127">
        <f>IFERROR(INDEX(阻害要因×疾患名＿寛解・院内寛解[#All],MATCH($AL67,阻害要因×疾患名＿寛解・院内寛解[[#All],[値]],0),MATCH($AM$4,阻害要因×疾患名＿寛解・院内寛解[#Headers],0)),0)+IFERROR(INDEX(阻害要因×疾患名＿寛解・院内寛解[#All],MATCH($AL67,阻害要因×疾患名＿寛解・院内寛解[[#All],[値]],0),MATCH($AN$4,阻害要因×疾患名＿寛解・院内寛解[#Headers],0)),0)</f>
        <v>14</v>
      </c>
      <c r="D67" s="128">
        <f t="shared" ref="D67:D69" si="17">IFERROR(C67/C$46,"-")</f>
        <v>0.35897435897435898</v>
      </c>
      <c r="E67" s="127">
        <f>IFERROR(INDEX(阻害要因×疾患名＿寛解・院内寛解[#All],MATCH($AL67,阻害要因×疾患名＿寛解・院内寛解[[#All],[値]],0),MATCH($AO$4,阻害要因×疾患名＿寛解・院内寛解[#Headers],0)),0)</f>
        <v>23</v>
      </c>
      <c r="F67" s="128">
        <f t="shared" ref="F67:F69" si="18">IFERROR(E67/E$46,"-")</f>
        <v>0.44230769230769229</v>
      </c>
      <c r="G67" s="127">
        <f>IFERROR(INDEX(阻害要因×疾患名＿寛解・院内寛解[#All],MATCH($AL67,阻害要因×疾患名＿寛解・院内寛解[[#All],[値]],0),MATCH($AS$4,阻害要因×疾患名＿寛解・院内寛解[#Headers],0)),0)</f>
        <v>29</v>
      </c>
      <c r="H67" s="128">
        <f t="shared" ref="H67:H69" si="19">IFERROR(G67/G$46,"-")</f>
        <v>0.11934156378600823</v>
      </c>
      <c r="I67" s="127">
        <f>IFERROR(INDEX(阻害要因×疾患名＿寛解・院内寛解[#All],MATCH($AL67,阻害要因×疾患名＿寛解・院内寛解[[#All],[値]],0),MATCH($AT$4,阻害要因×疾患名＿寛解・院内寛解[#Headers],0)),0)+IFERROR(INDEX(阻害要因×疾患名＿寛解・院内寛解[#All],MATCH($AL67,阻害要因×疾患名＿寛解・院内寛解[[#All],[値]],0),MATCH($AU$4,阻害要因×疾患名＿寛解・院内寛解[#Headers],0)),0)</f>
        <v>12</v>
      </c>
      <c r="J67" s="128">
        <f t="shared" ref="J67:J69" si="20">IFERROR(I67/I$46,"-")</f>
        <v>0.16666666666666666</v>
      </c>
      <c r="K67" s="745"/>
      <c r="L67" s="745"/>
      <c r="M67" s="745"/>
      <c r="N67" s="26">
        <f t="shared" si="16"/>
        <v>78</v>
      </c>
      <c r="O67" s="43" t="s">
        <v>354</v>
      </c>
      <c r="P67" s="355">
        <v>29</v>
      </c>
      <c r="Q67" s="46">
        <v>6</v>
      </c>
      <c r="R67" s="46">
        <v>23</v>
      </c>
      <c r="S67" s="46">
        <v>6</v>
      </c>
      <c r="T67" s="46">
        <v>1</v>
      </c>
      <c r="U67" s="46">
        <v>4</v>
      </c>
      <c r="V67" s="46">
        <v>10</v>
      </c>
      <c r="W67" s="46">
        <v>0</v>
      </c>
      <c r="X67" s="46">
        <v>2</v>
      </c>
      <c r="Y67" s="46">
        <v>0</v>
      </c>
      <c r="Z67" s="46">
        <v>3</v>
      </c>
      <c r="AA67" s="46">
        <v>4</v>
      </c>
      <c r="AB67" s="46">
        <v>0</v>
      </c>
      <c r="AC67" s="46">
        <v>0</v>
      </c>
      <c r="AD67" s="46">
        <v>0</v>
      </c>
      <c r="AE67" s="46">
        <v>0</v>
      </c>
      <c r="AF67" s="46">
        <v>0</v>
      </c>
      <c r="AG67" s="46">
        <v>88</v>
      </c>
      <c r="AL67" s="246" t="s">
        <v>354</v>
      </c>
    </row>
    <row r="68" spans="2:38" s="352" customFormat="1" ht="30" x14ac:dyDescent="0.2">
      <c r="B68" s="357" t="s">
        <v>353</v>
      </c>
      <c r="C68" s="127">
        <f>IFERROR(INDEX(阻害要因×疾患名＿寛解・院内寛解[#All],MATCH($AL68,阻害要因×疾患名＿寛解・院内寛解[[#All],[値]],0),MATCH($AM$4,阻害要因×疾患名＿寛解・院内寛解[#Headers],0)),0)+IFERROR(INDEX(阻害要因×疾患名＿寛解・院内寛解[#All],MATCH($AL68,阻害要因×疾患名＿寛解・院内寛解[[#All],[値]],0),MATCH($AN$4,阻害要因×疾患名＿寛解・院内寛解[#Headers],0)),0)</f>
        <v>10</v>
      </c>
      <c r="D68" s="128">
        <f t="shared" si="17"/>
        <v>0.25641025641025639</v>
      </c>
      <c r="E68" s="127">
        <f>IFERROR(INDEX(阻害要因×疾患名＿寛解・院内寛解[#All],MATCH($AL68,阻害要因×疾患名＿寛解・院内寛解[[#All],[値]],0),MATCH($AO$4,阻害要因×疾患名＿寛解・院内寛解[#Headers],0)),0)</f>
        <v>15</v>
      </c>
      <c r="F68" s="128">
        <f t="shared" si="18"/>
        <v>0.28846153846153844</v>
      </c>
      <c r="G68" s="127">
        <f>IFERROR(INDEX(阻害要因×疾患名＿寛解・院内寛解[#All],MATCH($AL68,阻害要因×疾患名＿寛解・院内寛解[[#All],[値]],0),MATCH($AS$4,阻害要因×疾患名＿寛解・院内寛解[#Headers],0)),0)</f>
        <v>13</v>
      </c>
      <c r="H68" s="128">
        <f t="shared" si="19"/>
        <v>5.3497942386831275E-2</v>
      </c>
      <c r="I68" s="127">
        <f>IFERROR(INDEX(阻害要因×疾患名＿寛解・院内寛解[#All],MATCH($AL68,阻害要因×疾患名＿寛解・院内寛解[[#All],[値]],0),MATCH($AT$4,阻害要因×疾患名＿寛解・院内寛解[#Headers],0)),0)+IFERROR(INDEX(阻害要因×疾患名＿寛解・院内寛解[#All],MATCH($AL68,阻害要因×疾患名＿寛解・院内寛解[[#All],[値]],0),MATCH($AU$4,阻害要因×疾患名＿寛解・院内寛解[#Headers],0)),0)</f>
        <v>8</v>
      </c>
      <c r="J68" s="128">
        <f t="shared" si="20"/>
        <v>0.1111111111111111</v>
      </c>
      <c r="K68" s="745"/>
      <c r="L68" s="745"/>
      <c r="M68" s="745"/>
      <c r="N68" s="26">
        <f t="shared" si="16"/>
        <v>46</v>
      </c>
      <c r="O68" s="43" t="s">
        <v>355</v>
      </c>
      <c r="P68" s="355">
        <v>13</v>
      </c>
      <c r="Q68" s="46">
        <v>5</v>
      </c>
      <c r="R68" s="46">
        <v>15</v>
      </c>
      <c r="S68" s="46">
        <v>3</v>
      </c>
      <c r="T68" s="46">
        <v>0</v>
      </c>
      <c r="U68" s="46">
        <v>2</v>
      </c>
      <c r="V68" s="46">
        <v>8</v>
      </c>
      <c r="W68" s="46">
        <v>0</v>
      </c>
      <c r="X68" s="46">
        <v>0</v>
      </c>
      <c r="Y68" s="46">
        <v>0</v>
      </c>
      <c r="Z68" s="46">
        <v>1</v>
      </c>
      <c r="AA68" s="46">
        <v>1</v>
      </c>
      <c r="AB68" s="46">
        <v>0</v>
      </c>
      <c r="AC68" s="46">
        <v>0</v>
      </c>
      <c r="AD68" s="46">
        <v>1</v>
      </c>
      <c r="AE68" s="46">
        <v>0</v>
      </c>
      <c r="AF68" s="46">
        <v>0</v>
      </c>
      <c r="AG68" s="46">
        <v>49</v>
      </c>
      <c r="AL68" s="246" t="s">
        <v>355</v>
      </c>
    </row>
    <row r="69" spans="2:38" x14ac:dyDescent="0.2">
      <c r="B69" s="73" t="s">
        <v>52</v>
      </c>
      <c r="C69" s="130">
        <f>IFERROR(INDEX(阻害要因×疾患名＿寛解・院内寛解[#All],MATCH($AL69,阻害要因×疾患名＿寛解・院内寛解[[#All],[値]],0),MATCH($AM$4,阻害要因×疾患名＿寛解・院内寛解[#Headers],0)),0)+IFERROR(INDEX(阻害要因×疾患名＿寛解・院内寛解[#All],MATCH($AL69,阻害要因×疾患名＿寛解・院内寛解[[#All],[値]],0),MATCH($AN$4,阻害要因×疾患名＿寛解・院内寛解[#Headers],0)),0)</f>
        <v>0</v>
      </c>
      <c r="D69" s="132">
        <f t="shared" si="17"/>
        <v>0</v>
      </c>
      <c r="E69" s="130">
        <f>IFERROR(INDEX(阻害要因×疾患名＿寛解・院内寛解[#All],MATCH($AL69,阻害要因×疾患名＿寛解・院内寛解[[#All],[値]],0),MATCH($AO$4,阻害要因×疾患名＿寛解・院内寛解[#Headers],0)),0)</f>
        <v>3</v>
      </c>
      <c r="F69" s="132">
        <f t="shared" si="18"/>
        <v>5.7692307692307696E-2</v>
      </c>
      <c r="G69" s="130">
        <f>IFERROR(INDEX(阻害要因×疾患名＿寛解・院内寛解[#All],MATCH($AL69,阻害要因×疾患名＿寛解・院内寛解[[#All],[値]],0),MATCH($AS$4,阻害要因×疾患名＿寛解・院内寛解[#Headers],0)),0)</f>
        <v>10</v>
      </c>
      <c r="H69" s="132">
        <f t="shared" si="19"/>
        <v>4.1152263374485597E-2</v>
      </c>
      <c r="I69" s="130">
        <f>IFERROR(INDEX(阻害要因×疾患名＿寛解・院内寛解[#All],MATCH($AL69,阻害要因×疾患名＿寛解・院内寛解[[#All],[値]],0),MATCH($AT$4,阻害要因×疾患名＿寛解・院内寛解[#Headers],0)),0)+IFERROR(INDEX(阻害要因×疾患名＿寛解・院内寛解[#All],MATCH($AL69,阻害要因×疾患名＿寛解・院内寛解[[#All],[値]],0),MATCH($AU$4,阻害要因×疾患名＿寛解・院内寛解[#Headers],0)),0)</f>
        <v>3</v>
      </c>
      <c r="J69" s="132">
        <f t="shared" si="20"/>
        <v>4.1666666666666664E-2</v>
      </c>
      <c r="K69" s="745"/>
      <c r="L69" s="745"/>
      <c r="M69" s="745"/>
      <c r="N69" s="26">
        <f t="shared" si="16"/>
        <v>16</v>
      </c>
      <c r="O69" s="43" t="s">
        <v>169</v>
      </c>
      <c r="P69" s="49">
        <v>10</v>
      </c>
      <c r="Q69" s="46">
        <v>1</v>
      </c>
      <c r="R69" s="46">
        <v>3</v>
      </c>
      <c r="S69" s="46">
        <v>2</v>
      </c>
      <c r="T69" s="46">
        <v>1</v>
      </c>
      <c r="U69" s="46">
        <v>0</v>
      </c>
      <c r="V69" s="46">
        <v>0</v>
      </c>
      <c r="W69" s="46">
        <v>2</v>
      </c>
      <c r="X69" s="46">
        <v>0</v>
      </c>
      <c r="Y69" s="46">
        <v>0</v>
      </c>
      <c r="Z69" s="46">
        <v>1</v>
      </c>
      <c r="AA69" s="46">
        <v>3</v>
      </c>
      <c r="AB69" s="46">
        <v>0</v>
      </c>
      <c r="AC69" s="46">
        <v>0</v>
      </c>
      <c r="AD69" s="46">
        <v>1</v>
      </c>
      <c r="AE69" s="46">
        <v>0</v>
      </c>
      <c r="AF69" s="46">
        <v>0</v>
      </c>
      <c r="AG69" s="383">
        <v>24</v>
      </c>
      <c r="AL69" s="246" t="s">
        <v>169</v>
      </c>
    </row>
    <row r="70" spans="2:38" x14ac:dyDescent="0.2">
      <c r="F70" s="50"/>
      <c r="H70" s="50"/>
      <c r="J70" s="50"/>
      <c r="K70" s="50"/>
      <c r="L70" s="50"/>
      <c r="M70" s="50"/>
    </row>
    <row r="71" spans="2:38" x14ac:dyDescent="0.2">
      <c r="F71" s="50"/>
      <c r="H71" s="50"/>
      <c r="J71" s="50"/>
      <c r="K71" s="50"/>
      <c r="L71" s="50"/>
      <c r="M71" s="50"/>
    </row>
  </sheetData>
  <mergeCells count="20">
    <mergeCell ref="C13:J13"/>
    <mergeCell ref="C10:J10"/>
    <mergeCell ref="B2:B4"/>
    <mergeCell ref="C2:J2"/>
    <mergeCell ref="C4:D4"/>
    <mergeCell ref="E4:F4"/>
    <mergeCell ref="C3:F3"/>
    <mergeCell ref="G3:H4"/>
    <mergeCell ref="I3:J4"/>
    <mergeCell ref="C38:F38"/>
    <mergeCell ref="G38:H39"/>
    <mergeCell ref="I38:J39"/>
    <mergeCell ref="B14:J14"/>
    <mergeCell ref="B49:J49"/>
    <mergeCell ref="C45:J45"/>
    <mergeCell ref="C48:J48"/>
    <mergeCell ref="B37:B39"/>
    <mergeCell ref="C37:J37"/>
    <mergeCell ref="C39:D39"/>
    <mergeCell ref="E39:F39"/>
  </mergeCells>
  <phoneticPr fontId="2"/>
  <printOptions horizontalCentered="1"/>
  <pageMargins left="0.70866141732283472" right="0.70866141732283472" top="0.74803149606299213" bottom="0.74803149606299213" header="0.31496062992125984" footer="0.31496062992125984"/>
  <pageSetup paperSize="9" scale="72" fitToHeight="0" orientation="portrait" r:id="rId1"/>
  <rowBreaks count="1" manualBreakCount="1">
    <brk id="35" min="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2" r:id="rId4" name="Button 2">
              <controlPr defaultSize="0" print="0" autoFill="0" autoPict="0" macro="[0]!データ削除_退院阻害要因疾患名区分">
                <anchor moveWithCells="1" sizeWithCells="1">
                  <from>
                    <xdr:col>10</xdr:col>
                    <xdr:colOff>373380</xdr:colOff>
                    <xdr:row>1</xdr:row>
                    <xdr:rowOff>220980</xdr:rowOff>
                  </from>
                  <to>
                    <xdr:col>12</xdr:col>
                    <xdr:colOff>426720</xdr:colOff>
                    <xdr:row>3</xdr:row>
                    <xdr:rowOff>342900</xdr:rowOff>
                  </to>
                </anchor>
              </controlPr>
            </control>
          </mc:Choice>
        </mc:AlternateContent>
      </controls>
    </mc:Choice>
  </mc:AlternateContent>
  <tableParts count="6">
    <tablePart r:id="rId5"/>
    <tablePart r:id="rId6"/>
    <tablePart r:id="rId7"/>
    <tablePart r:id="rId8"/>
    <tablePart r:id="rId9"/>
    <tablePart r:id="rId10"/>
  </tablePart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rgb="FFFF0000"/>
    <pageSetUpPr fitToPage="1"/>
  </sheetPr>
  <dimension ref="A1:BC198"/>
  <sheetViews>
    <sheetView showGridLines="0" view="pageBreakPreview" topLeftCell="B1" zoomScale="80" zoomScaleNormal="100" zoomScaleSheetLayoutView="80" workbookViewId="0">
      <selection activeCell="B1" sqref="B1"/>
    </sheetView>
  </sheetViews>
  <sheetFormatPr defaultColWidth="9" defaultRowHeight="17.399999999999999" x14ac:dyDescent="0.2"/>
  <cols>
    <col min="1" max="1" width="4" style="1" hidden="1" customWidth="1"/>
    <col min="2" max="2" width="12.44140625" style="1" customWidth="1"/>
    <col min="3" max="12" width="8.77734375" style="1" customWidth="1"/>
    <col min="13" max="13" width="15.44140625" style="1" customWidth="1"/>
    <col min="14" max="15" width="8" style="676" hidden="1" customWidth="1"/>
    <col min="16" max="17" width="10.6640625" style="676" hidden="1" customWidth="1"/>
    <col min="18" max="20" width="8" style="676" hidden="1" customWidth="1"/>
    <col min="21" max="35" width="8" style="1" hidden="1" customWidth="1"/>
    <col min="36" max="38" width="8" style="676" hidden="1" customWidth="1"/>
    <col min="39" max="54" width="8" style="1" hidden="1" customWidth="1"/>
    <col min="55" max="57" width="9" style="1" customWidth="1"/>
    <col min="58" max="16384" width="9" style="1"/>
  </cols>
  <sheetData>
    <row r="1" spans="2:52" ht="19.5" customHeight="1" x14ac:dyDescent="0.2">
      <c r="B1" s="2" t="s">
        <v>480</v>
      </c>
      <c r="C1" s="676"/>
      <c r="D1" s="676"/>
      <c r="E1" s="676"/>
      <c r="F1" s="676"/>
      <c r="G1" s="676"/>
      <c r="H1" s="676"/>
      <c r="I1" s="676"/>
      <c r="J1" s="676"/>
      <c r="K1" s="676"/>
      <c r="L1" s="676"/>
    </row>
    <row r="2" spans="2:52" ht="18.75" customHeight="1" thickBot="1" x14ac:dyDescent="0.25">
      <c r="B2" s="1055" t="s">
        <v>64</v>
      </c>
      <c r="C2" s="1057" t="s">
        <v>63</v>
      </c>
      <c r="D2" s="1058"/>
      <c r="E2" s="1058"/>
      <c r="F2" s="1058"/>
      <c r="G2" s="1058"/>
      <c r="H2" s="1058"/>
      <c r="I2" s="1058"/>
      <c r="J2" s="1058"/>
      <c r="K2" s="1058"/>
      <c r="L2" s="1059"/>
      <c r="R2" s="21" t="s">
        <v>62</v>
      </c>
      <c r="S2" s="1"/>
      <c r="T2" s="1"/>
    </row>
    <row r="3" spans="2:52" ht="18.75" customHeight="1" thickTop="1" thickBot="1" x14ac:dyDescent="0.25">
      <c r="B3" s="1056"/>
      <c r="C3" s="1060" t="s">
        <v>68</v>
      </c>
      <c r="D3" s="1061"/>
      <c r="E3" s="1060" t="s">
        <v>69</v>
      </c>
      <c r="F3" s="1061"/>
      <c r="G3" s="1060" t="s">
        <v>70</v>
      </c>
      <c r="H3" s="1061"/>
      <c r="I3" s="1060" t="s">
        <v>71</v>
      </c>
      <c r="J3" s="1061"/>
      <c r="K3" s="1060" t="s">
        <v>61</v>
      </c>
      <c r="L3" s="1061"/>
      <c r="R3" s="266" t="s">
        <v>655</v>
      </c>
      <c r="S3" s="794" t="s">
        <v>677</v>
      </c>
      <c r="T3" s="771" t="s">
        <v>678</v>
      </c>
      <c r="U3" s="771" t="s">
        <v>679</v>
      </c>
      <c r="V3" s="771" t="s">
        <v>680</v>
      </c>
      <c r="W3" s="771" t="s">
        <v>681</v>
      </c>
      <c r="X3" s="771" t="s">
        <v>682</v>
      </c>
      <c r="Y3" s="771" t="s">
        <v>683</v>
      </c>
      <c r="Z3" s="771" t="s">
        <v>340</v>
      </c>
      <c r="AA3" s="771" t="s">
        <v>684</v>
      </c>
      <c r="AB3" s="771" t="s">
        <v>685</v>
      </c>
      <c r="AC3" s="771" t="s">
        <v>686</v>
      </c>
      <c r="AD3" s="771" t="s">
        <v>687</v>
      </c>
      <c r="AE3" s="771" t="s">
        <v>688</v>
      </c>
      <c r="AF3" s="771" t="s">
        <v>689</v>
      </c>
      <c r="AG3" s="771" t="s">
        <v>690</v>
      </c>
      <c r="AH3" s="56" t="s">
        <v>691</v>
      </c>
      <c r="AJ3" s="1"/>
      <c r="AK3" s="295" t="s">
        <v>170</v>
      </c>
      <c r="AL3" s="296" t="s">
        <v>171</v>
      </c>
      <c r="AM3" s="296" t="s">
        <v>172</v>
      </c>
      <c r="AN3" s="296" t="s">
        <v>173</v>
      </c>
      <c r="AO3" s="296" t="s">
        <v>174</v>
      </c>
      <c r="AP3" s="296" t="s">
        <v>175</v>
      </c>
      <c r="AQ3" s="296" t="s">
        <v>176</v>
      </c>
      <c r="AR3" s="296" t="s">
        <v>177</v>
      </c>
      <c r="AS3" s="296" t="s">
        <v>178</v>
      </c>
      <c r="AT3" s="296" t="s">
        <v>179</v>
      </c>
      <c r="AU3" s="296" t="s">
        <v>180</v>
      </c>
      <c r="AV3" s="296" t="s">
        <v>181</v>
      </c>
      <c r="AW3" s="296" t="s">
        <v>182</v>
      </c>
      <c r="AX3" s="296" t="s">
        <v>183</v>
      </c>
      <c r="AY3" s="296" t="s">
        <v>184</v>
      </c>
      <c r="AZ3" s="295" t="s">
        <v>185</v>
      </c>
    </row>
    <row r="4" spans="2:52" s="16" customFormat="1" ht="18.75" customHeight="1" thickTop="1" x14ac:dyDescent="0.2">
      <c r="B4" s="147" t="s">
        <v>2</v>
      </c>
      <c r="C4" s="148">
        <f>IFERROR(INDEX(年齢階層×在院期間区分F2[#All],MATCH($AJ4,年齢階層×在院期間区分F2[[#All],[行ラベル]],0),MATCH($AK$3,年齢階層×在院期間区分F2[#Headers],0)),0)+IFERROR(INDEX(年齢階層×在院期間区分F2[#All],MATCH($AJ4,年齢階層×在院期間区分F2[[#All],[行ラベル]],0),MATCH($AL$3,年齢階層×在院期間区分F2[#Headers],0)),0)+IFERROR(INDEX(年齢階層×在院期間区分F2[#All],MATCH($AJ4,年齢階層×在院期間区分F2[[#All],[行ラベル]],0),MATCH($AM$3,年齢階層×在院期間区分F2[#Headers],0)),0)+IFERROR(INDEX(年齢階層×在院期間区分F2[#All],MATCH($AJ4,年齢階層×在院期間区分F2[[#All],[行ラベル]],0),MATCH($AN$3,年齢階層×在院期間区分F2[#Headers],0)),0)</f>
        <v>12</v>
      </c>
      <c r="D4" s="143">
        <f t="shared" ref="D4:D12" si="0">IFERROR(C4/$C$13,"-")</f>
        <v>5.6338028169014088E-3</v>
      </c>
      <c r="E4" s="148">
        <f>IFERROR(INDEX(年齢階層×在院期間区分F2[#All],MATCH($AJ4,年齢階層×在院期間区分F2[[#All],[行ラベル]],0),MATCH($AO$3,年齢階層×在院期間区分F2[#Headers],0)),0)+IFERROR(INDEX(年齢階層×在院期間区分F2[#All],MATCH($AJ4,年齢階層×在院期間区分F2[[#All],[行ラベル]],0),MATCH($AP$3,年齢階層×在院期間区分F2[#Headers],0)),0)+IFERROR(INDEX(年齢階層×在院期間区分F2[#All],MATCH($AJ4,年齢階層×在院期間区分F2[[#All],[行ラベル]],0),MATCH($AQ$3,年齢階層×在院期間区分F2[#Headers],0)),0)+IFERROR(INDEX(年齢階層×在院期間区分F2[#All],MATCH($AJ4,年齢階層×在院期間区分F2[[#All],[行ラベル]],0),MATCH($AR$3,年齢階層×在院期間区分F2[#Headers],0)),0)+IFERROR(INDEX(年齢階層×在院期間区分F2[#All],MATCH($AJ4,年齢階層×在院期間区分F2[[#All],[行ラベル]],0),MATCH($AS$3,年齢階層×在院期間区分F2[#Headers],0)),0)</f>
        <v>1</v>
      </c>
      <c r="F4" s="143">
        <f t="shared" ref="F4:F12" si="1">IFERROR(E4/$E$13,"-")</f>
        <v>6.1425061425061424E-4</v>
      </c>
      <c r="G4" s="148">
        <f>IFERROR(INDEX(年齢階層×在院期間区分F2[#All],MATCH($AJ4,年齢階層×在院期間区分F2[[#All],[行ラベル]],0),MATCH($AT$3,年齢階層×在院期間区分F2[#Headers],0)),0)+IFERROR(INDEX(年齢階層×在院期間区分F2[#All],MATCH($AJ4,年齢階層×在院期間区分F2[[#All],[行ラベル]],0),MATCH($AU$3,年齢階層×在院期間区分F2[#Headers],0)),0)+IFERROR(INDEX(年齢階層×在院期間区分F2[#All],MATCH($AJ4,年齢階層×在院期間区分F2[[#All],[行ラベル]],0),MATCH($AV$3,年齢階層×在院期間区分F2[#Headers],0)),0)+IFERROR(INDEX(年齢階層×在院期間区分F2[#All],MATCH($AJ4,年齢階層×在院期間区分F2[[#All],[行ラベル]],0),MATCH($AW$3,年齢階層×在院期間区分F2[#Headers],0)),0)+IFERROR(INDEX(年齢階層×在院期間区分F2[#All],MATCH($AJ4,年齢階層×在院期間区分F2[[#All],[行ラベル]],0),MATCH($AX$3,年齢階層×在院期間区分F2[#Headers],0)),0)</f>
        <v>0</v>
      </c>
      <c r="H4" s="143">
        <f t="shared" ref="H4:H12" si="2">IFERROR(G4/$G$13,"-")</f>
        <v>0</v>
      </c>
      <c r="I4" s="142">
        <f>IFERROR(INDEX(年齢階層×在院期間区分F2[#All],MATCH($AJ4,年齢階層×在院期間区分F2[[#All],[行ラベル]],0),MATCH($AY$3,年齢階層×在院期間区分F2[#Headers],0)),0)+IFERROR(INDEX(年齢階層×在院期間区分F2[#All],MATCH($AJ4,年齢階層×在院期間区分F2[[#All],[行ラベル]],0),MATCH($AZ$3,年齢階層×在院期間区分F2[#Headers],0)),0)</f>
        <v>0</v>
      </c>
      <c r="J4" s="143">
        <f t="shared" ref="J4:J12" si="3">IFERROR(I4/$I$13,"-")</f>
        <v>0</v>
      </c>
      <c r="K4" s="142">
        <f t="shared" ref="K4:K12" si="4">SUM(C4,E4,G4,I4)</f>
        <v>13</v>
      </c>
      <c r="L4" s="143">
        <f t="shared" ref="L4:L12" si="5">IFERROR(K4/$K$13,"-")</f>
        <v>2.0151914431871028E-3</v>
      </c>
      <c r="R4" s="55" t="s">
        <v>2</v>
      </c>
      <c r="S4" s="49">
        <v>6</v>
      </c>
      <c r="T4" s="49">
        <v>4</v>
      </c>
      <c r="U4" s="49">
        <v>2</v>
      </c>
      <c r="V4" s="49">
        <v>0</v>
      </c>
      <c r="W4" s="49">
        <v>1</v>
      </c>
      <c r="X4" s="49">
        <v>0</v>
      </c>
      <c r="Y4" s="49">
        <v>0</v>
      </c>
      <c r="Z4" s="49">
        <v>0</v>
      </c>
      <c r="AA4" s="49">
        <v>0</v>
      </c>
      <c r="AB4" s="49">
        <v>0</v>
      </c>
      <c r="AC4" s="49">
        <v>0</v>
      </c>
      <c r="AD4" s="49">
        <v>0</v>
      </c>
      <c r="AE4" s="49">
        <v>0</v>
      </c>
      <c r="AF4" s="49">
        <v>0</v>
      </c>
      <c r="AG4" s="49">
        <v>0</v>
      </c>
      <c r="AH4" s="342">
        <v>0</v>
      </c>
      <c r="AJ4" s="41" t="s">
        <v>2</v>
      </c>
      <c r="AK4" s="50"/>
      <c r="AN4" s="54"/>
    </row>
    <row r="5" spans="2:52" s="16" customFormat="1" ht="18.75" customHeight="1" x14ac:dyDescent="0.2">
      <c r="B5" s="149" t="s">
        <v>3</v>
      </c>
      <c r="C5" s="150">
        <f>IFERROR(INDEX(年齢階層×在院期間区分F2[#All],MATCH($AJ5,年齢階層×在院期間区分F2[[#All],[行ラベル]],0),MATCH($AK$3,年齢階層×在院期間区分F2[#Headers],0)),0)+IFERROR(INDEX(年齢階層×在院期間区分F2[#All],MATCH($AJ5,年齢階層×在院期間区分F2[[#All],[行ラベル]],0),MATCH($AL$3,年齢階層×在院期間区分F2[#Headers],0)),0)+IFERROR(INDEX(年齢階層×在院期間区分F2[#All],MATCH($AJ5,年齢階層×在院期間区分F2[[#All],[行ラベル]],0),MATCH($AM$3,年齢階層×在院期間区分F2[#Headers],0)),0)+IFERROR(INDEX(年齢階層×在院期間区分F2[#All],MATCH($AJ5,年齢階層×在院期間区分F2[[#All],[行ラベル]],0),MATCH($AN$3,年齢階層×在院期間区分F2[#Headers],0)),0)</f>
        <v>100</v>
      </c>
      <c r="D5" s="128">
        <f t="shared" si="0"/>
        <v>4.6948356807511735E-2</v>
      </c>
      <c r="E5" s="127">
        <f>IFERROR(INDEX(年齢階層×在院期間区分F2[#All],MATCH($AJ5,年齢階層×在院期間区分F2[[#All],[行ラベル]],0),MATCH($AO$3,年齢階層×在院期間区分F2[#Headers],0)),0)+IFERROR(INDEX(年齢階層×在院期間区分F2[#All],MATCH($AJ5,年齢階層×在院期間区分F2[[#All],[行ラベル]],0),MATCH($AP$3,年齢階層×在院期間区分F2[#Headers],0)),0)+IFERROR(INDEX(年齢階層×在院期間区分F2[#All],MATCH($AJ5,年齢階層×在院期間区分F2[[#All],[行ラベル]],0),MATCH($AQ$3,年齢階層×在院期間区分F2[#Headers],0)),0)+IFERROR(INDEX(年齢階層×在院期間区分F2[#All],MATCH($AJ5,年齢階層×在院期間区分F2[[#All],[行ラベル]],0),MATCH($AR$3,年齢階層×在院期間区分F2[#Headers],0)),0)+IFERROR(INDEX(年齢階層×在院期間区分F2[#All],MATCH($AJ5,年齢階層×在院期間区分F2[[#All],[行ラベル]],0),MATCH($AS$3,年齢階層×在院期間区分F2[#Headers],0)),0)</f>
        <v>19</v>
      </c>
      <c r="F5" s="128">
        <f t="shared" si="1"/>
        <v>1.167076167076167E-2</v>
      </c>
      <c r="G5" s="150">
        <f>IFERROR(INDEX(年齢階層×在院期間区分F2[#All],MATCH($AJ5,年齢階層×在院期間区分F2[[#All],[行ラベル]],0),MATCH($AT$3,年齢階層×在院期間区分F2[#Headers],0)),0)+IFERROR(INDEX(年齢階層×在院期間区分F2[#All],MATCH($AJ5,年齢階層×在院期間区分F2[[#All],[行ラベル]],0),MATCH($AU$3,年齢階層×在院期間区分F2[#Headers],0)),0)+IFERROR(INDEX(年齢階層×在院期間区分F2[#All],MATCH($AJ5,年齢階層×在院期間区分F2[[#All],[行ラベル]],0),MATCH($AV$3,年齢階層×在院期間区分F2[#Headers],0)),0)+IFERROR(INDEX(年齢階層×在院期間区分F2[#All],MATCH($AJ5,年齢階層×在院期間区分F2[[#All],[行ラベル]],0),MATCH($AW$3,年齢階層×在院期間区分F2[#Headers],0)),0)+IFERROR(INDEX(年齢階層×在院期間区分F2[#All],MATCH($AJ5,年齢階層×在院期間区分F2[[#All],[行ラベル]],0),MATCH($AX$3,年齢階層×在院期間区分F2[#Headers],0)),0)</f>
        <v>2</v>
      </c>
      <c r="H5" s="128">
        <f t="shared" si="2"/>
        <v>1.8148820326678765E-3</v>
      </c>
      <c r="I5" s="151">
        <f>IFERROR(INDEX(年齢階層×在院期間区分F2[#All],MATCH($AJ5,年齢階層×在院期間区分F2[[#All],[行ラベル]],0),MATCH($AY$3,年齢階層×在院期間区分F2[#Headers],0)),0)+IFERROR(INDEX(年齢階層×在院期間区分F2[#All],MATCH($AJ5,年齢階層×在院期間区分F2[[#All],[行ラベル]],0),MATCH($AZ$3,年齢階層×在院期間区分F2[#Headers],0)),0)</f>
        <v>0</v>
      </c>
      <c r="J5" s="128">
        <f t="shared" si="3"/>
        <v>0</v>
      </c>
      <c r="K5" s="127">
        <f>SUM(C5,E5,G5,I5)</f>
        <v>121</v>
      </c>
      <c r="L5" s="128">
        <f t="shared" si="5"/>
        <v>1.8756781894279956E-2</v>
      </c>
      <c r="R5" s="55" t="s">
        <v>3</v>
      </c>
      <c r="S5" s="49">
        <v>30</v>
      </c>
      <c r="T5" s="49">
        <v>30</v>
      </c>
      <c r="U5" s="49">
        <v>16</v>
      </c>
      <c r="V5" s="49">
        <v>24</v>
      </c>
      <c r="W5" s="49">
        <v>5</v>
      </c>
      <c r="X5" s="49">
        <v>4</v>
      </c>
      <c r="Y5" s="49">
        <v>7</v>
      </c>
      <c r="Z5" s="49">
        <v>2</v>
      </c>
      <c r="AA5" s="49">
        <v>1</v>
      </c>
      <c r="AB5" s="49">
        <v>0</v>
      </c>
      <c r="AC5" s="49">
        <v>1</v>
      </c>
      <c r="AD5" s="49">
        <v>0</v>
      </c>
      <c r="AE5" s="49">
        <v>0</v>
      </c>
      <c r="AF5" s="49">
        <v>1</v>
      </c>
      <c r="AG5" s="49">
        <v>0</v>
      </c>
      <c r="AH5" s="342">
        <v>0</v>
      </c>
      <c r="AJ5" s="41" t="s">
        <v>3</v>
      </c>
      <c r="AK5" s="50"/>
      <c r="AL5" s="50"/>
      <c r="AN5" s="54"/>
    </row>
    <row r="6" spans="2:52" s="16" customFormat="1" ht="18.75" customHeight="1" x14ac:dyDescent="0.2">
      <c r="B6" s="149" t="s">
        <v>4</v>
      </c>
      <c r="C6" s="150">
        <f>IFERROR(INDEX(年齢階層×在院期間区分F2[#All],MATCH($AJ6,年齢階層×在院期間区分F2[[#All],[行ラベル]],0),MATCH($AK$3,年齢階層×在院期間区分F2[#Headers],0)),0)+IFERROR(INDEX(年齢階層×在院期間区分F2[#All],MATCH($AJ6,年齢階層×在院期間区分F2[[#All],[行ラベル]],0),MATCH($AL$3,年齢階層×在院期間区分F2[#Headers],0)),0)+IFERROR(INDEX(年齢階層×在院期間区分F2[#All],MATCH($AJ6,年齢階層×在院期間区分F2[[#All],[行ラベル]],0),MATCH($AM$3,年齢階層×在院期間区分F2[#Headers],0)),0)+IFERROR(INDEX(年齢階層×在院期間区分F2[#All],MATCH($AJ6,年齢階層×在院期間区分F2[[#All],[行ラベル]],0),MATCH($AN$3,年齢階層×在院期間区分F2[#Headers],0)),0)</f>
        <v>173</v>
      </c>
      <c r="D6" s="128">
        <f t="shared" si="0"/>
        <v>8.1220657276995303E-2</v>
      </c>
      <c r="E6" s="151">
        <f>IFERROR(INDEX(年齢階層×在院期間区分F2[#All],MATCH($AJ6,年齢階層×在院期間区分F2[[#All],[行ラベル]],0),MATCH($AO$3,年齢階層×在院期間区分F2[#Headers],0)),0)+IFERROR(INDEX(年齢階層×在院期間区分F2[#All],MATCH($AJ6,年齢階層×在院期間区分F2[[#All],[行ラベル]],0),MATCH($AP$3,年齢階層×在院期間区分F2[#Headers],0)),0)+IFERROR(INDEX(年齢階層×在院期間区分F2[#All],MATCH($AJ6,年齢階層×在院期間区分F2[[#All],[行ラベル]],0),MATCH($AQ$3,年齢階層×在院期間区分F2[#Headers],0)),0)+IFERROR(INDEX(年齢階層×在院期間区分F2[#All],MATCH($AJ6,年齢階層×在院期間区分F2[[#All],[行ラベル]],0),MATCH($AR$3,年齢階層×在院期間区分F2[#Headers],0)),0)+IFERROR(INDEX(年齢階層×在院期間区分F2[#All],MATCH($AJ6,年齢階層×在院期間区分F2[[#All],[行ラベル]],0),MATCH($AS$3,年齢階層×在院期間区分F2[#Headers],0)),0)</f>
        <v>46</v>
      </c>
      <c r="F6" s="128">
        <f t="shared" si="1"/>
        <v>2.8255528255528257E-2</v>
      </c>
      <c r="G6" s="150">
        <f>IFERROR(INDEX(年齢階層×在院期間区分F2[#All],MATCH($AJ6,年齢階層×在院期間区分F2[[#All],[行ラベル]],0),MATCH($AT$3,年齢階層×在院期間区分F2[#Headers],0)),0)+IFERROR(INDEX(年齢階層×在院期間区分F2[#All],MATCH($AJ6,年齢階層×在院期間区分F2[[#All],[行ラベル]],0),MATCH($AU$3,年齢階層×在院期間区分F2[#Headers],0)),0)+IFERROR(INDEX(年齢階層×在院期間区分F2[#All],MATCH($AJ6,年齢階層×在院期間区分F2[[#All],[行ラベル]],0),MATCH($AV$3,年齢階層×在院期間区分F2[#Headers],0)),0)+IFERROR(INDEX(年齢階層×在院期間区分F2[#All],MATCH($AJ6,年齢階層×在院期間区分F2[[#All],[行ラベル]],0),MATCH($AW$3,年齢階層×在院期間区分F2[#Headers],0)),0)+IFERROR(INDEX(年齢階層×在院期間区分F2[#All],MATCH($AJ6,年齢階層×在院期間区分F2[[#All],[行ラベル]],0),MATCH($AX$3,年齢階層×在院期間区分F2[#Headers],0)),0)</f>
        <v>29</v>
      </c>
      <c r="H6" s="128">
        <f t="shared" si="2"/>
        <v>2.6315789473684209E-2</v>
      </c>
      <c r="I6" s="127">
        <f>IFERROR(INDEX(年齢階層×在院期間区分F2[#All],MATCH($AJ6,年齢階層×在院期間区分F2[[#All],[行ラベル]],0),MATCH($AY$3,年齢階層×在院期間区分F2[#Headers],0)),0)+IFERROR(INDEX(年齢階層×在院期間区分F2[#All],MATCH($AJ6,年齢階層×在院期間区分F2[[#All],[行ラベル]],0),MATCH($AZ$3,年齢階層×在院期間区分F2[#Headers],0)),0)</f>
        <v>23</v>
      </c>
      <c r="J6" s="128">
        <f t="shared" si="3"/>
        <v>1.4456316781898177E-2</v>
      </c>
      <c r="K6" s="127">
        <f t="shared" si="4"/>
        <v>271</v>
      </c>
      <c r="L6" s="128">
        <f t="shared" si="5"/>
        <v>4.2008990854131144E-2</v>
      </c>
      <c r="R6" s="55" t="s">
        <v>4</v>
      </c>
      <c r="S6" s="49">
        <v>57</v>
      </c>
      <c r="T6" s="49">
        <v>63</v>
      </c>
      <c r="U6" s="49">
        <v>29</v>
      </c>
      <c r="V6" s="49">
        <v>24</v>
      </c>
      <c r="W6" s="49">
        <v>8</v>
      </c>
      <c r="X6" s="49">
        <v>8</v>
      </c>
      <c r="Y6" s="49">
        <v>10</v>
      </c>
      <c r="Z6" s="49">
        <v>11</v>
      </c>
      <c r="AA6" s="49">
        <v>9</v>
      </c>
      <c r="AB6" s="49">
        <v>10</v>
      </c>
      <c r="AC6" s="49">
        <v>7</v>
      </c>
      <c r="AD6" s="49">
        <v>6</v>
      </c>
      <c r="AE6" s="49">
        <v>2</v>
      </c>
      <c r="AF6" s="49">
        <v>4</v>
      </c>
      <c r="AG6" s="49">
        <v>23</v>
      </c>
      <c r="AH6" s="342">
        <v>0</v>
      </c>
      <c r="AJ6" s="41" t="s">
        <v>4</v>
      </c>
      <c r="AK6" s="50"/>
      <c r="AL6" s="50"/>
      <c r="AN6" s="54"/>
    </row>
    <row r="7" spans="2:52" s="16" customFormat="1" ht="18.75" customHeight="1" x14ac:dyDescent="0.2">
      <c r="B7" s="149" t="s">
        <v>5</v>
      </c>
      <c r="C7" s="127">
        <f>IFERROR(INDEX(年齢階層×在院期間区分F2[#All],MATCH($AJ7,年齢階層×在院期間区分F2[[#All],[行ラベル]],0),MATCH($AK$3,年齢階層×在院期間区分F2[#Headers],0)),0)+IFERROR(INDEX(年齢階層×在院期間区分F2[#All],MATCH($AJ7,年齢階層×在院期間区分F2[[#All],[行ラベル]],0),MATCH($AL$3,年齢階層×在院期間区分F2[#Headers],0)),0)+IFERROR(INDEX(年齢階層×在院期間区分F2[#All],MATCH($AJ7,年齢階層×在院期間区分F2[[#All],[行ラベル]],0),MATCH($AM$3,年齢階層×在院期間区分F2[#Headers],0)),0)+IFERROR(INDEX(年齢階層×在院期間区分F2[#All],MATCH($AJ7,年齢階層×在院期間区分F2[[#All],[行ラベル]],0),MATCH($AN$3,年齢階層×在院期間区分F2[#Headers],0)),0)</f>
        <v>313</v>
      </c>
      <c r="D7" s="128">
        <f t="shared" si="0"/>
        <v>0.14694835680751173</v>
      </c>
      <c r="E7" s="127">
        <f>IFERROR(INDEX(年齢階層×在院期間区分F2[#All],MATCH($AJ7,年齢階層×在院期間区分F2[[#All],[行ラベル]],0),MATCH($AO$3,年齢階層×在院期間区分F2[#Headers],0)),0)+IFERROR(INDEX(年齢階層×在院期間区分F2[#All],MATCH($AJ7,年齢階層×在院期間区分F2[[#All],[行ラベル]],0),MATCH($AP$3,年齢階層×在院期間区分F2[#Headers],0)),0)+IFERROR(INDEX(年齢階層×在院期間区分F2[#All],MATCH($AJ7,年齢階層×在院期間区分F2[[#All],[行ラベル]],0),MATCH($AQ$3,年齢階層×在院期間区分F2[#Headers],0)),0)+IFERROR(INDEX(年齢階層×在院期間区分F2[#All],MATCH($AJ7,年齢階層×在院期間区分F2[[#All],[行ラベル]],0),MATCH($AR$3,年齢階層×在院期間区分F2[#Headers],0)),0)+IFERROR(INDEX(年齢階層×在院期間区分F2[#All],MATCH($AJ7,年齢階層×在院期間区分F2[[#All],[行ラベル]],0),MATCH($AS$3,年齢階層×在院期間区分F2[#Headers],0)),0)</f>
        <v>175</v>
      </c>
      <c r="F7" s="128">
        <f t="shared" si="1"/>
        <v>0.10749385749385749</v>
      </c>
      <c r="G7" s="150">
        <f>IFERROR(INDEX(年齢階層×在院期間区分F2[#All],MATCH($AJ7,年齢階層×在院期間区分F2[[#All],[行ラベル]],0),MATCH($AT$3,年齢階層×在院期間区分F2[#Headers],0)),0)+IFERROR(INDEX(年齢階層×在院期間区分F2[#All],MATCH($AJ7,年齢階層×在院期間区分F2[[#All],[行ラベル]],0),MATCH($AU$3,年齢階層×在院期間区分F2[#Headers],0)),0)+IFERROR(INDEX(年齢階層×在院期間区分F2[#All],MATCH($AJ7,年齢階層×在院期間区分F2[[#All],[行ラベル]],0),MATCH($AV$3,年齢階層×在院期間区分F2[#Headers],0)),0)+IFERROR(INDEX(年齢階層×在院期間区分F2[#All],MATCH($AJ7,年齢階層×在院期間区分F2[[#All],[行ラベル]],0),MATCH($AW$3,年齢階層×在院期間区分F2[#Headers],0)),0)+IFERROR(INDEX(年齢階層×在院期間区分F2[#All],MATCH($AJ7,年齢階層×在院期間区分F2[[#All],[行ラベル]],0),MATCH($AX$3,年齢階層×在院期間区分F2[#Headers],0)),0)</f>
        <v>101</v>
      </c>
      <c r="H7" s="128">
        <f t="shared" si="2"/>
        <v>9.1651542649727774E-2</v>
      </c>
      <c r="I7" s="151">
        <f>IFERROR(INDEX(年齢階層×在院期間区分F2[#All],MATCH($AJ7,年齢階層×在院期間区分F2[[#All],[行ラベル]],0),MATCH($AY$3,年齢階層×在院期間区分F2[#Headers],0)),0)+IFERROR(INDEX(年齢階層×在院期間区分F2[#All],MATCH($AJ7,年齢階層×在院期間区分F2[[#All],[行ラベル]],0),MATCH($AZ$3,年齢階層×在院期間区分F2[#Headers],0)),0)</f>
        <v>106</v>
      </c>
      <c r="J7" s="128">
        <f t="shared" si="3"/>
        <v>6.6624764299182904E-2</v>
      </c>
      <c r="K7" s="127">
        <f t="shared" si="4"/>
        <v>695</v>
      </c>
      <c r="L7" s="128">
        <f t="shared" si="5"/>
        <v>0.1077352348473105</v>
      </c>
      <c r="R7" s="55" t="s">
        <v>5</v>
      </c>
      <c r="S7" s="49">
        <v>90</v>
      </c>
      <c r="T7" s="49">
        <v>121</v>
      </c>
      <c r="U7" s="49">
        <v>46</v>
      </c>
      <c r="V7" s="49">
        <v>56</v>
      </c>
      <c r="W7" s="49">
        <v>44</v>
      </c>
      <c r="X7" s="49">
        <v>30</v>
      </c>
      <c r="Y7" s="49">
        <v>44</v>
      </c>
      <c r="Z7" s="49">
        <v>20</v>
      </c>
      <c r="AA7" s="49">
        <v>37</v>
      </c>
      <c r="AB7" s="49">
        <v>17</v>
      </c>
      <c r="AC7" s="49">
        <v>21</v>
      </c>
      <c r="AD7" s="49">
        <v>25</v>
      </c>
      <c r="AE7" s="49">
        <v>24</v>
      </c>
      <c r="AF7" s="49">
        <v>14</v>
      </c>
      <c r="AG7" s="49">
        <v>86</v>
      </c>
      <c r="AH7" s="342">
        <v>20</v>
      </c>
      <c r="AJ7" s="41" t="s">
        <v>5</v>
      </c>
      <c r="AK7" s="50"/>
      <c r="AL7" s="50"/>
      <c r="AN7" s="54"/>
    </row>
    <row r="8" spans="2:52" s="16" customFormat="1" ht="18.75" customHeight="1" x14ac:dyDescent="0.2">
      <c r="B8" s="149" t="s">
        <v>6</v>
      </c>
      <c r="C8" s="127">
        <f>IFERROR(INDEX(年齢階層×在院期間区分F2[#All],MATCH($AJ8,年齢階層×在院期間区分F2[[#All],[行ラベル]],0),MATCH($AK$3,年齢階層×在院期間区分F2[#Headers],0)),0)+IFERROR(INDEX(年齢階層×在院期間区分F2[#All],MATCH($AJ8,年齢階層×在院期間区分F2[[#All],[行ラベル]],0),MATCH($AL$3,年齢階層×在院期間区分F2[#Headers],0)),0)+IFERROR(INDEX(年齢階層×在院期間区分F2[#All],MATCH($AJ8,年齢階層×在院期間区分F2[[#All],[行ラベル]],0),MATCH($AM$3,年齢階層×在院期間区分F2[#Headers],0)),0)+IFERROR(INDEX(年齢階層×在院期間区分F2[#All],MATCH($AJ8,年齢階層×在院期間区分F2[[#All],[行ラベル]],0),MATCH($AN$3,年齢階層×在院期間区分F2[#Headers],0)),0)</f>
        <v>516</v>
      </c>
      <c r="D8" s="128">
        <f t="shared" si="0"/>
        <v>0.24225352112676057</v>
      </c>
      <c r="E8" s="127">
        <f>IFERROR(INDEX(年齢階層×在院期間区分F2[#All],MATCH($AJ8,年齢階層×在院期間区分F2[[#All],[行ラベル]],0),MATCH($AO$3,年齢階層×在院期間区分F2[#Headers],0)),0)+IFERROR(INDEX(年齢階層×在院期間区分F2[#All],MATCH($AJ8,年齢階層×在院期間区分F2[[#All],[行ラベル]],0),MATCH($AP$3,年齢階層×在院期間区分F2[#Headers],0)),0)+IFERROR(INDEX(年齢階層×在院期間区分F2[#All],MATCH($AJ8,年齢階層×在院期間区分F2[[#All],[行ラベル]],0),MATCH($AQ$3,年齢階層×在院期間区分F2[#Headers],0)),0)+IFERROR(INDEX(年齢階層×在院期間区分F2[#All],MATCH($AJ8,年齢階層×在院期間区分F2[[#All],[行ラベル]],0),MATCH($AR$3,年齢階層×在院期間区分F2[#Headers],0)),0)+IFERROR(INDEX(年齢階層×在院期間区分F2[#All],MATCH($AJ8,年齢階層×在院期間区分F2[[#All],[行ラベル]],0),MATCH($AS$3,年齢階層×在院期間区分F2[#Headers],0)),0)</f>
        <v>362</v>
      </c>
      <c r="F8" s="128">
        <f t="shared" si="1"/>
        <v>0.22235872235872237</v>
      </c>
      <c r="G8" s="150">
        <f>IFERROR(INDEX(年齢階層×在院期間区分F2[#All],MATCH($AJ8,年齢階層×在院期間区分F2[[#All],[行ラベル]],0),MATCH($AT$3,年齢階層×在院期間区分F2[#Headers],0)),0)+IFERROR(INDEX(年齢階層×在院期間区分F2[#All],MATCH($AJ8,年齢階層×在院期間区分F2[[#All],[行ラベル]],0),MATCH($AU$3,年齢階層×在院期間区分F2[#Headers],0)),0)+IFERROR(INDEX(年齢階層×在院期間区分F2[#All],MATCH($AJ8,年齢階層×在院期間区分F2[[#All],[行ラベル]],0),MATCH($AV$3,年齢階層×在院期間区分F2[#Headers],0)),0)+IFERROR(INDEX(年齢階層×在院期間区分F2[#All],MATCH($AJ8,年齢階層×在院期間区分F2[[#All],[行ラベル]],0),MATCH($AW$3,年齢階層×在院期間区分F2[#Headers],0)),0)+IFERROR(INDEX(年齢階層×在院期間区分F2[#All],MATCH($AJ8,年齢階層×在院期間区分F2[[#All],[行ラベル]],0),MATCH($AX$3,年齢階層×在院期間区分F2[#Headers],0)),0)</f>
        <v>257</v>
      </c>
      <c r="H8" s="128">
        <f t="shared" si="2"/>
        <v>0.23321234119782214</v>
      </c>
      <c r="I8" s="150">
        <f>IFERROR(INDEX(年齢階層×在院期間区分F2[#All],MATCH($AJ8,年齢階層×在院期間区分F2[[#All],[行ラベル]],0),MATCH($AY$3,年齢階層×在院期間区分F2[#Headers],0)),0)+IFERROR(INDEX(年齢階層×在院期間区分F2[#All],MATCH($AJ8,年齢階層×在院期間区分F2[[#All],[行ラベル]],0),MATCH($AZ$3,年齢階層×在院期間区分F2[#Headers],0)),0)</f>
        <v>401</v>
      </c>
      <c r="J8" s="128">
        <f t="shared" si="3"/>
        <v>0.25204274041483343</v>
      </c>
      <c r="K8" s="127">
        <f t="shared" si="4"/>
        <v>1536</v>
      </c>
      <c r="L8" s="128">
        <f t="shared" si="5"/>
        <v>0.23810261974887614</v>
      </c>
      <c r="R8" s="55" t="s">
        <v>6</v>
      </c>
      <c r="S8" s="49">
        <v>126</v>
      </c>
      <c r="T8" s="49">
        <v>174</v>
      </c>
      <c r="U8" s="49">
        <v>101</v>
      </c>
      <c r="V8" s="49">
        <v>115</v>
      </c>
      <c r="W8" s="49">
        <v>75</v>
      </c>
      <c r="X8" s="49">
        <v>60</v>
      </c>
      <c r="Y8" s="49">
        <v>99</v>
      </c>
      <c r="Z8" s="49">
        <v>77</v>
      </c>
      <c r="AA8" s="49">
        <v>51</v>
      </c>
      <c r="AB8" s="49">
        <v>62</v>
      </c>
      <c r="AC8" s="49">
        <v>60</v>
      </c>
      <c r="AD8" s="49">
        <v>53</v>
      </c>
      <c r="AE8" s="49">
        <v>42</v>
      </c>
      <c r="AF8" s="49">
        <v>40</v>
      </c>
      <c r="AG8" s="49">
        <v>265</v>
      </c>
      <c r="AH8" s="342">
        <v>136</v>
      </c>
      <c r="AJ8" s="41" t="s">
        <v>6</v>
      </c>
      <c r="AK8" s="50"/>
      <c r="AL8" s="50"/>
      <c r="AN8" s="54"/>
    </row>
    <row r="9" spans="2:52" s="16" customFormat="1" ht="18.75" customHeight="1" x14ac:dyDescent="0.2">
      <c r="B9" s="149" t="s">
        <v>7</v>
      </c>
      <c r="C9" s="127">
        <f>IFERROR(INDEX(年齢階層×在院期間区分F2[#All],MATCH($AJ9,年齢階層×在院期間区分F2[[#All],[行ラベル]],0),MATCH($AK$3,年齢階層×在院期間区分F2[#Headers],0)),0)+IFERROR(INDEX(年齢階層×在院期間区分F2[#All],MATCH($AJ9,年齢階層×在院期間区分F2[[#All],[行ラベル]],0),MATCH($AL$3,年齢階層×在院期間区分F2[#Headers],0)),0)+IFERROR(INDEX(年齢階層×在院期間区分F2[#All],MATCH($AJ9,年齢階層×在院期間区分F2[[#All],[行ラベル]],0),MATCH($AM$3,年齢階層×在院期間区分F2[#Headers],0)),0)+IFERROR(INDEX(年齢階層×在院期間区分F2[#All],MATCH($AJ9,年齢階層×在院期間区分F2[[#All],[行ラベル]],0),MATCH($AN$3,年齢階層×在院期間区分F2[#Headers],0)),0)</f>
        <v>411</v>
      </c>
      <c r="D9" s="128">
        <f t="shared" si="0"/>
        <v>0.19295774647887323</v>
      </c>
      <c r="E9" s="151">
        <f>IFERROR(INDEX(年齢階層×在院期間区分F2[#All],MATCH($AJ9,年齢階層×在院期間区分F2[[#All],[行ラベル]],0),MATCH($AO$3,年齢階層×在院期間区分F2[#Headers],0)),0)+IFERROR(INDEX(年齢階層×在院期間区分F2[#All],MATCH($AJ9,年齢階層×在院期間区分F2[[#All],[行ラベル]],0),MATCH($AP$3,年齢階層×在院期間区分F2[#Headers],0)),0)+IFERROR(INDEX(年齢階層×在院期間区分F2[#All],MATCH($AJ9,年齢階層×在院期間区分F2[[#All],[行ラベル]],0),MATCH($AQ$3,年齢階層×在院期間区分F2[#Headers],0)),0)+IFERROR(INDEX(年齢階層×在院期間区分F2[#All],MATCH($AJ9,年齢階層×在院期間区分F2[[#All],[行ラベル]],0),MATCH($AR$3,年齢階層×在院期間区分F2[#Headers],0)),0)+IFERROR(INDEX(年齢階層×在院期間区分F2[#All],MATCH($AJ9,年齢階層×在院期間区分F2[[#All],[行ラベル]],0),MATCH($AS$3,年齢階層×在院期間区分F2[#Headers],0)),0)</f>
        <v>356</v>
      </c>
      <c r="F9" s="128">
        <f t="shared" si="1"/>
        <v>0.21867321867321868</v>
      </c>
      <c r="G9" s="150">
        <f>IFERROR(INDEX(年齢階層×在院期間区分F2[#All],MATCH($AJ9,年齢階層×在院期間区分F2[[#All],[行ラベル]],0),MATCH($AT$3,年齢階層×在院期間区分F2[#Headers],0)),0)+IFERROR(INDEX(年齢階層×在院期間区分F2[#All],MATCH($AJ9,年齢階層×在院期間区分F2[[#All],[行ラベル]],0),MATCH($AU$3,年齢階層×在院期間区分F2[#Headers],0)),0)+IFERROR(INDEX(年齢階層×在院期間区分F2[#All],MATCH($AJ9,年齢階層×在院期間区分F2[[#All],[行ラベル]],0),MATCH($AV$3,年齢階層×在院期間区分F2[#Headers],0)),0)+IFERROR(INDEX(年齢階層×在院期間区分F2[#All],MATCH($AJ9,年齢階層×在院期間区分F2[[#All],[行ラベル]],0),MATCH($AW$3,年齢階層×在院期間区分F2[#Headers],0)),0)+IFERROR(INDEX(年齢階層×在院期間区分F2[#All],MATCH($AJ9,年齢階層×在院期間区分F2[[#All],[行ラベル]],0),MATCH($AX$3,年齢階層×在院期間区分F2[#Headers],0)),0)</f>
        <v>273</v>
      </c>
      <c r="H9" s="128">
        <f t="shared" si="2"/>
        <v>0.24773139745916514</v>
      </c>
      <c r="I9" s="127">
        <f>IFERROR(INDEX(年齢階層×在院期間区分F2[#All],MATCH($AJ9,年齢階層×在院期間区分F2[[#All],[行ラベル]],0),MATCH($AY$3,年齢階層×在院期間区分F2[#Headers],0)),0)+IFERROR(INDEX(年齢階層×在院期間区分F2[#All],MATCH($AJ9,年齢階層×在院期間区分F2[[#All],[行ラベル]],0),MATCH($AZ$3,年齢階層×在院期間区分F2[#Headers],0)),0)</f>
        <v>398</v>
      </c>
      <c r="J9" s="128">
        <f t="shared" si="3"/>
        <v>0.2501571338780641</v>
      </c>
      <c r="K9" s="127">
        <f t="shared" si="4"/>
        <v>1438</v>
      </c>
      <c r="L9" s="128">
        <f t="shared" si="5"/>
        <v>0.22291117656177337</v>
      </c>
      <c r="R9" s="55" t="s">
        <v>7</v>
      </c>
      <c r="S9" s="49">
        <v>89</v>
      </c>
      <c r="T9" s="49">
        <v>105</v>
      </c>
      <c r="U9" s="49">
        <v>95</v>
      </c>
      <c r="V9" s="49">
        <v>122</v>
      </c>
      <c r="W9" s="49">
        <v>60</v>
      </c>
      <c r="X9" s="49">
        <v>59</v>
      </c>
      <c r="Y9" s="49">
        <v>101</v>
      </c>
      <c r="Z9" s="49">
        <v>66</v>
      </c>
      <c r="AA9" s="49">
        <v>70</v>
      </c>
      <c r="AB9" s="49">
        <v>65</v>
      </c>
      <c r="AC9" s="49">
        <v>64</v>
      </c>
      <c r="AD9" s="49">
        <v>62</v>
      </c>
      <c r="AE9" s="49">
        <v>44</v>
      </c>
      <c r="AF9" s="49">
        <v>38</v>
      </c>
      <c r="AG9" s="49">
        <v>242</v>
      </c>
      <c r="AH9" s="342">
        <v>156</v>
      </c>
      <c r="AJ9" s="41" t="s">
        <v>7</v>
      </c>
      <c r="AK9" s="50"/>
      <c r="AL9" s="50"/>
      <c r="AN9" s="54"/>
    </row>
    <row r="10" spans="2:52" s="16" customFormat="1" ht="18.75" customHeight="1" x14ac:dyDescent="0.2">
      <c r="B10" s="149" t="s">
        <v>8</v>
      </c>
      <c r="C10" s="151">
        <f>IFERROR(INDEX(年齢階層×在院期間区分F2[#All],MATCH($AJ10,年齢階層×在院期間区分F2[[#All],[行ラベル]],0),MATCH($AK$3,年齢階層×在院期間区分F2[#Headers],0)),0)+IFERROR(INDEX(年齢階層×在院期間区分F2[#All],MATCH($AJ10,年齢階層×在院期間区分F2[[#All],[行ラベル]],0),MATCH($AL$3,年齢階層×在院期間区分F2[#Headers],0)),0)+IFERROR(INDEX(年齢階層×在院期間区分F2[#All],MATCH($AJ10,年齢階層×在院期間区分F2[[#All],[行ラベル]],0),MATCH($AM$3,年齢階層×在院期間区分F2[#Headers],0)),0)+IFERROR(INDEX(年齢階層×在院期間区分F2[#All],MATCH($AJ10,年齢階層×在院期間区分F2[[#All],[行ラベル]],0),MATCH($AN$3,年齢階層×在院期間区分F2[#Headers],0)),0)</f>
        <v>413</v>
      </c>
      <c r="D10" s="128">
        <f t="shared" si="0"/>
        <v>0.19389671361502347</v>
      </c>
      <c r="E10" s="150">
        <f>IFERROR(INDEX(年齢階層×在院期間区分F2[#All],MATCH($AJ10,年齢階層×在院期間区分F2[[#All],[行ラベル]],0),MATCH($AO$3,年齢階層×在院期間区分F2[#Headers],0)),0)+IFERROR(INDEX(年齢階層×在院期間区分F2[#All],MATCH($AJ10,年齢階層×在院期間区分F2[[#All],[行ラベル]],0),MATCH($AP$3,年齢階層×在院期間区分F2[#Headers],0)),0)+IFERROR(INDEX(年齢階層×在院期間区分F2[#All],MATCH($AJ10,年齢階層×在院期間区分F2[[#All],[行ラベル]],0),MATCH($AQ$3,年齢階層×在院期間区分F2[#Headers],0)),0)+IFERROR(INDEX(年齢階層×在院期間区分F2[#All],MATCH($AJ10,年齢階層×在院期間区分F2[[#All],[行ラベル]],0),MATCH($AR$3,年齢階層×在院期間区分F2[#Headers],0)),0)+IFERROR(INDEX(年齢階層×在院期間区分F2[#All],MATCH($AJ10,年齢階層×在院期間区分F2[[#All],[行ラベル]],0),MATCH($AS$3,年齢階層×在院期間区分F2[#Headers],0)),0)</f>
        <v>412</v>
      </c>
      <c r="F10" s="128">
        <f t="shared" si="1"/>
        <v>0.25307125307125306</v>
      </c>
      <c r="G10" s="150">
        <f>IFERROR(INDEX(年齢階層×在院期間区分F2[#All],MATCH($AJ10,年齢階層×在院期間区分F2[[#All],[行ラベル]],0),MATCH($AT$3,年齢階層×在院期間区分F2[#Headers],0)),0)+IFERROR(INDEX(年齢階層×在院期間区分F2[#All],MATCH($AJ10,年齢階層×在院期間区分F2[[#All],[行ラベル]],0),MATCH($AU$3,年齢階層×在院期間区分F2[#Headers],0)),0)+IFERROR(INDEX(年齢階層×在院期間区分F2[#All],MATCH($AJ10,年齢階層×在院期間区分F2[[#All],[行ラベル]],0),MATCH($AV$3,年齢階層×在院期間区分F2[#Headers],0)),0)+IFERROR(INDEX(年齢階層×在院期間区分F2[#All],MATCH($AJ10,年齢階層×在院期間区分F2[[#All],[行ラベル]],0),MATCH($AW$3,年齢階層×在院期間区分F2[#Headers],0)),0)+IFERROR(INDEX(年齢階層×在院期間区分F2[#All],MATCH($AJ10,年齢階層×在院期間区分F2[[#All],[行ラベル]],0),MATCH($AX$3,年齢階層×在院期間区分F2[#Headers],0)),0)</f>
        <v>277</v>
      </c>
      <c r="H10" s="128">
        <f t="shared" si="2"/>
        <v>0.25136116152450089</v>
      </c>
      <c r="I10" s="127">
        <f>IFERROR(INDEX(年齢階層×在院期間区分F2[#All],MATCH($AJ10,年齢階層×在院期間区分F2[[#All],[行ラベル]],0),MATCH($AY$3,年齢階層×在院期間区分F2[#Headers],0)),0)+IFERROR(INDEX(年齢階層×在院期間区分F2[#All],MATCH($AJ10,年齢階層×在院期間区分F2[[#All],[行ラベル]],0),MATCH($AZ$3,年齢階層×在院期間区分F2[#Headers],0)),0)</f>
        <v>464</v>
      </c>
      <c r="J10" s="128">
        <f t="shared" si="3"/>
        <v>0.29164047768698931</v>
      </c>
      <c r="K10" s="127">
        <f t="shared" si="4"/>
        <v>1566</v>
      </c>
      <c r="L10" s="128">
        <f t="shared" si="5"/>
        <v>0.24275306154084639</v>
      </c>
      <c r="R10" s="55" t="s">
        <v>8</v>
      </c>
      <c r="S10" s="49">
        <v>96</v>
      </c>
      <c r="T10" s="49">
        <v>105</v>
      </c>
      <c r="U10" s="49">
        <v>80</v>
      </c>
      <c r="V10" s="49">
        <v>132</v>
      </c>
      <c r="W10" s="49">
        <v>83</v>
      </c>
      <c r="X10" s="49">
        <v>62</v>
      </c>
      <c r="Y10" s="49">
        <v>121</v>
      </c>
      <c r="Z10" s="49">
        <v>67</v>
      </c>
      <c r="AA10" s="49">
        <v>79</v>
      </c>
      <c r="AB10" s="49">
        <v>81</v>
      </c>
      <c r="AC10" s="49">
        <v>50</v>
      </c>
      <c r="AD10" s="49">
        <v>55</v>
      </c>
      <c r="AE10" s="49">
        <v>47</v>
      </c>
      <c r="AF10" s="49">
        <v>44</v>
      </c>
      <c r="AG10" s="49">
        <v>237</v>
      </c>
      <c r="AH10" s="342">
        <v>227</v>
      </c>
      <c r="AJ10" s="41" t="s">
        <v>8</v>
      </c>
      <c r="AK10" s="50"/>
      <c r="AL10" s="50"/>
      <c r="AN10" s="54"/>
    </row>
    <row r="11" spans="2:52" s="16" customFormat="1" ht="18.75" customHeight="1" x14ac:dyDescent="0.2">
      <c r="B11" s="149" t="s">
        <v>9</v>
      </c>
      <c r="C11" s="127">
        <f>IFERROR(INDEX(年齢階層×在院期間区分F2[#All],MATCH($AJ11,年齢階層×在院期間区分F2[[#All],[行ラベル]],0),MATCH($AK$3,年齢階層×在院期間区分F2[#Headers],0)),0)+IFERROR(INDEX(年齢階層×在院期間区分F2[#All],MATCH($AJ11,年齢階層×在院期間区分F2[[#All],[行ラベル]],0),MATCH($AL$3,年齢階層×在院期間区分F2[#Headers],0)),0)+IFERROR(INDEX(年齢階層×在院期間区分F2[#All],MATCH($AJ11,年齢階層×在院期間区分F2[[#All],[行ラベル]],0),MATCH($AM$3,年齢階層×在院期間区分F2[#Headers],0)),0)+IFERROR(INDEX(年齢階層×在院期間区分F2[#All],MATCH($AJ11,年齢階層×在院期間区分F2[[#All],[行ラベル]],0),MATCH($AN$3,年齢階層×在院期間区分F2[#Headers],0)),0)</f>
        <v>170</v>
      </c>
      <c r="D11" s="128">
        <f t="shared" si="0"/>
        <v>7.9812206572769953E-2</v>
      </c>
      <c r="E11" s="150">
        <f>IFERROR(INDEX(年齢階層×在院期間区分F2[#All],MATCH($AJ11,年齢階層×在院期間区分F2[[#All],[行ラベル]],0),MATCH($AO$3,年齢階層×在院期間区分F2[#Headers],0)),0)+IFERROR(INDEX(年齢階層×在院期間区分F2[#All],MATCH($AJ11,年齢階層×在院期間区分F2[[#All],[行ラベル]],0),MATCH($AP$3,年齢階層×在院期間区分F2[#Headers],0)),0)+IFERROR(INDEX(年齢階層×在院期間区分F2[#All],MATCH($AJ11,年齢階層×在院期間区分F2[[#All],[行ラベル]],0),MATCH($AQ$3,年齢階層×在院期間区分F2[#Headers],0)),0)+IFERROR(INDEX(年齢階層×在院期間区分F2[#All],MATCH($AJ11,年齢階層×在院期間区分F2[[#All],[行ラベル]],0),MATCH($AR$3,年齢階層×在院期間区分F2[#Headers],0)),0)+IFERROR(INDEX(年齢階層×在院期間区分F2[#All],MATCH($AJ11,年齢階層×在院期間区分F2[[#All],[行ラベル]],0),MATCH($AS$3,年齢階層×在院期間区分F2[#Headers],0)),0)</f>
        <v>225</v>
      </c>
      <c r="F11" s="128">
        <f t="shared" si="1"/>
        <v>0.1382063882063882</v>
      </c>
      <c r="G11" s="150">
        <f>IFERROR(INDEX(年齢階層×在院期間区分F2[#All],MATCH($AJ11,年齢階層×在院期間区分F2[[#All],[行ラベル]],0),MATCH($AT$3,年齢階層×在院期間区分F2[#Headers],0)),0)+IFERROR(INDEX(年齢階層×在院期間区分F2[#All],MATCH($AJ11,年齢階層×在院期間区分F2[[#All],[行ラベル]],0),MATCH($AU$3,年齢階層×在院期間区分F2[#Headers],0)),0)+IFERROR(INDEX(年齢階層×在院期間区分F2[#All],MATCH($AJ11,年齢階層×在院期間区分F2[[#All],[行ラベル]],0),MATCH($AV$3,年齢階層×在院期間区分F2[#Headers],0)),0)+IFERROR(INDEX(年齢階層×在院期間区分F2[#All],MATCH($AJ11,年齢階層×在院期間区分F2[[#All],[行ラベル]],0),MATCH($AW$3,年齢階層×在院期間区分F2[#Headers],0)),0)+IFERROR(INDEX(年齢階層×在院期間区分F2[#All],MATCH($AJ11,年齢階層×在院期間区分F2[[#All],[行ラベル]],0),MATCH($AX$3,年齢階層×在院期間区分F2[#Headers],0)),0)</f>
        <v>144</v>
      </c>
      <c r="H11" s="128">
        <f t="shared" si="2"/>
        <v>0.1306715063520871</v>
      </c>
      <c r="I11" s="151">
        <f>IFERROR(INDEX(年齢階層×在院期間区分F2[#All],MATCH($AJ11,年齢階層×在院期間区分F2[[#All],[行ラベル]],0),MATCH($AY$3,年齢階層×在院期間区分F2[#Headers],0)),0)+IFERROR(INDEX(年齢階層×在院期間区分F2[#All],MATCH($AJ11,年齢階層×在院期間区分F2[[#All],[行ラベル]],0),MATCH($AZ$3,年齢階層×在院期間区分F2[#Headers],0)),0)</f>
        <v>184</v>
      </c>
      <c r="J11" s="128">
        <f t="shared" si="3"/>
        <v>0.11565053425518541</v>
      </c>
      <c r="K11" s="127">
        <f t="shared" si="4"/>
        <v>723</v>
      </c>
      <c r="L11" s="128">
        <f t="shared" si="5"/>
        <v>0.11207564718648272</v>
      </c>
      <c r="R11" s="55" t="s">
        <v>9</v>
      </c>
      <c r="S11" s="49">
        <v>37</v>
      </c>
      <c r="T11" s="49">
        <v>47</v>
      </c>
      <c r="U11" s="49">
        <v>41</v>
      </c>
      <c r="V11" s="49">
        <v>45</v>
      </c>
      <c r="W11" s="49">
        <v>43</v>
      </c>
      <c r="X11" s="49">
        <v>33</v>
      </c>
      <c r="Y11" s="49">
        <v>56</v>
      </c>
      <c r="Z11" s="49">
        <v>52</v>
      </c>
      <c r="AA11" s="49">
        <v>41</v>
      </c>
      <c r="AB11" s="49">
        <v>36</v>
      </c>
      <c r="AC11" s="49">
        <v>35</v>
      </c>
      <c r="AD11" s="49">
        <v>35</v>
      </c>
      <c r="AE11" s="49">
        <v>20</v>
      </c>
      <c r="AF11" s="49">
        <v>18</v>
      </c>
      <c r="AG11" s="49">
        <v>101</v>
      </c>
      <c r="AH11" s="342">
        <v>83</v>
      </c>
      <c r="AJ11" s="41" t="s">
        <v>9</v>
      </c>
      <c r="AK11" s="50"/>
      <c r="AL11" s="50"/>
      <c r="AN11" s="54"/>
    </row>
    <row r="12" spans="2:52" s="16" customFormat="1" ht="18.75" customHeight="1" thickBot="1" x14ac:dyDescent="0.25">
      <c r="B12" s="152" t="s">
        <v>10</v>
      </c>
      <c r="C12" s="153">
        <f>IFERROR(INDEX(年齢階層×在院期間区分F2[#All],MATCH($AJ12,年齢階層×在院期間区分F2[[#All],[行ラベル]],0),MATCH($AK$3,年齢階層×在院期間区分F2[#Headers],0)),0)+IFERROR(INDEX(年齢階層×在院期間区分F2[#All],MATCH($AJ12,年齢階層×在院期間区分F2[[#All],[行ラベル]],0),MATCH($AL$3,年齢階層×在院期間区分F2[#Headers],0)),0)+IFERROR(INDEX(年齢階層×在院期間区分F2[#All],MATCH($AJ12,年齢階層×在院期間区分F2[[#All],[行ラベル]],0),MATCH($AM$3,年齢階層×在院期間区分F2[#Headers],0)),0)+IFERROR(INDEX(年齢階層×在院期間区分F2[#All],MATCH($AJ12,年齢階層×在院期間区分F2[[#All],[行ラベル]],0),MATCH($AN$3,年齢階層×在院期間区分F2[#Headers],0)),0)</f>
        <v>22</v>
      </c>
      <c r="D12" s="144">
        <f t="shared" si="0"/>
        <v>1.0328638497652582E-2</v>
      </c>
      <c r="E12" s="130">
        <f>IFERROR(INDEX(年齢階層×在院期間区分F2[#All],MATCH($AJ12,年齢階層×在院期間区分F2[[#All],[行ラベル]],0),MATCH($AO$3,年齢階層×在院期間区分F2[#Headers],0)),0)+IFERROR(INDEX(年齢階層×在院期間区分F2[#All],MATCH($AJ12,年齢階層×在院期間区分F2[[#All],[行ラベル]],0),MATCH($AP$3,年齢階層×在院期間区分F2[#Headers],0)),0)+IFERROR(INDEX(年齢階層×在院期間区分F2[#All],MATCH($AJ12,年齢階層×在院期間区分F2[[#All],[行ラベル]],0),MATCH($AQ$3,年齢階層×在院期間区分F2[#Headers],0)),0)+IFERROR(INDEX(年齢階層×在院期間区分F2[#All],MATCH($AJ12,年齢階層×在院期間区分F2[[#All],[行ラベル]],0),MATCH($AR$3,年齢階層×在院期間区分F2[#Headers],0)),0)+IFERROR(INDEX(年齢階層×在院期間区分F2[#All],MATCH($AJ12,年齢階層×在院期間区分F2[[#All],[行ラベル]],0),MATCH($AS$3,年齢階層×在院期間区分F2[#Headers],0)),0)</f>
        <v>32</v>
      </c>
      <c r="F12" s="144">
        <f t="shared" si="1"/>
        <v>1.9656019656019656E-2</v>
      </c>
      <c r="G12" s="130">
        <f>IFERROR(INDEX(年齢階層×在院期間区分F2[#All],MATCH($AJ12,年齢階層×在院期間区分F2[[#All],[行ラベル]],0),MATCH($AT$3,年齢階層×在院期間区分F2[#Headers],0)),0)+IFERROR(INDEX(年齢階層×在院期間区分F2[#All],MATCH($AJ12,年齢階層×在院期間区分F2[[#All],[行ラベル]],0),MATCH($AU$3,年齢階層×在院期間区分F2[#Headers],0)),0)+IFERROR(INDEX(年齢階層×在院期間区分F2[#All],MATCH($AJ12,年齢階層×在院期間区分F2[[#All],[行ラベル]],0),MATCH($AV$3,年齢階層×在院期間区分F2[#Headers],0)),0)+IFERROR(INDEX(年齢階層×在院期間区分F2[#All],MATCH($AJ12,年齢階層×在院期間区分F2[[#All],[行ラベル]],0),MATCH($AW$3,年齢階層×在院期間区分F2[#Headers],0)),0)+IFERROR(INDEX(年齢階層×在院期間区分F2[#All],MATCH($AJ12,年齢階層×在院期間区分F2[[#All],[行ラベル]],0),MATCH($AX$3,年齢階層×在院期間区分F2[#Headers],0)),0)</f>
        <v>19</v>
      </c>
      <c r="H12" s="144">
        <f t="shared" si="2"/>
        <v>1.7241379310344827E-2</v>
      </c>
      <c r="I12" s="130">
        <f>IFERROR(INDEX(年齢階層×在院期間区分F2[#All],MATCH($AJ12,年齢階層×在院期間区分F2[[#All],[行ラベル]],0),MATCH($AY$3,年齢階層×在院期間区分F2[#Headers],0)),0)+IFERROR(INDEX(年齢階層×在院期間区分F2[#All],MATCH($AJ12,年齢階層×在院期間区分F2[[#All],[行ラベル]],0),MATCH($AZ$3,年齢階層×在院期間区分F2[#Headers],0)),0)</f>
        <v>15</v>
      </c>
      <c r="J12" s="144">
        <f t="shared" si="3"/>
        <v>9.4280326838466367E-3</v>
      </c>
      <c r="K12" s="130">
        <f t="shared" si="4"/>
        <v>88</v>
      </c>
      <c r="L12" s="144">
        <f t="shared" si="5"/>
        <v>1.3641295923112695E-2</v>
      </c>
      <c r="R12" s="55" t="s">
        <v>10</v>
      </c>
      <c r="S12" s="384">
        <v>4</v>
      </c>
      <c r="T12" s="384">
        <v>10</v>
      </c>
      <c r="U12" s="384">
        <v>5</v>
      </c>
      <c r="V12" s="384">
        <v>3</v>
      </c>
      <c r="W12" s="384">
        <v>5</v>
      </c>
      <c r="X12" s="384">
        <v>5</v>
      </c>
      <c r="Y12" s="384">
        <v>11</v>
      </c>
      <c r="Z12" s="384">
        <v>7</v>
      </c>
      <c r="AA12" s="384">
        <v>4</v>
      </c>
      <c r="AB12" s="384">
        <v>3</v>
      </c>
      <c r="AC12" s="384">
        <v>3</v>
      </c>
      <c r="AD12" s="384">
        <v>7</v>
      </c>
      <c r="AE12" s="384">
        <v>3</v>
      </c>
      <c r="AF12" s="384">
        <v>3</v>
      </c>
      <c r="AG12" s="384">
        <v>7</v>
      </c>
      <c r="AH12" s="792">
        <v>8</v>
      </c>
      <c r="AJ12" s="41" t="s">
        <v>10</v>
      </c>
      <c r="AK12" s="50"/>
      <c r="AL12" s="50"/>
      <c r="AN12" s="54"/>
    </row>
    <row r="13" spans="2:52" s="16" customFormat="1" ht="18.75" customHeight="1" thickTop="1" thickBot="1" x14ac:dyDescent="0.25">
      <c r="B13" s="154" t="s">
        <v>431</v>
      </c>
      <c r="C13" s="155">
        <f t="shared" ref="C13:L13" si="6">SUM(C4:C12)</f>
        <v>2130</v>
      </c>
      <c r="D13" s="156">
        <f t="shared" si="6"/>
        <v>1</v>
      </c>
      <c r="E13" s="155">
        <f t="shared" si="6"/>
        <v>1628</v>
      </c>
      <c r="F13" s="156">
        <f t="shared" si="6"/>
        <v>1</v>
      </c>
      <c r="G13" s="155">
        <f t="shared" si="6"/>
        <v>1102</v>
      </c>
      <c r="H13" s="156">
        <f t="shared" si="6"/>
        <v>1</v>
      </c>
      <c r="I13" s="155">
        <f t="shared" si="6"/>
        <v>1591</v>
      </c>
      <c r="J13" s="156">
        <f t="shared" si="6"/>
        <v>1</v>
      </c>
      <c r="K13" s="155">
        <f t="shared" si="6"/>
        <v>6451</v>
      </c>
      <c r="L13" s="156">
        <f t="shared" si="6"/>
        <v>1</v>
      </c>
      <c r="R13" s="798" t="s">
        <v>727</v>
      </c>
      <c r="S13" s="794" t="s">
        <v>677</v>
      </c>
      <c r="T13" s="771" t="s">
        <v>678</v>
      </c>
      <c r="U13" s="771" t="s">
        <v>679</v>
      </c>
      <c r="V13" s="771" t="s">
        <v>680</v>
      </c>
      <c r="W13" s="771" t="s">
        <v>681</v>
      </c>
      <c r="X13" s="771" t="s">
        <v>682</v>
      </c>
      <c r="Y13" s="771" t="s">
        <v>683</v>
      </c>
      <c r="Z13" s="771" t="s">
        <v>340</v>
      </c>
      <c r="AA13" s="771" t="s">
        <v>684</v>
      </c>
      <c r="AB13" s="771" t="s">
        <v>685</v>
      </c>
      <c r="AC13" s="771" t="s">
        <v>686</v>
      </c>
      <c r="AD13" s="771" t="s">
        <v>687</v>
      </c>
      <c r="AE13" s="771" t="s">
        <v>688</v>
      </c>
      <c r="AF13" s="771" t="s">
        <v>689</v>
      </c>
      <c r="AG13" s="771" t="s">
        <v>690</v>
      </c>
      <c r="AH13" s="56" t="s">
        <v>691</v>
      </c>
      <c r="AJ13" s="54"/>
      <c r="AK13" s="54"/>
      <c r="AN13" s="54"/>
    </row>
    <row r="14" spans="2:52" s="16" customFormat="1" ht="18.75" customHeight="1" thickTop="1" x14ac:dyDescent="0.2">
      <c r="B14" s="166" t="s">
        <v>438</v>
      </c>
      <c r="C14" s="167">
        <f>IFERROR(INDEX(年齢階層×在院期間区分F2_65歳未満以上[#All],MATCH($AJ14,年齢階層×在院期間区分F2_65歳未満以上[[#All],[列1]],0),MATCH($AK$3,年齢階層×在院期間区分F2_65歳未満以上[#Headers],0)),0)+IFERROR(INDEX(年齢階層×在院期間区分F2_65歳未満以上[#All],MATCH($AJ14,年齢階層×在院期間区分F2_65歳未満以上[[#All],[列1]],0),MATCH($AL$3,年齢階層×在院期間区分F2_65歳未満以上[#Headers],0)),0)+IFERROR(INDEX(年齢階層×在院期間区分F2_65歳未満以上[#All],MATCH($AJ14,年齢階層×在院期間区分F2_65歳未満以上[[#All],[列1]],0),MATCH($AM$3,年齢階層×在院期間区分F2_65歳未満以上[#Headers],0)),0)+IFERROR(INDEX(年齢階層×在院期間区分F2_65歳未満以上[#All],MATCH($AJ14,年齢階層×在院期間区分F2_65歳未満以上[[#All],[列1]],0),MATCH($AN$3,年齢階層×在院期間区分F2_65歳未満以上[#Headers],0)),0)</f>
        <v>1338</v>
      </c>
      <c r="D14" s="129">
        <f>IFERROR(C14/$C$13,"-")</f>
        <v>0.62816901408450709</v>
      </c>
      <c r="E14" s="167">
        <f>IFERROR(INDEX(年齢階層×在院期間区分F2_65歳未満以上[#All],MATCH($AJ14,年齢階層×在院期間区分F2_65歳未満以上[[#All],[列1]],0),MATCH($AO$3,年齢階層×在院期間区分F2_65歳未満以上[#Headers],0)),0)+IFERROR(INDEX(年齢階層×在院期間区分F2_65歳未満以上[#All],MATCH($AJ14,年齢階層×在院期間区分F2_65歳未満以上[[#All],[列1]],0),MATCH($AP$3,年齢階層×在院期間区分F2_65歳未満以上[#Headers],0)),0)+IFERROR(INDEX(年齢階層×在院期間区分F2_65歳未満以上[#All],MATCH($AJ14,年齢階層×在院期間区分F2_65歳未満以上[[#All],[列1]],0),MATCH($AQ$3,年齢階層×在院期間区分F2_65歳未満以上[#Headers],0)),0)+IFERROR(INDEX(年齢階層×在院期間区分F2_65歳未満以上[#All],MATCH($AJ14,年齢階層×在院期間区分F2_65歳未満以上[[#All],[列1]],0),MATCH($AR$3,年齢階層×在院期間区分F2_65歳未満以上[#Headers],0)),0)+IFERROR(INDEX(年齢階層×在院期間区分F2_65歳未満以上[#All],MATCH($AJ14,年齢階層×在院期間区分F2_65歳未満以上[[#All],[列1]],0),MATCH($AS$3,年齢階層×在院期間区分F2_65歳未満以上[#Headers],0)),0)</f>
        <v>788</v>
      </c>
      <c r="F14" s="129">
        <f>IFERROR(E14/$E$13,"-")</f>
        <v>0.48402948402948404</v>
      </c>
      <c r="G14" s="167">
        <f>IFERROR(INDEX(年齢階層×在院期間区分F2_65歳未満以上[#All],MATCH($AJ14,年齢階層×在院期間区分F2_65歳未満以上[[#All],[列1]],0),MATCH($AT$3,年齢階層×在院期間区分F2_65歳未満以上[#Headers],0)),0)+IFERROR(INDEX(年齢階層×在院期間区分F2_65歳未満以上[#All],MATCH($AJ14,年齢階層×在院期間区分F2_65歳未満以上[[#All],[列1]],0),MATCH($AU$3,年齢階層×在院期間区分F2_65歳未満以上[#Headers],0)),0)+IFERROR(INDEX(年齢階層×在院期間区分F2_65歳未満以上[#All],MATCH($AJ14,年齢階層×在院期間区分F2_65歳未満以上[[#All],[列1]],0),MATCH($AV$3,年齢階層×在院期間区分F2_65歳未満以上[#Headers],0)),0)+IFERROR(INDEX(年齢階層×在院期間区分F2_65歳未満以上[#All],MATCH($AJ14,年齢階層×在院期間区分F2_65歳未満以上[[#All],[列1]],0),MATCH($AW$3,年齢階層×在院期間区分F2_65歳未満以上[#Headers],0)),0)+IFERROR(INDEX(年齢階層×在院期間区分F2_65歳未満以上[#All],MATCH($AJ14,年齢階層×在院期間区分F2_65歳未満以上[[#All],[列1]],0),MATCH($AX$3,年齢階層×在院期間区分F2_65歳未満以上[#Headers],0)),0)</f>
        <v>559</v>
      </c>
      <c r="H14" s="129">
        <f>IFERROR(G14/$G$13,"-")</f>
        <v>0.50725952813067154</v>
      </c>
      <c r="I14" s="167">
        <f>IFERROR(INDEX(年齢階層×在院期間区分F2_65歳未満以上[#All],MATCH($AJ14,年齢階層×在院期間区分F2_65歳未満以上[[#All],[列1]],0),MATCH($AY$3,年齢階層×在院期間区分F2_65歳未満以上[#Headers],0)),0)+IFERROR(INDEX(年齢階層×在院期間区分F2_65歳未満以上[#All],MATCH($AJ14,年齢階層×在院期間区分F2_65歳未満以上[[#All],[列1]],0),MATCH($AZ$3,年齢階層×在院期間区分F2_65歳未満以上[#Headers],0)),0)</f>
        <v>728</v>
      </c>
      <c r="J14" s="129">
        <f>IFERROR(I14/$I$13,"-")</f>
        <v>0.45757385292269015</v>
      </c>
      <c r="K14" s="167">
        <f>C14+E14+G14+I14</f>
        <v>3413</v>
      </c>
      <c r="L14" s="129">
        <f>IFERROR(K14/$K$13,"-")</f>
        <v>0.52906526119981401</v>
      </c>
      <c r="R14" s="55" t="s">
        <v>284</v>
      </c>
      <c r="S14" s="49">
        <v>356</v>
      </c>
      <c r="T14" s="355">
        <v>450</v>
      </c>
      <c r="U14" s="49">
        <v>243</v>
      </c>
      <c r="V14" s="49">
        <v>289</v>
      </c>
      <c r="W14" s="49">
        <v>160</v>
      </c>
      <c r="X14" s="49">
        <v>130</v>
      </c>
      <c r="Y14" s="49">
        <v>217</v>
      </c>
      <c r="Z14" s="49">
        <v>146</v>
      </c>
      <c r="AA14" s="49">
        <v>135</v>
      </c>
      <c r="AB14" s="49">
        <v>131</v>
      </c>
      <c r="AC14" s="49">
        <v>129</v>
      </c>
      <c r="AD14" s="49">
        <v>120</v>
      </c>
      <c r="AE14" s="49">
        <v>92</v>
      </c>
      <c r="AF14" s="49">
        <v>87</v>
      </c>
      <c r="AG14" s="49">
        <v>504</v>
      </c>
      <c r="AH14" s="342">
        <v>224</v>
      </c>
      <c r="AJ14" s="55" t="s">
        <v>145</v>
      </c>
    </row>
    <row r="15" spans="2:52" s="16" customFormat="1" ht="18.75" customHeight="1" x14ac:dyDescent="0.2">
      <c r="B15" s="168" t="s">
        <v>439</v>
      </c>
      <c r="C15" s="167">
        <f>IFERROR(INDEX(年齢階層×在院期間区分F2_65歳未満以上[#All],MATCH($AJ15,年齢階層×在院期間区分F2_65歳未満以上[[#All],[列1]],0),MATCH($AK$3,年齢階層×在院期間区分F2_65歳未満以上[#Headers],0)),0)+IFERROR(INDEX(年齢階層×在院期間区分F2_65歳未満以上[#All],MATCH($AJ15,年齢階層×在院期間区分F2_65歳未満以上[[#All],[列1]],0),MATCH($AL$3,年齢階層×在院期間区分F2_65歳未満以上[#Headers],0)),0)+IFERROR(INDEX(年齢階層×在院期間区分F2_65歳未満以上[#All],MATCH($AJ15,年齢階層×在院期間区分F2_65歳未満以上[[#All],[列1]],0),MATCH($AM$3,年齢階層×在院期間区分F2_65歳未満以上[#Headers],0)),0)+IFERROR(INDEX(年齢階層×在院期間区分F2_65歳未満以上[#All],MATCH($AJ15,年齢階層×在院期間区分F2_65歳未満以上[[#All],[列1]],0),MATCH($AN$3,年齢階層×在院期間区分F2_65歳未満以上[#Headers],0)),0)</f>
        <v>792</v>
      </c>
      <c r="D15" s="160">
        <f>IFERROR(C15/$C$13,"-")</f>
        <v>0.37183098591549296</v>
      </c>
      <c r="E15" s="167">
        <f>IFERROR(INDEX(年齢階層×在院期間区分F2_65歳未満以上[#All],MATCH($AJ15,年齢階層×在院期間区分F2_65歳未満以上[[#All],[列1]],0),MATCH($AO$3,年齢階層×在院期間区分F2_65歳未満以上[#Headers],0)),0)+IFERROR(INDEX(年齢階層×在院期間区分F2_65歳未満以上[#All],MATCH($AJ15,年齢階層×在院期間区分F2_65歳未満以上[[#All],[列1]],0),MATCH($AP$3,年齢階層×在院期間区分F2_65歳未満以上[#Headers],0)),0)+IFERROR(INDEX(年齢階層×在院期間区分F2_65歳未満以上[#All],MATCH($AJ15,年齢階層×在院期間区分F2_65歳未満以上[[#All],[列1]],0),MATCH($AQ$3,年齢階層×在院期間区分F2_65歳未満以上[#Headers],0)),0)+IFERROR(INDEX(年齢階層×在院期間区分F2_65歳未満以上[#All],MATCH($AJ15,年齢階層×在院期間区分F2_65歳未満以上[[#All],[列1]],0),MATCH($AR$3,年齢階層×在院期間区分F2_65歳未満以上[#Headers],0)),0)+IFERROR(INDEX(年齢階層×在院期間区分F2_65歳未満以上[#All],MATCH($AJ15,年齢階層×在院期間区分F2_65歳未満以上[[#All],[列1]],0),MATCH($AS$3,年齢階層×在院期間区分F2_65歳未満以上[#Headers],0)),0)</f>
        <v>840</v>
      </c>
      <c r="F15" s="160">
        <f>IFERROR(E15/$E$13,"-")</f>
        <v>0.51597051597051602</v>
      </c>
      <c r="G15" s="167">
        <f>IFERROR(INDEX(年齢階層×在院期間区分F2_65歳未満以上[#All],MATCH($AJ15,年齢階層×在院期間区分F2_65歳未満以上[[#All],[列1]],0),MATCH($AT$3,年齢階層×在院期間区分F2_65歳未満以上[#Headers],0)),0)+IFERROR(INDEX(年齢階層×在院期間区分F2_65歳未満以上[#All],MATCH($AJ15,年齢階層×在院期間区分F2_65歳未満以上[[#All],[列1]],0),MATCH($AU$3,年齢階層×在院期間区分F2_65歳未満以上[#Headers],0)),0)+IFERROR(INDEX(年齢階層×在院期間区分F2_65歳未満以上[#All],MATCH($AJ15,年齢階層×在院期間区分F2_65歳未満以上[[#All],[列1]],0),MATCH($AV$3,年齢階層×在院期間区分F2_65歳未満以上[#Headers],0)),0)+IFERROR(INDEX(年齢階層×在院期間区分F2_65歳未満以上[#All],MATCH($AJ15,年齢階層×在院期間区分F2_65歳未満以上[[#All],[列1]],0),MATCH($AW$3,年齢階層×在院期間区分F2_65歳未満以上[#Headers],0)),0)+IFERROR(INDEX(年齢階層×在院期間区分F2_65歳未満以上[#All],MATCH($AJ15,年齢階層×在院期間区分F2_65歳未満以上[[#All],[列1]],0),MATCH($AX$3,年齢階層×在院期間区分F2_65歳未満以上[#Headers],0)),0)</f>
        <v>543</v>
      </c>
      <c r="H15" s="160">
        <f>IFERROR(G15/$G$13,"-")</f>
        <v>0.49274047186932851</v>
      </c>
      <c r="I15" s="167">
        <f>IFERROR(INDEX(年齢階層×在院期間区分F2_65歳未満以上[#All],MATCH($AJ15,年齢階層×在院期間区分F2_65歳未満以上[[#All],[列1]],0),MATCH($AY$3,年齢階層×在院期間区分F2_65歳未満以上[#Headers],0)),0)+IFERROR(INDEX(年齢階層×在院期間区分F2_65歳未満以上[#All],MATCH($AJ15,年齢階層×在院期間区分F2_65歳未満以上[[#All],[列1]],0),MATCH($AZ$3,年齢階層×在院期間区分F2_65歳未満以上[#Headers],0)),0)</f>
        <v>863</v>
      </c>
      <c r="J15" s="160">
        <f>IFERROR(I15/$I$13,"-")</f>
        <v>0.54242614707730985</v>
      </c>
      <c r="K15" s="167">
        <f>C15+E15+G15+I15</f>
        <v>3038</v>
      </c>
      <c r="L15" s="160">
        <f>IFERROR(K15/$K$13,"-")</f>
        <v>0.47093473880018599</v>
      </c>
      <c r="R15" s="55" t="s">
        <v>285</v>
      </c>
      <c r="S15" s="384">
        <v>179</v>
      </c>
      <c r="T15" s="793">
        <v>209</v>
      </c>
      <c r="U15" s="384">
        <v>172</v>
      </c>
      <c r="V15" s="384">
        <v>232</v>
      </c>
      <c r="W15" s="384">
        <v>164</v>
      </c>
      <c r="X15" s="384">
        <v>131</v>
      </c>
      <c r="Y15" s="384">
        <v>232</v>
      </c>
      <c r="Z15" s="384">
        <v>156</v>
      </c>
      <c r="AA15" s="384">
        <v>157</v>
      </c>
      <c r="AB15" s="384">
        <v>143</v>
      </c>
      <c r="AC15" s="384">
        <v>112</v>
      </c>
      <c r="AD15" s="384">
        <v>123</v>
      </c>
      <c r="AE15" s="384">
        <v>90</v>
      </c>
      <c r="AF15" s="384">
        <v>75</v>
      </c>
      <c r="AG15" s="384">
        <v>457</v>
      </c>
      <c r="AH15" s="792">
        <v>406</v>
      </c>
      <c r="AJ15" s="55" t="s">
        <v>81</v>
      </c>
    </row>
    <row r="16" spans="2:52" ht="18.75" customHeight="1" x14ac:dyDescent="0.2">
      <c r="B16" s="676"/>
      <c r="C16" s="676"/>
      <c r="D16" s="676"/>
      <c r="E16" s="676"/>
      <c r="F16" s="676"/>
      <c r="G16" s="676"/>
      <c r="H16" s="676"/>
      <c r="I16" s="676"/>
      <c r="J16" s="676"/>
      <c r="K16" s="676"/>
      <c r="L16" s="676"/>
      <c r="R16" s="55"/>
      <c r="S16" s="8"/>
      <c r="T16" s="8"/>
      <c r="U16" s="8"/>
      <c r="V16" s="8"/>
      <c r="W16" s="8"/>
      <c r="X16" s="8"/>
      <c r="Y16" s="8"/>
      <c r="Z16" s="8"/>
      <c r="AA16" s="8"/>
      <c r="AB16" s="8"/>
      <c r="AC16" s="8"/>
      <c r="AD16" s="8"/>
      <c r="AE16" s="8"/>
      <c r="AF16" s="8"/>
      <c r="AG16" s="8"/>
      <c r="AH16" s="8"/>
      <c r="AJ16" s="1"/>
      <c r="AK16" s="1"/>
      <c r="AL16" s="1"/>
    </row>
    <row r="17" spans="2:40" ht="18.75" customHeight="1" x14ac:dyDescent="0.2">
      <c r="B17" s="2" t="s">
        <v>481</v>
      </c>
      <c r="C17" s="676"/>
      <c r="D17" s="676"/>
      <c r="E17" s="676"/>
      <c r="F17" s="676"/>
      <c r="G17" s="676"/>
      <c r="H17" s="676"/>
      <c r="I17" s="676"/>
      <c r="J17" s="676"/>
      <c r="K17" s="676"/>
      <c r="L17" s="676"/>
      <c r="R17" s="55"/>
      <c r="S17" s="8"/>
      <c r="T17" s="8"/>
      <c r="U17" s="8"/>
      <c r="V17" s="8"/>
      <c r="W17" s="8"/>
      <c r="X17" s="8"/>
      <c r="Y17" s="8"/>
      <c r="Z17" s="8"/>
      <c r="AA17" s="8"/>
      <c r="AB17" s="8"/>
      <c r="AC17" s="8"/>
      <c r="AD17" s="8"/>
      <c r="AE17" s="8"/>
      <c r="AF17" s="8"/>
      <c r="AG17" s="8"/>
      <c r="AH17" s="8"/>
      <c r="AJ17" s="1"/>
      <c r="AK17" s="1"/>
      <c r="AL17" s="1"/>
    </row>
    <row r="18" spans="2:40" ht="18.75" customHeight="1" thickBot="1" x14ac:dyDescent="0.25">
      <c r="B18" s="1055" t="s">
        <v>64</v>
      </c>
      <c r="C18" s="1057" t="s">
        <v>63</v>
      </c>
      <c r="D18" s="1058"/>
      <c r="E18" s="1058"/>
      <c r="F18" s="1058"/>
      <c r="G18" s="1058"/>
      <c r="H18" s="1058"/>
      <c r="I18" s="1058"/>
      <c r="J18" s="1058"/>
      <c r="K18" s="1058"/>
      <c r="L18" s="1059"/>
      <c r="R18" s="770" t="s">
        <v>470</v>
      </c>
      <c r="S18" s="8"/>
      <c r="T18" s="8"/>
      <c r="U18" s="8"/>
      <c r="V18" s="8"/>
      <c r="W18" s="8"/>
      <c r="X18" s="8"/>
      <c r="Y18" s="8"/>
      <c r="Z18" s="8"/>
      <c r="AA18" s="8"/>
      <c r="AB18" s="8"/>
      <c r="AC18" s="8"/>
      <c r="AD18" s="8"/>
      <c r="AE18" s="8"/>
      <c r="AF18" s="8"/>
      <c r="AG18" s="8"/>
      <c r="AH18" s="8"/>
      <c r="AJ18" s="1"/>
      <c r="AK18" s="1"/>
      <c r="AL18" s="1"/>
    </row>
    <row r="19" spans="2:40" ht="18.75" customHeight="1" thickTop="1" thickBot="1" x14ac:dyDescent="0.25">
      <c r="B19" s="1056"/>
      <c r="C19" s="1060" t="s">
        <v>68</v>
      </c>
      <c r="D19" s="1061"/>
      <c r="E19" s="1060" t="s">
        <v>69</v>
      </c>
      <c r="F19" s="1061"/>
      <c r="G19" s="1060" t="s">
        <v>70</v>
      </c>
      <c r="H19" s="1061"/>
      <c r="I19" s="1060" t="s">
        <v>71</v>
      </c>
      <c r="J19" s="1061"/>
      <c r="K19" s="1060" t="s">
        <v>61</v>
      </c>
      <c r="L19" s="1061"/>
      <c r="R19" s="798" t="s">
        <v>655</v>
      </c>
      <c r="S19" s="794" t="s">
        <v>677</v>
      </c>
      <c r="T19" s="771" t="s">
        <v>678</v>
      </c>
      <c r="U19" s="771" t="s">
        <v>679</v>
      </c>
      <c r="V19" s="771" t="s">
        <v>680</v>
      </c>
      <c r="W19" s="771" t="s">
        <v>681</v>
      </c>
      <c r="X19" s="771" t="s">
        <v>682</v>
      </c>
      <c r="Y19" s="771" t="s">
        <v>683</v>
      </c>
      <c r="Z19" s="771" t="s">
        <v>340</v>
      </c>
      <c r="AA19" s="771" t="s">
        <v>684</v>
      </c>
      <c r="AB19" s="771" t="s">
        <v>685</v>
      </c>
      <c r="AC19" s="771" t="s">
        <v>686</v>
      </c>
      <c r="AD19" s="771" t="s">
        <v>687</v>
      </c>
      <c r="AE19" s="771" t="s">
        <v>688</v>
      </c>
      <c r="AF19" s="771" t="s">
        <v>689</v>
      </c>
      <c r="AG19" s="771" t="s">
        <v>690</v>
      </c>
      <c r="AH19" s="56" t="s">
        <v>691</v>
      </c>
      <c r="AJ19" s="1"/>
      <c r="AK19" s="1"/>
      <c r="AL19" s="1"/>
    </row>
    <row r="20" spans="2:40" s="16" customFormat="1" ht="18.75" customHeight="1" thickTop="1" x14ac:dyDescent="0.2">
      <c r="B20" s="147" t="s">
        <v>2</v>
      </c>
      <c r="C20" s="148">
        <f>IFERROR(INDEX(年齢階層×在院期間区分F2＿寛解・院内寛解[#All],MATCH($AJ4,年齢階層×在院期間区分F2＿寛解・院内寛解[[#All],[行ラベル]],0),MATCH($AK$3,年齢階層×在院期間区分F2＿寛解・院内寛解[#Headers],0)),0)+IFERROR(INDEX(年齢階層×在院期間区分F2＿寛解・院内寛解[#All],MATCH($AJ4,年齢階層×在院期間区分F2＿寛解・院内寛解[[#All],[行ラベル]],0),MATCH($AL$3,年齢階層×在院期間区分F2＿寛解・院内寛解[#Headers],0)),0)+IFERROR(INDEX(年齢階層×在院期間区分F2＿寛解・院内寛解[#All],MATCH($AJ4,年齢階層×在院期間区分F2＿寛解・院内寛解[[#All],[行ラベル]],0),MATCH($AM$3,年齢階層×在院期間区分F2＿寛解・院内寛解[#Headers],0)),0)+IFERROR(INDEX(年齢階層×在院期間区分F2＿寛解・院内寛解[#All],MATCH($AJ4,年齢階層×在院期間区分F2＿寛解・院内寛解[[#All],[行ラベル]],0),MATCH($AN$3,年齢階層×在院期間区分F2＿寛解・院内寛解[#Headers],0)),0)</f>
        <v>2</v>
      </c>
      <c r="D20" s="161">
        <f t="shared" ref="D20:D28" si="7">IFERROR(C20/$C$29,"-")</f>
        <v>5.0632911392405064E-3</v>
      </c>
      <c r="E20" s="148">
        <f>IFERROR(INDEX(年齢階層×在院期間区分F2＿寛解・院内寛解[#All],MATCH($AJ4,年齢階層×在院期間区分F2＿寛解・院内寛解[[#All],[行ラベル]],0),MATCH($AO$3,年齢階層×在院期間区分F2＿寛解・院内寛解[#Headers],0)),0)+IFERROR(INDEX(年齢階層×在院期間区分F2＿寛解・院内寛解[#All],MATCH($AJ4,年齢階層×在院期間区分F2＿寛解・院内寛解[[#All],[行ラベル]],0),MATCH($AP$3,年齢階層×在院期間区分F2＿寛解・院内寛解[#Headers],0)),0)+IFERROR(INDEX(年齢階層×在院期間区分F2＿寛解・院内寛解[#All],MATCH($AJ4,年齢階層×在院期間区分F2＿寛解・院内寛解[[#All],[行ラベル]],0),MATCH($AQ$3,年齢階層×在院期間区分F2＿寛解・院内寛解[#Headers],0)),0)+IFERROR(INDEX(年齢階層×在院期間区分F2＿寛解・院内寛解[#All],MATCH($AJ4,年齢階層×在院期間区分F2＿寛解・院内寛解[[#All],[行ラベル]],0),MATCH($AR$3,年齢階層×在院期間区分F2＿寛解・院内寛解[#Headers],0)),0)+IFERROR(INDEX(年齢階層×在院期間区分F2＿寛解・院内寛解[#All],MATCH($AJ4,年齢階層×在院期間区分F2＿寛解・院内寛解[[#All],[行ラベル]],0),MATCH($AS$3,年齢階層×在院期間区分F2＿寛解・院内寛解[#Headers],0)),0)</f>
        <v>0</v>
      </c>
      <c r="F20" s="161">
        <f t="shared" ref="F20:F28" si="8">IFERROR(E20/$E$29,"-")</f>
        <v>0</v>
      </c>
      <c r="G20" s="142">
        <f>IFERROR(INDEX(年齢階層×在院期間区分F2＿寛解・院内寛解[#All],MATCH($AJ4,年齢階層×在院期間区分F2＿寛解・院内寛解[[#All],[行ラベル]],0),MATCH($AT$3,年齢階層×在院期間区分F2＿寛解・院内寛解[#Headers],0)),0)+IFERROR(INDEX(年齢階層×在院期間区分F2＿寛解・院内寛解[#All],MATCH($AJ4,年齢階層×在院期間区分F2＿寛解・院内寛解[[#All],[行ラベル]],0),MATCH($AU$3,年齢階層×在院期間区分F2＿寛解・院内寛解[#Headers],0)),0)+IFERROR(INDEX(年齢階層×在院期間区分F2＿寛解・院内寛解[#All],MATCH($AJ4,年齢階層×在院期間区分F2＿寛解・院内寛解[[#All],[行ラベル]],0),MATCH($AV$3,年齢階層×在院期間区分F2＿寛解・院内寛解[#Headers],0)),0)+IFERROR(INDEX(年齢階層×在院期間区分F2＿寛解・院内寛解[#All],MATCH($AJ4,年齢階層×在院期間区分F2＿寛解・院内寛解[[#All],[行ラベル]],0),MATCH($AW$3,年齢階層×在院期間区分F2＿寛解・院内寛解[#Headers],0)),0)+IFERROR(INDEX(年齢階層×在院期間区分F2＿寛解・院内寛解[#All],MATCH($AJ4,年齢階層×在院期間区分F2＿寛解・院内寛解[[#All],[行ラベル]],0),MATCH($AX$3,年齢階層×在院期間区分F2＿寛解・院内寛解[#Headers],0)),0)</f>
        <v>0</v>
      </c>
      <c r="H20" s="161">
        <f t="shared" ref="H20:H28" si="9">IFERROR(G20/$G$29,"-")</f>
        <v>0</v>
      </c>
      <c r="I20" s="148">
        <f>IFERROR(INDEX(年齢階層×在院期間区分F2＿寛解・院内寛解[#All],MATCH($AJ4,年齢階層×在院期間区分F2＿寛解・院内寛解[[#All],[行ラベル]],0),MATCH($AY$3,年齢階層×在院期間区分F2＿寛解・院内寛解[#Headers],0)),0)+IFERROR(INDEX(年齢階層×在院期間区分F2＿寛解・院内寛解[#All],MATCH($AJ4,年齢階層×在院期間区分F2＿寛解・院内寛解[[#All],[行ラベル]],0),MATCH($AZ$3,年齢階層×在院期間区分F2＿寛解・院内寛解[#Headers],0)),0)</f>
        <v>0</v>
      </c>
      <c r="J20" s="161">
        <f t="shared" ref="J20:J28" si="10">IFERROR(I20/$I$29,"-")</f>
        <v>0</v>
      </c>
      <c r="K20" s="142">
        <f t="shared" ref="K20:K28" si="11">SUM(C20,E20,G20,I20)</f>
        <v>2</v>
      </c>
      <c r="L20" s="161">
        <f t="shared" ref="L20:L28" si="12">IFERROR(K20/$K$29,"-")</f>
        <v>2.8328611898016999E-3</v>
      </c>
      <c r="R20" s="55" t="s">
        <v>2</v>
      </c>
      <c r="S20" s="49">
        <v>1</v>
      </c>
      <c r="T20" s="49">
        <v>1</v>
      </c>
      <c r="U20" s="49">
        <v>0</v>
      </c>
      <c r="V20" s="49">
        <v>0</v>
      </c>
      <c r="W20" s="49">
        <v>0</v>
      </c>
      <c r="X20" s="49">
        <v>0</v>
      </c>
      <c r="Y20" s="49">
        <v>0</v>
      </c>
      <c r="Z20" s="49">
        <v>0</v>
      </c>
      <c r="AA20" s="49">
        <v>0</v>
      </c>
      <c r="AB20" s="49">
        <v>0</v>
      </c>
      <c r="AC20" s="49">
        <v>0</v>
      </c>
      <c r="AD20" s="49">
        <v>0</v>
      </c>
      <c r="AE20" s="49">
        <v>0</v>
      </c>
      <c r="AF20" s="49">
        <v>0</v>
      </c>
      <c r="AG20" s="49">
        <v>0</v>
      </c>
      <c r="AH20" s="342">
        <v>0</v>
      </c>
      <c r="AJ20" s="41" t="s">
        <v>2</v>
      </c>
    </row>
    <row r="21" spans="2:40" s="16" customFormat="1" ht="18.75" customHeight="1" x14ac:dyDescent="0.2">
      <c r="B21" s="149" t="s">
        <v>3</v>
      </c>
      <c r="C21" s="150">
        <f>IFERROR(INDEX(年齢階層×在院期間区分F2＿寛解・院内寛解[#All],MATCH($AJ5,年齢階層×在院期間区分F2＿寛解・院内寛解[[#All],[行ラベル]],0),MATCH($AK$3,年齢階層×在院期間区分F2＿寛解・院内寛解[#Headers],0)),0)+IFERROR(INDEX(年齢階層×在院期間区分F2＿寛解・院内寛解[#All],MATCH($AJ5,年齢階層×在院期間区分F2＿寛解・院内寛解[[#All],[行ラベル]],0),MATCH($AL$3,年齢階層×在院期間区分F2＿寛解・院内寛解[#Headers],0)),0)+IFERROR(INDEX(年齢階層×在院期間区分F2＿寛解・院内寛解[#All],MATCH($AJ5,年齢階層×在院期間区分F2＿寛解・院内寛解[[#All],[行ラベル]],0),MATCH($AM$3,年齢階層×在院期間区分F2＿寛解・院内寛解[#Headers],0)),0)+IFERROR(INDEX(年齢階層×在院期間区分F2＿寛解・院内寛解[#All],MATCH($AJ5,年齢階層×在院期間区分F2＿寛解・院内寛解[[#All],[行ラベル]],0),MATCH($AN$3,年齢階層×在院期間区分F2＿寛解・院内寛解[#Headers],0)),0)</f>
        <v>15</v>
      </c>
      <c r="D21" s="128">
        <f t="shared" si="7"/>
        <v>3.7974683544303799E-2</v>
      </c>
      <c r="E21" s="150">
        <f>IFERROR(INDEX(年齢階層×在院期間区分F2＿寛解・院内寛解[#All],MATCH($AJ5,年齢階層×在院期間区分F2＿寛解・院内寛解[[#All],[行ラベル]],0),MATCH($AO$3,年齢階層×在院期間区分F2＿寛解・院内寛解[#Headers],0)),0)+IFERROR(INDEX(年齢階層×在院期間区分F2＿寛解・院内寛解[#All],MATCH($AJ5,年齢階層×在院期間区分F2＿寛解・院内寛解[[#All],[行ラベル]],0),MATCH($AP$3,年齢階層×在院期間区分F2＿寛解・院内寛解[#Headers],0)),0)+IFERROR(INDEX(年齢階層×在院期間区分F2＿寛解・院内寛解[#All],MATCH($AJ5,年齢階層×在院期間区分F2＿寛解・院内寛解[[#All],[行ラベル]],0),MATCH($AQ$3,年齢階層×在院期間区分F2＿寛解・院内寛解[#Headers],0)),0)+IFERROR(INDEX(年齢階層×在院期間区分F2＿寛解・院内寛解[#All],MATCH($AJ5,年齢階層×在院期間区分F2＿寛解・院内寛解[[#All],[行ラベル]],0),MATCH($AR$3,年齢階層×在院期間区分F2＿寛解・院内寛解[#Headers],0)),0)+IFERROR(INDEX(年齢階層×在院期間区分F2＿寛解・院内寛解[#All],MATCH($AJ5,年齢階層×在院期間区分F2＿寛解・院内寛解[[#All],[行ラベル]],0),MATCH($AS$3,年齢階層×在院期間区分F2＿寛解・院内寛解[#Headers],0)),0)</f>
        <v>1</v>
      </c>
      <c r="F21" s="128">
        <f t="shared" si="8"/>
        <v>7.575757575757576E-3</v>
      </c>
      <c r="G21" s="127">
        <f>IFERROR(INDEX(年齢階層×在院期間区分F2＿寛解・院内寛解[#All],MATCH($AJ5,年齢階層×在院期間区分F2＿寛解・院内寛解[[#All],[行ラベル]],0),MATCH($AT$3,年齢階層×在院期間区分F2＿寛解・院内寛解[#Headers],0)),0)+IFERROR(INDEX(年齢階層×在院期間区分F2＿寛解・院内寛解[#All],MATCH($AJ5,年齢階層×在院期間区分F2＿寛解・院内寛解[[#All],[行ラベル]],0),MATCH($AU$3,年齢階層×在院期間区分F2＿寛解・院内寛解[#Headers],0)),0)+IFERROR(INDEX(年齢階層×在院期間区分F2＿寛解・院内寛解[#All],MATCH($AJ5,年齢階層×在院期間区分F2＿寛解・院内寛解[[#All],[行ラベル]],0),MATCH($AV$3,年齢階層×在院期間区分F2＿寛解・院内寛解[#Headers],0)),0)+IFERROR(INDEX(年齢階層×在院期間区分F2＿寛解・院内寛解[#All],MATCH($AJ5,年齢階層×在院期間区分F2＿寛解・院内寛解[[#All],[行ラベル]],0),MATCH($AW$3,年齢階層×在院期間区分F2＿寛解・院内寛解[#Headers],0)),0)+IFERROR(INDEX(年齢階層×在院期間区分F2＿寛解・院内寛解[#All],MATCH($AJ5,年齢階層×在院期間区分F2＿寛解・院内寛解[[#All],[行ラベル]],0),MATCH($AX$3,年齢階層×在院期間区分F2＿寛解・院内寛解[#Headers],0)),0)</f>
        <v>0</v>
      </c>
      <c r="H21" s="128">
        <f t="shared" si="9"/>
        <v>0</v>
      </c>
      <c r="I21" s="150">
        <f>IFERROR(INDEX(年齢階層×在院期間区分F2＿寛解・院内寛解[#All],MATCH($AJ5,年齢階層×在院期間区分F2＿寛解・院内寛解[[#All],[行ラベル]],0),MATCH($AY$3,年齢階層×在院期間区分F2＿寛解・院内寛解[#Headers],0)),0)+IFERROR(INDEX(年齢階層×在院期間区分F2＿寛解・院内寛解[#All],MATCH($AJ5,年齢階層×在院期間区分F2＿寛解・院内寛解[[#All],[行ラベル]],0),MATCH($AZ$3,年齢階層×在院期間区分F2＿寛解・院内寛解[#Headers],0)),0)</f>
        <v>0</v>
      </c>
      <c r="J21" s="128">
        <f t="shared" si="10"/>
        <v>0</v>
      </c>
      <c r="K21" s="127">
        <f t="shared" si="11"/>
        <v>16</v>
      </c>
      <c r="L21" s="128">
        <f t="shared" si="12"/>
        <v>2.2662889518413599E-2</v>
      </c>
      <c r="R21" s="55" t="s">
        <v>3</v>
      </c>
      <c r="S21" s="49">
        <v>5</v>
      </c>
      <c r="T21" s="49">
        <v>4</v>
      </c>
      <c r="U21" s="49">
        <v>2</v>
      </c>
      <c r="V21" s="49">
        <v>4</v>
      </c>
      <c r="W21" s="49">
        <v>0</v>
      </c>
      <c r="X21" s="49">
        <v>1</v>
      </c>
      <c r="Y21" s="49">
        <v>0</v>
      </c>
      <c r="Z21" s="49">
        <v>0</v>
      </c>
      <c r="AA21" s="49">
        <v>0</v>
      </c>
      <c r="AB21" s="49">
        <v>0</v>
      </c>
      <c r="AC21" s="49">
        <v>0</v>
      </c>
      <c r="AD21" s="49">
        <v>0</v>
      </c>
      <c r="AE21" s="49">
        <v>0</v>
      </c>
      <c r="AF21" s="49">
        <v>0</v>
      </c>
      <c r="AG21" s="49">
        <v>0</v>
      </c>
      <c r="AH21" s="342">
        <v>0</v>
      </c>
      <c r="AJ21" s="41" t="s">
        <v>3</v>
      </c>
    </row>
    <row r="22" spans="2:40" s="16" customFormat="1" ht="18.75" customHeight="1" x14ac:dyDescent="0.2">
      <c r="B22" s="149" t="s">
        <v>4</v>
      </c>
      <c r="C22" s="127">
        <f>IFERROR(INDEX(年齢階層×在院期間区分F2＿寛解・院内寛解[#All],MATCH($AJ6,年齢階層×在院期間区分F2＿寛解・院内寛解[[#All],[行ラベル]],0),MATCH($AK$3,年齢階層×在院期間区分F2＿寛解・院内寛解[#Headers],0)),0)+IFERROR(INDEX(年齢階層×在院期間区分F2＿寛解・院内寛解[#All],MATCH($AJ6,年齢階層×在院期間区分F2＿寛解・院内寛解[[#All],[行ラベル]],0),MATCH($AL$3,年齢階層×在院期間区分F2＿寛解・院内寛解[#Headers],0)),0)+IFERROR(INDEX(年齢階層×在院期間区分F2＿寛解・院内寛解[#All],MATCH($AJ6,年齢階層×在院期間区分F2＿寛解・院内寛解[[#All],[行ラベル]],0),MATCH($AM$3,年齢階層×在院期間区分F2＿寛解・院内寛解[#Headers],0)),0)+IFERROR(INDEX(年齢階層×在院期間区分F2＿寛解・院内寛解[#All],MATCH($AJ6,年齢階層×在院期間区分F2＿寛解・院内寛解[[#All],[行ラベル]],0),MATCH($AN$3,年齢階層×在院期間区分F2＿寛解・院内寛解[#Headers],0)),0)</f>
        <v>37</v>
      </c>
      <c r="D22" s="128">
        <f t="shared" si="7"/>
        <v>9.3670886075949367E-2</v>
      </c>
      <c r="E22" s="150">
        <f>IFERROR(INDEX(年齢階層×在院期間区分F2＿寛解・院内寛解[#All],MATCH($AJ6,年齢階層×在院期間区分F2＿寛解・院内寛解[[#All],[行ラベル]],0),MATCH($AO$3,年齢階層×在院期間区分F2＿寛解・院内寛解[#Headers],0)),0)+IFERROR(INDEX(年齢階層×在院期間区分F2＿寛解・院内寛解[#All],MATCH($AJ6,年齢階層×在院期間区分F2＿寛解・院内寛解[[#All],[行ラベル]],0),MATCH($AP$3,年齢階層×在院期間区分F2＿寛解・院内寛解[#Headers],0)),0)+IFERROR(INDEX(年齢階層×在院期間区分F2＿寛解・院内寛解[#All],MATCH($AJ6,年齢階層×在院期間区分F2＿寛解・院内寛解[[#All],[行ラベル]],0),MATCH($AQ$3,年齢階層×在院期間区分F2＿寛解・院内寛解[#Headers],0)),0)+IFERROR(INDEX(年齢階層×在院期間区分F2＿寛解・院内寛解[#All],MATCH($AJ6,年齢階層×在院期間区分F2＿寛解・院内寛解[[#All],[行ラベル]],0),MATCH($AR$3,年齢階層×在院期間区分F2＿寛解・院内寛解[#Headers],0)),0)+IFERROR(INDEX(年齢階層×在院期間区分F2＿寛解・院内寛解[#All],MATCH($AJ6,年齢階層×在院期間区分F2＿寛解・院内寛解[[#All],[行ラベル]],0),MATCH($AS$3,年齢階層×在院期間区分F2＿寛解・院内寛解[#Headers],0)),0)</f>
        <v>6</v>
      </c>
      <c r="F22" s="128">
        <f t="shared" si="8"/>
        <v>4.5454545454545456E-2</v>
      </c>
      <c r="G22" s="151">
        <f>IFERROR(INDEX(年齢階層×在院期間区分F2＿寛解・院内寛解[#All],MATCH($AJ6,年齢階層×在院期間区分F2＿寛解・院内寛解[[#All],[行ラベル]],0),MATCH($AT$3,年齢階層×在院期間区分F2＿寛解・院内寛解[#Headers],0)),0)+IFERROR(INDEX(年齢階層×在院期間区分F2＿寛解・院内寛解[#All],MATCH($AJ6,年齢階層×在院期間区分F2＿寛解・院内寛解[[#All],[行ラベル]],0),MATCH($AU$3,年齢階層×在院期間区分F2＿寛解・院内寛解[#Headers],0)),0)+IFERROR(INDEX(年齢階層×在院期間区分F2＿寛解・院内寛解[#All],MATCH($AJ6,年齢階層×在院期間区分F2＿寛解・院内寛解[[#All],[行ラベル]],0),MATCH($AV$3,年齢階層×在院期間区分F2＿寛解・院内寛解[#Headers],0)),0)+IFERROR(INDEX(年齢階層×在院期間区分F2＿寛解・院内寛解[#All],MATCH($AJ6,年齢階層×在院期間区分F2＿寛解・院内寛解[[#All],[行ラベル]],0),MATCH($AW$3,年齢階層×在院期間区分F2＿寛解・院内寛解[#Headers],0)),0)+IFERROR(INDEX(年齢階層×在院期間区分F2＿寛解・院内寛解[#All],MATCH($AJ6,年齢階層×在院期間区分F2＿寛解・院内寛解[[#All],[行ラベル]],0),MATCH($AX$3,年齢階層×在院期間区分F2＿寛解・院内寛解[#Headers],0)),0)</f>
        <v>5</v>
      </c>
      <c r="H22" s="128">
        <f t="shared" si="9"/>
        <v>6.3291139240506333E-2</v>
      </c>
      <c r="I22" s="127">
        <f>IFERROR(INDEX(年齢階層×在院期間区分F2＿寛解・院内寛解[#All],MATCH($AJ6,年齢階層×在院期間区分F2＿寛解・院内寛解[[#All],[行ラベル]],0),MATCH($AY$3,年齢階層×在院期間区分F2＿寛解・院内寛解[#Headers],0)),0)+IFERROR(INDEX(年齢階層×在院期間区分F2＿寛解・院内寛解[#All],MATCH($AJ6,年齢階層×在院期間区分F2＿寛解・院内寛解[[#All],[行ラベル]],0),MATCH($AZ$3,年齢階層×在院期間区分F2＿寛解・院内寛解[#Headers],0)),0)</f>
        <v>1</v>
      </c>
      <c r="J22" s="128">
        <f t="shared" si="10"/>
        <v>0.01</v>
      </c>
      <c r="K22" s="127">
        <f t="shared" si="11"/>
        <v>49</v>
      </c>
      <c r="L22" s="128">
        <f t="shared" si="12"/>
        <v>6.9405099150141647E-2</v>
      </c>
      <c r="R22" s="55" t="s">
        <v>4</v>
      </c>
      <c r="S22" s="49">
        <v>10</v>
      </c>
      <c r="T22" s="49">
        <v>19</v>
      </c>
      <c r="U22" s="49">
        <v>6</v>
      </c>
      <c r="V22" s="49">
        <v>2</v>
      </c>
      <c r="W22" s="49">
        <v>1</v>
      </c>
      <c r="X22" s="49">
        <v>0</v>
      </c>
      <c r="Y22" s="49">
        <v>3</v>
      </c>
      <c r="Z22" s="49">
        <v>0</v>
      </c>
      <c r="AA22" s="49">
        <v>2</v>
      </c>
      <c r="AB22" s="49">
        <v>4</v>
      </c>
      <c r="AC22" s="49">
        <v>1</v>
      </c>
      <c r="AD22" s="49">
        <v>0</v>
      </c>
      <c r="AE22" s="49">
        <v>0</v>
      </c>
      <c r="AF22" s="49">
        <v>0</v>
      </c>
      <c r="AG22" s="49">
        <v>1</v>
      </c>
      <c r="AH22" s="342">
        <v>0</v>
      </c>
      <c r="AJ22" s="41" t="s">
        <v>4</v>
      </c>
    </row>
    <row r="23" spans="2:40" s="16" customFormat="1" ht="18.75" customHeight="1" x14ac:dyDescent="0.2">
      <c r="B23" s="149" t="s">
        <v>5</v>
      </c>
      <c r="C23" s="127">
        <f>IFERROR(INDEX(年齢階層×在院期間区分F2＿寛解・院内寛解[#All],MATCH($AJ7,年齢階層×在院期間区分F2＿寛解・院内寛解[[#All],[行ラベル]],0),MATCH($AK$3,年齢階層×在院期間区分F2＿寛解・院内寛解[#Headers],0)),0)+IFERROR(INDEX(年齢階層×在院期間区分F2＿寛解・院内寛解[#All],MATCH($AJ7,年齢階層×在院期間区分F2＿寛解・院内寛解[[#All],[行ラベル]],0),MATCH($AL$3,年齢階層×在院期間区分F2＿寛解・院内寛解[#Headers],0)),0)+IFERROR(INDEX(年齢階層×在院期間区分F2＿寛解・院内寛解[#All],MATCH($AJ7,年齢階層×在院期間区分F2＿寛解・院内寛解[[#All],[行ラベル]],0),MATCH($AM$3,年齢階層×在院期間区分F2＿寛解・院内寛解[#Headers],0)),0)+IFERROR(INDEX(年齢階層×在院期間区分F2＿寛解・院内寛解[#All],MATCH($AJ7,年齢階層×在院期間区分F2＿寛解・院内寛解[[#All],[行ラベル]],0),MATCH($AN$3,年齢階層×在院期間区分F2＿寛解・院内寛解[#Headers],0)),0)</f>
        <v>61</v>
      </c>
      <c r="D23" s="128">
        <f t="shared" si="7"/>
        <v>0.15443037974683543</v>
      </c>
      <c r="E23" s="127">
        <f>IFERROR(INDEX(年齢階層×在院期間区分F2＿寛解・院内寛解[#All],MATCH($AJ7,年齢階層×在院期間区分F2＿寛解・院内寛解[[#All],[行ラベル]],0),MATCH($AO$3,年齢階層×在院期間区分F2＿寛解・院内寛解[#Headers],0)),0)+IFERROR(INDEX(年齢階層×在院期間区分F2＿寛解・院内寛解[#All],MATCH($AJ7,年齢階層×在院期間区分F2＿寛解・院内寛解[[#All],[行ラベル]],0),MATCH($AP$3,年齢階層×在院期間区分F2＿寛解・院内寛解[#Headers],0)),0)+IFERROR(INDEX(年齢階層×在院期間区分F2＿寛解・院内寛解[#All],MATCH($AJ7,年齢階層×在院期間区分F2＿寛解・院内寛解[[#All],[行ラベル]],0),MATCH($AQ$3,年齢階層×在院期間区分F2＿寛解・院内寛解[#Headers],0)),0)+IFERROR(INDEX(年齢階層×在院期間区分F2＿寛解・院内寛解[#All],MATCH($AJ7,年齢階層×在院期間区分F2＿寛解・院内寛解[[#All],[行ラベル]],0),MATCH($AR$3,年齢階層×在院期間区分F2＿寛解・院内寛解[#Headers],0)),0)+IFERROR(INDEX(年齢階層×在院期間区分F2＿寛解・院内寛解[#All],MATCH($AJ7,年齢階層×在院期間区分F2＿寛解・院内寛解[[#All],[行ラベル]],0),MATCH($AS$3,年齢階層×在院期間区分F2＿寛解・院内寛解[#Headers],0)),0)</f>
        <v>12</v>
      </c>
      <c r="F23" s="128">
        <f t="shared" si="8"/>
        <v>9.0909090909090912E-2</v>
      </c>
      <c r="G23" s="127">
        <f>IFERROR(INDEX(年齢階層×在院期間区分F2＿寛解・院内寛解[#All],MATCH($AJ7,年齢階層×在院期間区分F2＿寛解・院内寛解[[#All],[行ラベル]],0),MATCH($AT$3,年齢階層×在院期間区分F2＿寛解・院内寛解[#Headers],0)),0)+IFERROR(INDEX(年齢階層×在院期間区分F2＿寛解・院内寛解[#All],MATCH($AJ7,年齢階層×在院期間区分F2＿寛解・院内寛解[[#All],[行ラベル]],0),MATCH($AU$3,年齢階層×在院期間区分F2＿寛解・院内寛解[#Headers],0)),0)+IFERROR(INDEX(年齢階層×在院期間区分F2＿寛解・院内寛解[#All],MATCH($AJ7,年齢階層×在院期間区分F2＿寛解・院内寛解[[#All],[行ラベル]],0),MATCH($AV$3,年齢階層×在院期間区分F2＿寛解・院内寛解[#Headers],0)),0)+IFERROR(INDEX(年齢階層×在院期間区分F2＿寛解・院内寛解[#All],MATCH($AJ7,年齢階層×在院期間区分F2＿寛解・院内寛解[[#All],[行ラベル]],0),MATCH($AW$3,年齢階層×在院期間区分F2＿寛解・院内寛解[#Headers],0)),0)+IFERROR(INDEX(年齢階層×在院期間区分F2＿寛解・院内寛解[#All],MATCH($AJ7,年齢階層×在院期間区分F2＿寛解・院内寛解[[#All],[行ラベル]],0),MATCH($AX$3,年齢階層×在院期間区分F2＿寛解・院内寛解[#Headers],0)),0)</f>
        <v>9</v>
      </c>
      <c r="H23" s="128">
        <f t="shared" si="9"/>
        <v>0.11392405063291139</v>
      </c>
      <c r="I23" s="127">
        <f>IFERROR(INDEX(年齢階層×在院期間区分F2＿寛解・院内寛解[#All],MATCH($AJ7,年齢階層×在院期間区分F2＿寛解・院内寛解[[#All],[行ラベル]],0),MATCH($AY$3,年齢階層×在院期間区分F2＿寛解・院内寛解[#Headers],0)),0)+IFERROR(INDEX(年齢階層×在院期間区分F2＿寛解・院内寛解[#All],MATCH($AJ7,年齢階層×在院期間区分F2＿寛解・院内寛解[[#All],[行ラベル]],0),MATCH($AZ$3,年齢階層×在院期間区分F2＿寛解・院内寛解[#Headers],0)),0)</f>
        <v>4</v>
      </c>
      <c r="J23" s="128">
        <f t="shared" si="10"/>
        <v>0.04</v>
      </c>
      <c r="K23" s="127">
        <f t="shared" si="11"/>
        <v>86</v>
      </c>
      <c r="L23" s="128">
        <f t="shared" si="12"/>
        <v>0.12181303116147309</v>
      </c>
      <c r="R23" s="55" t="s">
        <v>5</v>
      </c>
      <c r="S23" s="49">
        <v>17</v>
      </c>
      <c r="T23" s="49">
        <v>29</v>
      </c>
      <c r="U23" s="49">
        <v>8</v>
      </c>
      <c r="V23" s="49">
        <v>7</v>
      </c>
      <c r="W23" s="49">
        <v>1</v>
      </c>
      <c r="X23" s="49">
        <v>4</v>
      </c>
      <c r="Y23" s="49">
        <v>4</v>
      </c>
      <c r="Z23" s="49">
        <v>1</v>
      </c>
      <c r="AA23" s="49">
        <v>2</v>
      </c>
      <c r="AB23" s="49">
        <v>3</v>
      </c>
      <c r="AC23" s="49">
        <v>1</v>
      </c>
      <c r="AD23" s="49">
        <v>3</v>
      </c>
      <c r="AE23" s="49">
        <v>0</v>
      </c>
      <c r="AF23" s="49">
        <v>2</v>
      </c>
      <c r="AG23" s="49">
        <v>4</v>
      </c>
      <c r="AH23" s="342">
        <v>0</v>
      </c>
      <c r="AJ23" s="41" t="s">
        <v>5</v>
      </c>
    </row>
    <row r="24" spans="2:40" s="16" customFormat="1" ht="18.75" customHeight="1" x14ac:dyDescent="0.2">
      <c r="B24" s="149" t="s">
        <v>6</v>
      </c>
      <c r="C24" s="151">
        <f>IFERROR(INDEX(年齢階層×在院期間区分F2＿寛解・院内寛解[#All],MATCH($AJ8,年齢階層×在院期間区分F2＿寛解・院内寛解[[#All],[行ラベル]],0),MATCH($AK$3,年齢階層×在院期間区分F2＿寛解・院内寛解[#Headers],0)),0)+IFERROR(INDEX(年齢階層×在院期間区分F2＿寛解・院内寛解[#All],MATCH($AJ8,年齢階層×在院期間区分F2＿寛解・院内寛解[[#All],[行ラベル]],0),MATCH($AL$3,年齢階層×在院期間区分F2＿寛解・院内寛解[#Headers],0)),0)+IFERROR(INDEX(年齢階層×在院期間区分F2＿寛解・院内寛解[#All],MATCH($AJ8,年齢階層×在院期間区分F2＿寛解・院内寛解[[#All],[行ラベル]],0),MATCH($AM$3,年齢階層×在院期間区分F2＿寛解・院内寛解[#Headers],0)),0)+IFERROR(INDEX(年齢階層×在院期間区分F2＿寛解・院内寛解[#All],MATCH($AJ8,年齢階層×在院期間区分F2＿寛解・院内寛解[[#All],[行ラベル]],0),MATCH($AN$3,年齢階層×在院期間区分F2＿寛解・院内寛解[#Headers],0)),0)</f>
        <v>108</v>
      </c>
      <c r="D24" s="128">
        <f t="shared" si="7"/>
        <v>0.27341772151898736</v>
      </c>
      <c r="E24" s="127">
        <f>IFERROR(INDEX(年齢階層×在院期間区分F2＿寛解・院内寛解[#All],MATCH($AJ8,年齢階層×在院期間区分F2＿寛解・院内寛解[[#All],[行ラベル]],0),MATCH($AO$3,年齢階層×在院期間区分F2＿寛解・院内寛解[#Headers],0)),0)+IFERROR(INDEX(年齢階層×在院期間区分F2＿寛解・院内寛解[#All],MATCH($AJ8,年齢階層×在院期間区分F2＿寛解・院内寛解[[#All],[行ラベル]],0),MATCH($AP$3,年齢階層×在院期間区分F2＿寛解・院内寛解[#Headers],0)),0)+IFERROR(INDEX(年齢階層×在院期間区分F2＿寛解・院内寛解[#All],MATCH($AJ8,年齢階層×在院期間区分F2＿寛解・院内寛解[[#All],[行ラベル]],0),MATCH($AQ$3,年齢階層×在院期間区分F2＿寛解・院内寛解[#Headers],0)),0)+IFERROR(INDEX(年齢階層×在院期間区分F2＿寛解・院内寛解[#All],MATCH($AJ8,年齢階層×在院期間区分F2＿寛解・院内寛解[[#All],[行ラベル]],0),MATCH($AR$3,年齢階層×在院期間区分F2＿寛解・院内寛解[#Headers],0)),0)+IFERROR(INDEX(年齢階層×在院期間区分F2＿寛解・院内寛解[#All],MATCH($AJ8,年齢階層×在院期間区分F2＿寛解・院内寛解[[#All],[行ラベル]],0),MATCH($AS$3,年齢階層×在院期間区分F2＿寛解・院内寛解[#Headers],0)),0)</f>
        <v>31</v>
      </c>
      <c r="F24" s="128">
        <f t="shared" si="8"/>
        <v>0.23484848484848486</v>
      </c>
      <c r="G24" s="151">
        <f>IFERROR(INDEX(年齢階層×在院期間区分F2＿寛解・院内寛解[#All],MATCH($AJ8,年齢階層×在院期間区分F2＿寛解・院内寛解[[#All],[行ラベル]],0),MATCH($AT$3,年齢階層×在院期間区分F2＿寛解・院内寛解[#Headers],0)),0)+IFERROR(INDEX(年齢階層×在院期間区分F2＿寛解・院内寛解[#All],MATCH($AJ8,年齢階層×在院期間区分F2＿寛解・院内寛解[[#All],[行ラベル]],0),MATCH($AU$3,年齢階層×在院期間区分F2＿寛解・院内寛解[#Headers],0)),0)+IFERROR(INDEX(年齢階層×在院期間区分F2＿寛解・院内寛解[#All],MATCH($AJ8,年齢階層×在院期間区分F2＿寛解・院内寛解[[#All],[行ラベル]],0),MATCH($AV$3,年齢階層×在院期間区分F2＿寛解・院内寛解[#Headers],0)),0)+IFERROR(INDEX(年齢階層×在院期間区分F2＿寛解・院内寛解[#All],MATCH($AJ8,年齢階層×在院期間区分F2＿寛解・院内寛解[[#All],[行ラベル]],0),MATCH($AW$3,年齢階層×在院期間区分F2＿寛解・院内寛解[#Headers],0)),0)+IFERROR(INDEX(年齢階層×在院期間区分F2＿寛解・院内寛解[#All],MATCH($AJ8,年齢階層×在院期間区分F2＿寛解・院内寛解[[#All],[行ラベル]],0),MATCH($AX$3,年齢階層×在院期間区分F2＿寛解・院内寛解[#Headers],0)),0)</f>
        <v>19</v>
      </c>
      <c r="H24" s="128">
        <f t="shared" si="9"/>
        <v>0.24050632911392406</v>
      </c>
      <c r="I24" s="127">
        <f>IFERROR(INDEX(年齢階層×在院期間区分F2＿寛解・院内寛解[#All],MATCH($AJ8,年齢階層×在院期間区分F2＿寛解・院内寛解[[#All],[行ラベル]],0),MATCH($AY$3,年齢階層×在院期間区分F2＿寛解・院内寛解[#Headers],0)),0)+IFERROR(INDEX(年齢階層×在院期間区分F2＿寛解・院内寛解[#All],MATCH($AJ8,年齢階層×在院期間区分F2＿寛解・院内寛解[[#All],[行ラベル]],0),MATCH($AZ$3,年齢階層×在院期間区分F2＿寛解・院内寛解[#Headers],0)),0)</f>
        <v>25</v>
      </c>
      <c r="J24" s="128">
        <f t="shared" si="10"/>
        <v>0.25</v>
      </c>
      <c r="K24" s="127">
        <f t="shared" si="11"/>
        <v>183</v>
      </c>
      <c r="L24" s="128">
        <f t="shared" si="12"/>
        <v>0.25920679886685555</v>
      </c>
      <c r="R24" s="55" t="s">
        <v>6</v>
      </c>
      <c r="S24" s="49">
        <v>30</v>
      </c>
      <c r="T24" s="49">
        <v>44</v>
      </c>
      <c r="U24" s="49">
        <v>16</v>
      </c>
      <c r="V24" s="49">
        <v>18</v>
      </c>
      <c r="W24" s="49">
        <v>11</v>
      </c>
      <c r="X24" s="49">
        <v>7</v>
      </c>
      <c r="Y24" s="49">
        <v>9</v>
      </c>
      <c r="Z24" s="49">
        <v>3</v>
      </c>
      <c r="AA24" s="49">
        <v>1</v>
      </c>
      <c r="AB24" s="49">
        <v>2</v>
      </c>
      <c r="AC24" s="49">
        <v>6</v>
      </c>
      <c r="AD24" s="49">
        <v>4</v>
      </c>
      <c r="AE24" s="49">
        <v>2</v>
      </c>
      <c r="AF24" s="49">
        <v>5</v>
      </c>
      <c r="AG24" s="49">
        <v>20</v>
      </c>
      <c r="AH24" s="342">
        <v>5</v>
      </c>
      <c r="AJ24" s="41" t="s">
        <v>6</v>
      </c>
    </row>
    <row r="25" spans="2:40" s="16" customFormat="1" ht="18.75" customHeight="1" x14ac:dyDescent="0.2">
      <c r="B25" s="149" t="s">
        <v>7</v>
      </c>
      <c r="C25" s="150">
        <f>IFERROR(INDEX(年齢階層×在院期間区分F2＿寛解・院内寛解[#All],MATCH($AJ9,年齢階層×在院期間区分F2＿寛解・院内寛解[[#All],[行ラベル]],0),MATCH($AK$3,年齢階層×在院期間区分F2＿寛解・院内寛解[#Headers],0)),0)+IFERROR(INDEX(年齢階層×在院期間区分F2＿寛解・院内寛解[#All],MATCH($AJ9,年齢階層×在院期間区分F2＿寛解・院内寛解[[#All],[行ラベル]],0),MATCH($AL$3,年齢階層×在院期間区分F2＿寛解・院内寛解[#Headers],0)),0)+IFERROR(INDEX(年齢階層×在院期間区分F2＿寛解・院内寛解[#All],MATCH($AJ9,年齢階層×在院期間区分F2＿寛解・院内寛解[[#All],[行ラベル]],0),MATCH($AM$3,年齢階層×在院期間区分F2＿寛解・院内寛解[#Headers],0)),0)+IFERROR(INDEX(年齢階層×在院期間区分F2＿寛解・院内寛解[#All],MATCH($AJ9,年齢階層×在院期間区分F2＿寛解・院内寛解[[#All],[行ラベル]],0),MATCH($AN$3,年齢階層×在院期間区分F2＿寛解・院内寛解[#Headers],0)),0)</f>
        <v>77</v>
      </c>
      <c r="D25" s="128">
        <f t="shared" si="7"/>
        <v>0.19493670886075951</v>
      </c>
      <c r="E25" s="127">
        <f>IFERROR(INDEX(年齢階層×在院期間区分F2＿寛解・院内寛解[#All],MATCH($AJ9,年齢階層×在院期間区分F2＿寛解・院内寛解[[#All],[行ラベル]],0),MATCH($AO$3,年齢階層×在院期間区分F2＿寛解・院内寛解[#Headers],0)),0)+IFERROR(INDEX(年齢階層×在院期間区分F2＿寛解・院内寛解[#All],MATCH($AJ9,年齢階層×在院期間区分F2＿寛解・院内寛解[[#All],[行ラベル]],0),MATCH($AP$3,年齢階層×在院期間区分F2＿寛解・院内寛解[#Headers],0)),0)+IFERROR(INDEX(年齢階層×在院期間区分F2＿寛解・院内寛解[#All],MATCH($AJ9,年齢階層×在院期間区分F2＿寛解・院内寛解[[#All],[行ラベル]],0),MATCH($AQ$3,年齢階層×在院期間区分F2＿寛解・院内寛解[#Headers],0)),0)+IFERROR(INDEX(年齢階層×在院期間区分F2＿寛解・院内寛解[#All],MATCH($AJ9,年齢階層×在院期間区分F2＿寛解・院内寛解[[#All],[行ラベル]],0),MATCH($AR$3,年齢階層×在院期間区分F2＿寛解・院内寛解[#Headers],0)),0)+IFERROR(INDEX(年齢階層×在院期間区分F2＿寛解・院内寛解[#All],MATCH($AJ9,年齢階層×在院期間区分F2＿寛解・院内寛解[[#All],[行ラベル]],0),MATCH($AS$3,年齢階層×在院期間区分F2＿寛解・院内寛解[#Headers],0)),0)</f>
        <v>28</v>
      </c>
      <c r="F25" s="128">
        <f t="shared" si="8"/>
        <v>0.21212121212121213</v>
      </c>
      <c r="G25" s="150">
        <f>IFERROR(INDEX(年齢階層×在院期間区分F2＿寛解・院内寛解[#All],MATCH($AJ9,年齢階層×在院期間区分F2＿寛解・院内寛解[[#All],[行ラベル]],0),MATCH($AT$3,年齢階層×在院期間区分F2＿寛解・院内寛解[#Headers],0)),0)+IFERROR(INDEX(年齢階層×在院期間区分F2＿寛解・院内寛解[#All],MATCH($AJ9,年齢階層×在院期間区分F2＿寛解・院内寛解[[#All],[行ラベル]],0),MATCH($AU$3,年齢階層×在院期間区分F2＿寛解・院内寛解[#Headers],0)),0)+IFERROR(INDEX(年齢階層×在院期間区分F2＿寛解・院内寛解[#All],MATCH($AJ9,年齢階層×在院期間区分F2＿寛解・院内寛解[[#All],[行ラベル]],0),MATCH($AV$3,年齢階層×在院期間区分F2＿寛解・院内寛解[#Headers],0)),0)+IFERROR(INDEX(年齢階層×在院期間区分F2＿寛解・院内寛解[#All],MATCH($AJ9,年齢階層×在院期間区分F2＿寛解・院内寛解[[#All],[行ラベル]],0),MATCH($AW$3,年齢階層×在院期間区分F2＿寛解・院内寛解[#Headers],0)),0)+IFERROR(INDEX(年齢階層×在院期間区分F2＿寛解・院内寛解[#All],MATCH($AJ9,年齢階層×在院期間区分F2＿寛解・院内寛解[[#All],[行ラベル]],0),MATCH($AX$3,年齢階層×在院期間区分F2＿寛解・院内寛解[#Headers],0)),0)</f>
        <v>14</v>
      </c>
      <c r="H25" s="128">
        <f t="shared" si="9"/>
        <v>0.17721518987341772</v>
      </c>
      <c r="I25" s="127">
        <f>IFERROR(INDEX(年齢階層×在院期間区分F2＿寛解・院内寛解[#All],MATCH($AJ9,年齢階層×在院期間区分F2＿寛解・院内寛解[[#All],[行ラベル]],0),MATCH($AY$3,年齢階層×在院期間区分F2＿寛解・院内寛解[#Headers],0)),0)+IFERROR(INDEX(年齢階層×在院期間区分F2＿寛解・院内寛解[#All],MATCH($AJ9,年齢階層×在院期間区分F2＿寛解・院内寛解[[#All],[行ラベル]],0),MATCH($AZ$3,年齢階層×在院期間区分F2＿寛解・院内寛解[#Headers],0)),0)</f>
        <v>24</v>
      </c>
      <c r="J25" s="128">
        <f t="shared" si="10"/>
        <v>0.24</v>
      </c>
      <c r="K25" s="127">
        <f t="shared" si="11"/>
        <v>143</v>
      </c>
      <c r="L25" s="128">
        <f t="shared" si="12"/>
        <v>0.20254957507082152</v>
      </c>
      <c r="R25" s="55" t="s">
        <v>7</v>
      </c>
      <c r="S25" s="49">
        <v>15</v>
      </c>
      <c r="T25" s="49">
        <v>26</v>
      </c>
      <c r="U25" s="49">
        <v>17</v>
      </c>
      <c r="V25" s="49">
        <v>19</v>
      </c>
      <c r="W25" s="49">
        <v>4</v>
      </c>
      <c r="X25" s="49">
        <v>5</v>
      </c>
      <c r="Y25" s="49">
        <v>8</v>
      </c>
      <c r="Z25" s="49">
        <v>9</v>
      </c>
      <c r="AA25" s="49">
        <v>2</v>
      </c>
      <c r="AB25" s="49">
        <v>3</v>
      </c>
      <c r="AC25" s="49">
        <v>6</v>
      </c>
      <c r="AD25" s="49">
        <v>1</v>
      </c>
      <c r="AE25" s="49">
        <v>4</v>
      </c>
      <c r="AF25" s="49">
        <v>0</v>
      </c>
      <c r="AG25" s="49">
        <v>12</v>
      </c>
      <c r="AH25" s="342">
        <v>12</v>
      </c>
      <c r="AJ25" s="41" t="s">
        <v>7</v>
      </c>
    </row>
    <row r="26" spans="2:40" s="16" customFormat="1" ht="18.75" customHeight="1" x14ac:dyDescent="0.2">
      <c r="B26" s="149" t="s">
        <v>8</v>
      </c>
      <c r="C26" s="127">
        <f>IFERROR(INDEX(年齢階層×在院期間区分F2＿寛解・院内寛解[#All],MATCH($AJ10,年齢階層×在院期間区分F2＿寛解・院内寛解[[#All],[行ラベル]],0),MATCH($AK$3,年齢階層×在院期間区分F2＿寛解・院内寛解[#Headers],0)),0)+IFERROR(INDEX(年齢階層×在院期間区分F2＿寛解・院内寛解[#All],MATCH($AJ10,年齢階層×在院期間区分F2＿寛解・院内寛解[[#All],[行ラベル]],0),MATCH($AL$3,年齢階層×在院期間区分F2＿寛解・院内寛解[#Headers],0)),0)+IFERROR(INDEX(年齢階層×在院期間区分F2＿寛解・院内寛解[#All],MATCH($AJ10,年齢階層×在院期間区分F2＿寛解・院内寛解[[#All],[行ラベル]],0),MATCH($AM$3,年齢階層×在院期間区分F2＿寛解・院内寛解[#Headers],0)),0)+IFERROR(INDEX(年齢階層×在院期間区分F2＿寛解・院内寛解[#All],MATCH($AJ10,年齢階層×在院期間区分F2＿寛解・院内寛解[[#All],[行ラベル]],0),MATCH($AN$3,年齢階層×在院期間区分F2＿寛解・院内寛解[#Headers],0)),0)</f>
        <v>72</v>
      </c>
      <c r="D26" s="128">
        <f t="shared" si="7"/>
        <v>0.18227848101265823</v>
      </c>
      <c r="E26" s="127">
        <f>IFERROR(INDEX(年齢階層×在院期間区分F2＿寛解・院内寛解[#All],MATCH($AJ10,年齢階層×在院期間区分F2＿寛解・院内寛解[[#All],[行ラベル]],0),MATCH($AO$3,年齢階層×在院期間区分F2＿寛解・院内寛解[#Headers],0)),0)+IFERROR(INDEX(年齢階層×在院期間区分F2＿寛解・院内寛解[#All],MATCH($AJ10,年齢階層×在院期間区分F2＿寛解・院内寛解[[#All],[行ラベル]],0),MATCH($AP$3,年齢階層×在院期間区分F2＿寛解・院内寛解[#Headers],0)),0)+IFERROR(INDEX(年齢階層×在院期間区分F2＿寛解・院内寛解[#All],MATCH($AJ10,年齢階層×在院期間区分F2＿寛解・院内寛解[[#All],[行ラベル]],0),MATCH($AQ$3,年齢階層×在院期間区分F2＿寛解・院内寛解[#Headers],0)),0)+IFERROR(INDEX(年齢階層×在院期間区分F2＿寛解・院内寛解[#All],MATCH($AJ10,年齢階層×在院期間区分F2＿寛解・院内寛解[[#All],[行ラベル]],0),MATCH($AR$3,年齢階層×在院期間区分F2＿寛解・院内寛解[#Headers],0)),0)+IFERROR(INDEX(年齢階層×在院期間区分F2＿寛解・院内寛解[#All],MATCH($AJ10,年齢階層×在院期間区分F2＿寛解・院内寛解[[#All],[行ラベル]],0),MATCH($AS$3,年齢階層×在院期間区分F2＿寛解・院内寛解[#Headers],0)),0)</f>
        <v>37</v>
      </c>
      <c r="F26" s="128">
        <f t="shared" si="8"/>
        <v>0.28030303030303028</v>
      </c>
      <c r="G26" s="150">
        <f>IFERROR(INDEX(年齢階層×在院期間区分F2＿寛解・院内寛解[#All],MATCH($AJ10,年齢階層×在院期間区分F2＿寛解・院内寛解[[#All],[行ラベル]],0),MATCH($AT$3,年齢階層×在院期間区分F2＿寛解・院内寛解[#Headers],0)),0)+IFERROR(INDEX(年齢階層×在院期間区分F2＿寛解・院内寛解[#All],MATCH($AJ10,年齢階層×在院期間区分F2＿寛解・院内寛解[[#All],[行ラベル]],0),MATCH($AU$3,年齢階層×在院期間区分F2＿寛解・院内寛解[#Headers],0)),0)+IFERROR(INDEX(年齢階層×在院期間区分F2＿寛解・院内寛解[#All],MATCH($AJ10,年齢階層×在院期間区分F2＿寛解・院内寛解[[#All],[行ラベル]],0),MATCH($AV$3,年齢階層×在院期間区分F2＿寛解・院内寛解[#Headers],0)),0)+IFERROR(INDEX(年齢階層×在院期間区分F2＿寛解・院内寛解[#All],MATCH($AJ10,年齢階層×在院期間区分F2＿寛解・院内寛解[[#All],[行ラベル]],0),MATCH($AW$3,年齢階層×在院期間区分F2＿寛解・院内寛解[#Headers],0)),0)+IFERROR(INDEX(年齢階層×在院期間区分F2＿寛解・院内寛解[#All],MATCH($AJ10,年齢階層×在院期間区分F2＿寛解・院内寛解[[#All],[行ラベル]],0),MATCH($AX$3,年齢階層×在院期間区分F2＿寛解・院内寛解[#Headers],0)),0)</f>
        <v>18</v>
      </c>
      <c r="H26" s="128">
        <f t="shared" si="9"/>
        <v>0.22784810126582278</v>
      </c>
      <c r="I26" s="127">
        <f>IFERROR(INDEX(年齢階層×在院期間区分F2＿寛解・院内寛解[#All],MATCH($AJ10,年齢階層×在院期間区分F2＿寛解・院内寛解[[#All],[行ラベル]],0),MATCH($AY$3,年齢階層×在院期間区分F2＿寛解・院内寛解[#Headers],0)),0)+IFERROR(INDEX(年齢階層×在院期間区分F2＿寛解・院内寛解[#All],MATCH($AJ10,年齢階層×在院期間区分F2＿寛解・院内寛解[[#All],[行ラベル]],0),MATCH($AZ$3,年齢階層×在院期間区分F2＿寛解・院内寛解[#Headers],0)),0)</f>
        <v>35</v>
      </c>
      <c r="J26" s="128">
        <f t="shared" si="10"/>
        <v>0.35</v>
      </c>
      <c r="K26" s="127">
        <f t="shared" si="11"/>
        <v>162</v>
      </c>
      <c r="L26" s="128">
        <f t="shared" si="12"/>
        <v>0.22946175637393768</v>
      </c>
      <c r="R26" s="55" t="s">
        <v>8</v>
      </c>
      <c r="S26" s="49">
        <v>19</v>
      </c>
      <c r="T26" s="49">
        <v>27</v>
      </c>
      <c r="U26" s="49">
        <v>11</v>
      </c>
      <c r="V26" s="49">
        <v>15</v>
      </c>
      <c r="W26" s="49">
        <v>4</v>
      </c>
      <c r="X26" s="49">
        <v>8</v>
      </c>
      <c r="Y26" s="49">
        <v>13</v>
      </c>
      <c r="Z26" s="49">
        <v>9</v>
      </c>
      <c r="AA26" s="49">
        <v>3</v>
      </c>
      <c r="AB26" s="49">
        <v>1</v>
      </c>
      <c r="AC26" s="49">
        <v>2</v>
      </c>
      <c r="AD26" s="49">
        <v>6</v>
      </c>
      <c r="AE26" s="49">
        <v>5</v>
      </c>
      <c r="AF26" s="49">
        <v>4</v>
      </c>
      <c r="AG26" s="49">
        <v>20</v>
      </c>
      <c r="AH26" s="342">
        <v>15</v>
      </c>
      <c r="AJ26" s="41" t="s">
        <v>8</v>
      </c>
    </row>
    <row r="27" spans="2:40" s="16" customFormat="1" ht="18.75" customHeight="1" x14ac:dyDescent="0.2">
      <c r="B27" s="149" t="s">
        <v>9</v>
      </c>
      <c r="C27" s="151">
        <f>IFERROR(INDEX(年齢階層×在院期間区分F2＿寛解・院内寛解[#All],MATCH($AJ11,年齢階層×在院期間区分F2＿寛解・院内寛解[[#All],[行ラベル]],0),MATCH($AK$3,年齢階層×在院期間区分F2＿寛解・院内寛解[#Headers],0)),0)+IFERROR(INDEX(年齢階層×在院期間区分F2＿寛解・院内寛解[#All],MATCH($AJ11,年齢階層×在院期間区分F2＿寛解・院内寛解[[#All],[行ラベル]],0),MATCH($AL$3,年齢階層×在院期間区分F2＿寛解・院内寛解[#Headers],0)),0)+IFERROR(INDEX(年齢階層×在院期間区分F2＿寛解・院内寛解[#All],MATCH($AJ11,年齢階層×在院期間区分F2＿寛解・院内寛解[[#All],[行ラベル]],0),MATCH($AM$3,年齢階層×在院期間区分F2＿寛解・院内寛解[#Headers],0)),0)+IFERROR(INDEX(年齢階層×在院期間区分F2＿寛解・院内寛解[#All],MATCH($AJ11,年齢階層×在院期間区分F2＿寛解・院内寛解[[#All],[行ラベル]],0),MATCH($AN$3,年齢階層×在院期間区分F2＿寛解・院内寛解[#Headers],0)),0)</f>
        <v>16</v>
      </c>
      <c r="D27" s="128">
        <f t="shared" si="7"/>
        <v>4.0506329113924051E-2</v>
      </c>
      <c r="E27" s="151">
        <f>IFERROR(INDEX(年齢階層×在院期間区分F2＿寛解・院内寛解[#All],MATCH($AJ11,年齢階層×在院期間区分F2＿寛解・院内寛解[[#All],[行ラベル]],0),MATCH($AO$3,年齢階層×在院期間区分F2＿寛解・院内寛解[#Headers],0)),0)+IFERROR(INDEX(年齢階層×在院期間区分F2＿寛解・院内寛解[#All],MATCH($AJ11,年齢階層×在院期間区分F2＿寛解・院内寛解[[#All],[行ラベル]],0),MATCH($AP$3,年齢階層×在院期間区分F2＿寛解・院内寛解[#Headers],0)),0)+IFERROR(INDEX(年齢階層×在院期間区分F2＿寛解・院内寛解[#All],MATCH($AJ11,年齢階層×在院期間区分F2＿寛解・院内寛解[[#All],[行ラベル]],0),MATCH($AQ$3,年齢階層×在院期間区分F2＿寛解・院内寛解[#Headers],0)),0)+IFERROR(INDEX(年齢階層×在院期間区分F2＿寛解・院内寛解[#All],MATCH($AJ11,年齢階層×在院期間区分F2＿寛解・院内寛解[[#All],[行ラベル]],0),MATCH($AR$3,年齢階層×在院期間区分F2＿寛解・院内寛解[#Headers],0)),0)+IFERROR(INDEX(年齢階層×在院期間区分F2＿寛解・院内寛解[#All],MATCH($AJ11,年齢階層×在院期間区分F2＿寛解・院内寛解[[#All],[行ラベル]],0),MATCH($AS$3,年齢階層×在院期間区分F2＿寛解・院内寛解[#Headers],0)),0)</f>
        <v>16</v>
      </c>
      <c r="F27" s="128">
        <f t="shared" si="8"/>
        <v>0.12121212121212122</v>
      </c>
      <c r="G27" s="127">
        <f>IFERROR(INDEX(年齢階層×在院期間区分F2＿寛解・院内寛解[#All],MATCH($AJ11,年齢階層×在院期間区分F2＿寛解・院内寛解[[#All],[行ラベル]],0),MATCH($AT$3,年齢階層×在院期間区分F2＿寛解・院内寛解[#Headers],0)),0)+IFERROR(INDEX(年齢階層×在院期間区分F2＿寛解・院内寛解[#All],MATCH($AJ11,年齢階層×在院期間区分F2＿寛解・院内寛解[[#All],[行ラベル]],0),MATCH($AU$3,年齢階層×在院期間区分F2＿寛解・院内寛解[#Headers],0)),0)+IFERROR(INDEX(年齢階層×在院期間区分F2＿寛解・院内寛解[#All],MATCH($AJ11,年齢階層×在院期間区分F2＿寛解・院内寛解[[#All],[行ラベル]],0),MATCH($AV$3,年齢階層×在院期間区分F2＿寛解・院内寛解[#Headers],0)),0)+IFERROR(INDEX(年齢階層×在院期間区分F2＿寛解・院内寛解[#All],MATCH($AJ11,年齢階層×在院期間区分F2＿寛解・院内寛解[[#All],[行ラベル]],0),MATCH($AW$3,年齢階層×在院期間区分F2＿寛解・院内寛解[#Headers],0)),0)+IFERROR(INDEX(年齢階層×在院期間区分F2＿寛解・院内寛解[#All],MATCH($AJ11,年齢階層×在院期間区分F2＿寛解・院内寛解[[#All],[行ラベル]],0),MATCH($AX$3,年齢階層×在院期間区分F2＿寛解・院内寛解[#Headers],0)),0)</f>
        <v>12</v>
      </c>
      <c r="H27" s="128">
        <f t="shared" si="9"/>
        <v>0.15189873417721519</v>
      </c>
      <c r="I27" s="127">
        <f>IFERROR(INDEX(年齢階層×在院期間区分F2＿寛解・院内寛解[#All],MATCH($AJ11,年齢階層×在院期間区分F2＿寛解・院内寛解[[#All],[行ラベル]],0),MATCH($AY$3,年齢階層×在院期間区分F2＿寛解・院内寛解[#Headers],0)),0)+IFERROR(INDEX(年齢階層×在院期間区分F2＿寛解・院内寛解[#All],MATCH($AJ11,年齢階層×在院期間区分F2＿寛解・院内寛解[[#All],[行ラベル]],0),MATCH($AZ$3,年齢階層×在院期間区分F2＿寛解・院内寛解[#Headers],0)),0)</f>
        <v>10</v>
      </c>
      <c r="J27" s="128">
        <f t="shared" si="10"/>
        <v>0.1</v>
      </c>
      <c r="K27" s="127">
        <f t="shared" si="11"/>
        <v>54</v>
      </c>
      <c r="L27" s="128">
        <f t="shared" si="12"/>
        <v>7.6487252124645896E-2</v>
      </c>
      <c r="R27" s="55" t="s">
        <v>9</v>
      </c>
      <c r="S27" s="49">
        <v>2</v>
      </c>
      <c r="T27" s="49">
        <v>4</v>
      </c>
      <c r="U27" s="49">
        <v>6</v>
      </c>
      <c r="V27" s="49">
        <v>4</v>
      </c>
      <c r="W27" s="49">
        <v>3</v>
      </c>
      <c r="X27" s="49">
        <v>0</v>
      </c>
      <c r="Y27" s="49">
        <v>5</v>
      </c>
      <c r="Z27" s="49">
        <v>4</v>
      </c>
      <c r="AA27" s="49">
        <v>4</v>
      </c>
      <c r="AB27" s="49">
        <v>2</v>
      </c>
      <c r="AC27" s="49">
        <v>2</v>
      </c>
      <c r="AD27" s="49">
        <v>6</v>
      </c>
      <c r="AE27" s="49">
        <v>2</v>
      </c>
      <c r="AF27" s="49">
        <v>0</v>
      </c>
      <c r="AG27" s="49">
        <v>6</v>
      </c>
      <c r="AH27" s="342">
        <v>4</v>
      </c>
      <c r="AJ27" s="41" t="s">
        <v>9</v>
      </c>
    </row>
    <row r="28" spans="2:40" s="16" customFormat="1" ht="18.75" customHeight="1" thickBot="1" x14ac:dyDescent="0.25">
      <c r="B28" s="152" t="s">
        <v>10</v>
      </c>
      <c r="C28" s="130">
        <f>IFERROR(INDEX(年齢階層×在院期間区分F2＿寛解・院内寛解[#All],MATCH($AJ12,年齢階層×在院期間区分F2＿寛解・院内寛解[[#All],[行ラベル]],0),MATCH($AK$3,年齢階層×在院期間区分F2＿寛解・院内寛解[#Headers],0)),0)+IFERROR(INDEX(年齢階層×在院期間区分F2＿寛解・院内寛解[#All],MATCH($AJ12,年齢階層×在院期間区分F2＿寛解・院内寛解[[#All],[行ラベル]],0),MATCH($AL$3,年齢階層×在院期間区分F2＿寛解・院内寛解[#Headers],0)),0)+IFERROR(INDEX(年齢階層×在院期間区分F2＿寛解・院内寛解[#All],MATCH($AJ12,年齢階層×在院期間区分F2＿寛解・院内寛解[[#All],[行ラベル]],0),MATCH($AM$3,年齢階層×在院期間区分F2＿寛解・院内寛解[#Headers],0)),0)+IFERROR(INDEX(年齢階層×在院期間区分F2＿寛解・院内寛解[#All],MATCH($AJ12,年齢階層×在院期間区分F2＿寛解・院内寛解[[#All],[行ラベル]],0),MATCH($AN$3,年齢階層×在院期間区分F2＿寛解・院内寛解[#Headers],0)),0)</f>
        <v>7</v>
      </c>
      <c r="D28" s="132">
        <f t="shared" si="7"/>
        <v>1.7721518987341773E-2</v>
      </c>
      <c r="E28" s="130">
        <f>IFERROR(INDEX(年齢階層×在院期間区分F2＿寛解・院内寛解[#All],MATCH($AJ12,年齢階層×在院期間区分F2＿寛解・院内寛解[[#All],[行ラベル]],0),MATCH($AO$3,年齢階層×在院期間区分F2＿寛解・院内寛解[#Headers],0)),0)+IFERROR(INDEX(年齢階層×在院期間区分F2＿寛解・院内寛解[#All],MATCH($AJ12,年齢階層×在院期間区分F2＿寛解・院内寛解[[#All],[行ラベル]],0),MATCH($AP$3,年齢階層×在院期間区分F2＿寛解・院内寛解[#Headers],0)),0)+IFERROR(INDEX(年齢階層×在院期間区分F2＿寛解・院内寛解[#All],MATCH($AJ12,年齢階層×在院期間区分F2＿寛解・院内寛解[[#All],[行ラベル]],0),MATCH($AQ$3,年齢階層×在院期間区分F2＿寛解・院内寛解[#Headers],0)),0)+IFERROR(INDEX(年齢階層×在院期間区分F2＿寛解・院内寛解[#All],MATCH($AJ12,年齢階層×在院期間区分F2＿寛解・院内寛解[[#All],[行ラベル]],0),MATCH($AR$3,年齢階層×在院期間区分F2＿寛解・院内寛解[#Headers],0)),0)+IFERROR(INDEX(年齢階層×在院期間区分F2＿寛解・院内寛解[#All],MATCH($AJ12,年齢階層×在院期間区分F2＿寛解・院内寛解[[#All],[行ラベル]],0),MATCH($AS$3,年齢階層×在院期間区分F2＿寛解・院内寛解[#Headers],0)),0)</f>
        <v>1</v>
      </c>
      <c r="F28" s="132">
        <f t="shared" si="8"/>
        <v>7.575757575757576E-3</v>
      </c>
      <c r="G28" s="153">
        <f>IFERROR(INDEX(年齢階層×在院期間区分F2＿寛解・院内寛解[#All],MATCH($AJ12,年齢階層×在院期間区分F2＿寛解・院内寛解[[#All],[行ラベル]],0),MATCH($AT$3,年齢階層×在院期間区分F2＿寛解・院内寛解[#Headers],0)),0)+IFERROR(INDEX(年齢階層×在院期間区分F2＿寛解・院内寛解[#All],MATCH($AJ12,年齢階層×在院期間区分F2＿寛解・院内寛解[[#All],[行ラベル]],0),MATCH($AU$3,年齢階層×在院期間区分F2＿寛解・院内寛解[#Headers],0)),0)+IFERROR(INDEX(年齢階層×在院期間区分F2＿寛解・院内寛解[#All],MATCH($AJ12,年齢階層×在院期間区分F2＿寛解・院内寛解[[#All],[行ラベル]],0),MATCH($AV$3,年齢階層×在院期間区分F2＿寛解・院内寛解[#Headers],0)),0)+IFERROR(INDEX(年齢階層×在院期間区分F2＿寛解・院内寛解[#All],MATCH($AJ12,年齢階層×在院期間区分F2＿寛解・院内寛解[[#All],[行ラベル]],0),MATCH($AW$3,年齢階層×在院期間区分F2＿寛解・院内寛解[#Headers],0)),0)+IFERROR(INDEX(年齢階層×在院期間区分F2＿寛解・院内寛解[#All],MATCH($AJ12,年齢階層×在院期間区分F2＿寛解・院内寛解[[#All],[行ラベル]],0),MATCH($AX$3,年齢階層×在院期間区分F2＿寛解・院内寛解[#Headers],0)),0)</f>
        <v>2</v>
      </c>
      <c r="H28" s="132">
        <f t="shared" si="9"/>
        <v>2.5316455696202531E-2</v>
      </c>
      <c r="I28" s="153">
        <f>IFERROR(INDEX(年齢階層×在院期間区分F2＿寛解・院内寛解[#All],MATCH($AJ12,年齢階層×在院期間区分F2＿寛解・院内寛解[[#All],[行ラベル]],0),MATCH($AY$3,年齢階層×在院期間区分F2＿寛解・院内寛解[#Headers],0)),0)+IFERROR(INDEX(年齢階層×在院期間区分F2＿寛解・院内寛解[#All],MATCH($AJ12,年齢階層×在院期間区分F2＿寛解・院内寛解[[#All],[行ラベル]],0),MATCH($AZ$3,年齢階層×在院期間区分F2＿寛解・院内寛解[#Headers],0)),0)</f>
        <v>1</v>
      </c>
      <c r="J28" s="132">
        <f t="shared" si="10"/>
        <v>0.01</v>
      </c>
      <c r="K28" s="130">
        <f t="shared" si="11"/>
        <v>11</v>
      </c>
      <c r="L28" s="132">
        <f t="shared" si="12"/>
        <v>1.5580736543909348E-2</v>
      </c>
      <c r="M28" s="51"/>
      <c r="R28" s="55" t="s">
        <v>10</v>
      </c>
      <c r="S28" s="384">
        <v>0</v>
      </c>
      <c r="T28" s="384">
        <v>5</v>
      </c>
      <c r="U28" s="384">
        <v>1</v>
      </c>
      <c r="V28" s="384">
        <v>1</v>
      </c>
      <c r="W28" s="384">
        <v>0</v>
      </c>
      <c r="X28" s="384">
        <v>0</v>
      </c>
      <c r="Y28" s="384">
        <v>0</v>
      </c>
      <c r="Z28" s="384">
        <v>1</v>
      </c>
      <c r="AA28" s="384">
        <v>0</v>
      </c>
      <c r="AB28" s="384">
        <v>1</v>
      </c>
      <c r="AC28" s="384">
        <v>0</v>
      </c>
      <c r="AD28" s="384">
        <v>1</v>
      </c>
      <c r="AE28" s="384">
        <v>0</v>
      </c>
      <c r="AF28" s="384">
        <v>0</v>
      </c>
      <c r="AG28" s="384">
        <v>0</v>
      </c>
      <c r="AH28" s="792">
        <v>1</v>
      </c>
      <c r="AJ28" s="41" t="s">
        <v>10</v>
      </c>
    </row>
    <row r="29" spans="2:40" s="16" customFormat="1" ht="18.75" customHeight="1" thickTop="1" thickBot="1" x14ac:dyDescent="0.25">
      <c r="B29" s="154" t="s">
        <v>431</v>
      </c>
      <c r="C29" s="155">
        <f t="shared" ref="C29:L29" si="13">SUM(C20:C28)</f>
        <v>395</v>
      </c>
      <c r="D29" s="162">
        <f t="shared" si="13"/>
        <v>1</v>
      </c>
      <c r="E29" s="155">
        <f t="shared" si="13"/>
        <v>132</v>
      </c>
      <c r="F29" s="162">
        <f t="shared" si="13"/>
        <v>1</v>
      </c>
      <c r="G29" s="155">
        <f t="shared" si="13"/>
        <v>79</v>
      </c>
      <c r="H29" s="162">
        <f t="shared" si="13"/>
        <v>1</v>
      </c>
      <c r="I29" s="155">
        <f t="shared" si="13"/>
        <v>100</v>
      </c>
      <c r="J29" s="162">
        <f t="shared" si="13"/>
        <v>1</v>
      </c>
      <c r="K29" s="155">
        <f t="shared" si="13"/>
        <v>706</v>
      </c>
      <c r="L29" s="162">
        <f t="shared" si="13"/>
        <v>1.0000000000000002</v>
      </c>
      <c r="R29" s="798" t="s">
        <v>727</v>
      </c>
      <c r="S29" s="794" t="s">
        <v>677</v>
      </c>
      <c r="T29" s="771" t="s">
        <v>678</v>
      </c>
      <c r="U29" s="771" t="s">
        <v>679</v>
      </c>
      <c r="V29" s="771" t="s">
        <v>680</v>
      </c>
      <c r="W29" s="771" t="s">
        <v>681</v>
      </c>
      <c r="X29" s="771" t="s">
        <v>682</v>
      </c>
      <c r="Y29" s="771" t="s">
        <v>683</v>
      </c>
      <c r="Z29" s="771" t="s">
        <v>340</v>
      </c>
      <c r="AA29" s="771" t="s">
        <v>684</v>
      </c>
      <c r="AB29" s="771" t="s">
        <v>685</v>
      </c>
      <c r="AC29" s="771" t="s">
        <v>686</v>
      </c>
      <c r="AD29" s="771" t="s">
        <v>687</v>
      </c>
      <c r="AE29" s="771" t="s">
        <v>688</v>
      </c>
      <c r="AF29" s="771" t="s">
        <v>689</v>
      </c>
      <c r="AG29" s="771" t="s">
        <v>690</v>
      </c>
      <c r="AH29" s="56" t="s">
        <v>691</v>
      </c>
      <c r="AN29" s="45"/>
    </row>
    <row r="30" spans="2:40" s="16" customFormat="1" ht="18.75" customHeight="1" thickTop="1" x14ac:dyDescent="0.2">
      <c r="B30" s="166" t="s">
        <v>438</v>
      </c>
      <c r="C30" s="167">
        <f>IFERROR(INDEX(年齢階層×在院期間区分F2_65歳未満以上＿寛解・院内寛解[#All],MATCH($AJ30,年齢階層×在院期間区分F2_65歳未満以上＿寛解・院内寛解[[#All],[列1]],0),MATCH($AK$3,年齢階層×在院期間区分F2_65歳未満以上＿寛解・院内寛解[#Headers],0)),0)+IFERROR(INDEX(年齢階層×在院期間区分F2_65歳未満以上＿寛解・院内寛解[#All],MATCH($AJ30,年齢階層×在院期間区分F2_65歳未満以上＿寛解・院内寛解[[#All],[列1]],0),MATCH($AL$3,年齢階層×在院期間区分F2_65歳未満以上＿寛解・院内寛解[#Headers],0)),0)+IFERROR(INDEX(年齢階層×在院期間区分F2_65歳未満以上＿寛解・院内寛解[#All],MATCH($AJ30,年齢階層×在院期間区分F2_65歳未満以上＿寛解・院内寛解[[#All],[列1]],0),MATCH($AM$3,年齢階層×在院期間区分F2_65歳未満以上＿寛解・院内寛解[#Headers],0)),0)+IFERROR(INDEX(年齢階層×在院期間区分F2_65歳未満以上＿寛解・院内寛解[#All],MATCH($AJ30,年齢階層×在院期間区分F2_65歳未満以上＿寛解・院内寛解[[#All],[列1]],0),MATCH($AN$3,年齢階層×在院期間区分F2_65歳未満以上＿寛解・院内寛解[#Headers],0)),0)</f>
        <v>267</v>
      </c>
      <c r="D30" s="143">
        <f>IFERROR(C30/$C$29,"-")</f>
        <v>0.67594936708860764</v>
      </c>
      <c r="E30" s="167">
        <f>IFERROR(INDEX(年齢階層×在院期間区分F2_65歳未満以上＿寛解・院内寛解[#All],MATCH($AJ30,年齢階層×在院期間区分F2_65歳未満以上＿寛解・院内寛解[[#All],[列1]],0),MATCH($AO$3,年齢階層×在院期間区分F2_65歳未満以上＿寛解・院内寛解[#Headers],0)),0)+IFERROR(INDEX(年齢階層×在院期間区分F2_65歳未満以上＿寛解・院内寛解[#All],MATCH($AJ30,年齢階層×在院期間区分F2_65歳未満以上＿寛解・院内寛解[[#All],[列1]],0),MATCH($AP$3,年齢階層×在院期間区分F2_65歳未満以上＿寛解・院内寛解[#Headers],0)),0)+IFERROR(INDEX(年齢階層×在院期間区分F2_65歳未満以上＿寛解・院内寛解[#All],MATCH($AJ30,年齢階層×在院期間区分F2_65歳未満以上＿寛解・院内寛解[[#All],[列1]],0),MATCH($AQ$3,年齢階層×在院期間区分F2_65歳未満以上＿寛解・院内寛解[#Headers],0)),0)+IFERROR(INDEX(年齢階層×在院期間区分F2_65歳未満以上＿寛解・院内寛解[#All],MATCH($AJ30,年齢階層×在院期間区分F2_65歳未満以上＿寛解・院内寛解[[#All],[列1]],0),MATCH($AR$3,年齢階層×在院期間区分F2_65歳未満以上＿寛解・院内寛解[#Headers],0)),0)+IFERROR(INDEX(年齢階層×在院期間区分F2_65歳未満以上＿寛解・院内寛解[#All],MATCH($AJ30,年齢階層×在院期間区分F2_65歳未満以上＿寛解・院内寛解[[#All],[列1]],0),MATCH($AS$3,年齢階層×在院期間区分F2_65歳未満以上＿寛解・院内寛解[#Headers],0)),0)</f>
        <v>63</v>
      </c>
      <c r="F30" s="143">
        <f>IFERROR(E30/$E$29,"-")</f>
        <v>0.47727272727272729</v>
      </c>
      <c r="G30" s="167">
        <f>IFERROR(INDEX(年齢階層×在院期間区分F2_65歳未満以上＿寛解・院内寛解[#All],MATCH($AJ30,年齢階層×在院期間区分F2_65歳未満以上＿寛解・院内寛解[[#All],[列1]],0),MATCH($AT$3,年齢階層×在院期間区分F2_65歳未満以上＿寛解・院内寛解[#Headers],0)),0)+IFERROR(INDEX(年齢階層×在院期間区分F2_65歳未満以上＿寛解・院内寛解[#All],MATCH($AJ30,年齢階層×在院期間区分F2_65歳未満以上＿寛解・院内寛解[[#All],[列1]],0),MATCH($AU$3,年齢階層×在院期間区分F2_65歳未満以上＿寛解・院内寛解[#Headers],0)),0)+IFERROR(INDEX(年齢階層×在院期間区分F2_65歳未満以上＿寛解・院内寛解[#All],MATCH($AJ30,年齢階層×在院期間区分F2_65歳未満以上＿寛解・院内寛解[[#All],[列1]],0),MATCH($AV$3,年齢階層×在院期間区分F2_65歳未満以上＿寛解・院内寛解[#Headers],0)),0)+IFERROR(INDEX(年齢階層×在院期間区分F2_65歳未満以上＿寛解・院内寛解[#All],MATCH($AJ30,年齢階層×在院期間区分F2_65歳未満以上＿寛解・院内寛解[[#All],[列1]],0),MATCH($AW$3,年齢階層×在院期間区分F2_65歳未満以上＿寛解・院内寛解[#Headers],0)),0)+IFERROR(INDEX(年齢階層×在院期間区分F2_65歳未満以上＿寛解・院内寛解[#All],MATCH($AJ30,年齢階層×在院期間区分F2_65歳未満以上＿寛解・院内寛解[[#All],[列1]],0),MATCH($AX$3,年齢階層×在院期間区分F2_65歳未満以上＿寛解・院内寛解[#Headers],0)),0)</f>
        <v>41</v>
      </c>
      <c r="H30" s="143">
        <f>IFERROR(G30/$G$29,"-")</f>
        <v>0.51898734177215189</v>
      </c>
      <c r="I30" s="167">
        <f>IFERROR(INDEX(年齢階層×在院期間区分F2_65歳未満以上＿寛解・院内寛解[#All],MATCH($AJ30,年齢階層×在院期間区分F2_65歳未満以上＿寛解・院内寛解[[#All],[列1]],0),MATCH($AY$3,年齢階層×在院期間区分F2_65歳未満以上＿寛解・院内寛解[#Headers],0)),0)+IFERROR(INDEX(年齢階層×在院期間区分F2_65歳未満以上＿寛解・院内寛解[#All],MATCH($AJ30,年齢階層×在院期間区分F2_65歳未満以上＿寛解・院内寛解[[#All],[列1]],0),MATCH($AZ$3,年齢階層×在院期間区分F2_65歳未満以上＿寛解・院内寛解[#Headers],0)),0)</f>
        <v>39</v>
      </c>
      <c r="J30" s="143">
        <f>IFERROR(I30/$I$29,"-")</f>
        <v>0.39</v>
      </c>
      <c r="K30" s="167">
        <f>C30+E30+G30+I30</f>
        <v>410</v>
      </c>
      <c r="L30" s="143">
        <f>IFERROR(K30/$K$29,"-")</f>
        <v>0.58073654390934848</v>
      </c>
      <c r="R30" s="55" t="s">
        <v>284</v>
      </c>
      <c r="S30" s="49">
        <v>72</v>
      </c>
      <c r="T30" s="49">
        <v>114</v>
      </c>
      <c r="U30" s="49">
        <v>39</v>
      </c>
      <c r="V30" s="49">
        <v>42</v>
      </c>
      <c r="W30" s="49">
        <v>15</v>
      </c>
      <c r="X30" s="49">
        <v>14</v>
      </c>
      <c r="Y30" s="49">
        <v>20</v>
      </c>
      <c r="Z30" s="49">
        <v>8</v>
      </c>
      <c r="AA30" s="49">
        <v>6</v>
      </c>
      <c r="AB30" s="49">
        <v>11</v>
      </c>
      <c r="AC30" s="49">
        <v>12</v>
      </c>
      <c r="AD30" s="49">
        <v>8</v>
      </c>
      <c r="AE30" s="49">
        <v>3</v>
      </c>
      <c r="AF30" s="49">
        <v>7</v>
      </c>
      <c r="AG30" s="49">
        <v>29</v>
      </c>
      <c r="AH30" s="342">
        <v>10</v>
      </c>
      <c r="AJ30" s="55" t="s">
        <v>145</v>
      </c>
    </row>
    <row r="31" spans="2:40" ht="18.75" customHeight="1" x14ac:dyDescent="0.2">
      <c r="B31" s="168" t="s">
        <v>439</v>
      </c>
      <c r="C31" s="167">
        <f>IFERROR(INDEX(年齢階層×在院期間区分F2_65歳未満以上＿寛解・院内寛解[#All],MATCH($AJ31,年齢階層×在院期間区分F2_65歳未満以上＿寛解・院内寛解[[#All],[列1]],0),MATCH($AK$3,年齢階層×在院期間区分F2_65歳未満以上＿寛解・院内寛解[#Headers],0)),0)+IFERROR(INDEX(年齢階層×在院期間区分F2_65歳未満以上＿寛解・院内寛解[#All],MATCH($AJ31,年齢階層×在院期間区分F2_65歳未満以上＿寛解・院内寛解[[#All],[列1]],0),MATCH($AL$3,年齢階層×在院期間区分F2_65歳未満以上＿寛解・院内寛解[#Headers],0)),0)+IFERROR(INDEX(年齢階層×在院期間区分F2_65歳未満以上＿寛解・院内寛解[#All],MATCH($AJ31,年齢階層×在院期間区分F2_65歳未満以上＿寛解・院内寛解[[#All],[列1]],0),MATCH($AM$3,年齢階層×在院期間区分F2_65歳未満以上＿寛解・院内寛解[#Headers],0)),0)+IFERROR(INDEX(年齢階層×在院期間区分F2_65歳未満以上＿寛解・院内寛解[#All],MATCH($AJ31,年齢階層×在院期間区分F2_65歳未満以上＿寛解・院内寛解[[#All],[列1]],0),MATCH($AN$3,年齢階層×在院期間区分F2_65歳未満以上＿寛解・院内寛解[#Headers],0)),0)</f>
        <v>128</v>
      </c>
      <c r="D31" s="160">
        <f>IFERROR(C31/$C$29,"-")</f>
        <v>0.32405063291139241</v>
      </c>
      <c r="E31" s="167">
        <f>IFERROR(INDEX(年齢階層×在院期間区分F2_65歳未満以上＿寛解・院内寛解[#All],MATCH($AJ31,年齢階層×在院期間区分F2_65歳未満以上＿寛解・院内寛解[[#All],[列1]],0),MATCH($AO$3,年齢階層×在院期間区分F2_65歳未満以上＿寛解・院内寛解[#Headers],0)),0)+IFERROR(INDEX(年齢階層×在院期間区分F2_65歳未満以上＿寛解・院内寛解[#All],MATCH($AJ31,年齢階層×在院期間区分F2_65歳未満以上＿寛解・院内寛解[[#All],[列1]],0),MATCH($AP$3,年齢階層×在院期間区分F2_65歳未満以上＿寛解・院内寛解[#Headers],0)),0)+IFERROR(INDEX(年齢階層×在院期間区分F2_65歳未満以上＿寛解・院内寛解[#All],MATCH($AJ31,年齢階層×在院期間区分F2_65歳未満以上＿寛解・院内寛解[[#All],[列1]],0),MATCH($AQ$3,年齢階層×在院期間区分F2_65歳未満以上＿寛解・院内寛解[#Headers],0)),0)+IFERROR(INDEX(年齢階層×在院期間区分F2_65歳未満以上＿寛解・院内寛解[#All],MATCH($AJ31,年齢階層×在院期間区分F2_65歳未満以上＿寛解・院内寛解[[#All],[列1]],0),MATCH($AR$3,年齢階層×在院期間区分F2_65歳未満以上＿寛解・院内寛解[#Headers],0)),0)+IFERROR(INDEX(年齢階層×在院期間区分F2_65歳未満以上＿寛解・院内寛解[#All],MATCH($AJ31,年齢階層×在院期間区分F2_65歳未満以上＿寛解・院内寛解[[#All],[列1]],0),MATCH($AS$3,年齢階層×在院期間区分F2_65歳未満以上＿寛解・院内寛解[#Headers],0)),0)</f>
        <v>69</v>
      </c>
      <c r="F31" s="160">
        <f>IFERROR(E31/$E$29,"-")</f>
        <v>0.52272727272727271</v>
      </c>
      <c r="G31" s="167">
        <f>IFERROR(INDEX(年齢階層×在院期間区分F2_65歳未満以上＿寛解・院内寛解[#All],MATCH($AJ31,年齢階層×在院期間区分F2_65歳未満以上＿寛解・院内寛解[[#All],[列1]],0),MATCH($AT$3,年齢階層×在院期間区分F2_65歳未満以上＿寛解・院内寛解[#Headers],0)),0)+IFERROR(INDEX(年齢階層×在院期間区分F2_65歳未満以上＿寛解・院内寛解[#All],MATCH($AJ31,年齢階層×在院期間区分F2_65歳未満以上＿寛解・院内寛解[[#All],[列1]],0),MATCH($AU$3,年齢階層×在院期間区分F2_65歳未満以上＿寛解・院内寛解[#Headers],0)),0)+IFERROR(INDEX(年齢階層×在院期間区分F2_65歳未満以上＿寛解・院内寛解[#All],MATCH($AJ31,年齢階層×在院期間区分F2_65歳未満以上＿寛解・院内寛解[[#All],[列1]],0),MATCH($AV$3,年齢階層×在院期間区分F2_65歳未満以上＿寛解・院内寛解[#Headers],0)),0)+IFERROR(INDEX(年齢階層×在院期間区分F2_65歳未満以上＿寛解・院内寛解[#All],MATCH($AJ31,年齢階層×在院期間区分F2_65歳未満以上＿寛解・院内寛解[[#All],[列1]],0),MATCH($AW$3,年齢階層×在院期間区分F2_65歳未満以上＿寛解・院内寛解[#Headers],0)),0)+IFERROR(INDEX(年齢階層×在院期間区分F2_65歳未満以上＿寛解・院内寛解[#All],MATCH($AJ31,年齢階層×在院期間区分F2_65歳未満以上＿寛解・院内寛解[[#All],[列1]],0),MATCH($AX$3,年齢階層×在院期間区分F2_65歳未満以上＿寛解・院内寛解[#Headers],0)),0)</f>
        <v>38</v>
      </c>
      <c r="H31" s="160">
        <f>IFERROR(G31/$G$29,"-")</f>
        <v>0.48101265822784811</v>
      </c>
      <c r="I31" s="167">
        <f>IFERROR(INDEX(年齢階層×在院期間区分F2_65歳未満以上＿寛解・院内寛解[#All],MATCH($AJ31,年齢階層×在院期間区分F2_65歳未満以上＿寛解・院内寛解[[#All],[列1]],0),MATCH($AY$3,年齢階層×在院期間区分F2_65歳未満以上＿寛解・院内寛解[#Headers],0)),0)+IFERROR(INDEX(年齢階層×在院期間区分F2_65歳未満以上＿寛解・院内寛解[#All],MATCH($AJ31,年齢階層×在院期間区分F2_65歳未満以上＿寛解・院内寛解[[#All],[列1]],0),MATCH($AZ$3,年齢階層×在院期間区分F2_65歳未満以上＿寛解・院内寛解[#Headers],0)),0)</f>
        <v>61</v>
      </c>
      <c r="J31" s="160">
        <f>IFERROR(I31/$I$29,"-")</f>
        <v>0.61</v>
      </c>
      <c r="K31" s="167">
        <f>C31+E31+G31+I31</f>
        <v>296</v>
      </c>
      <c r="L31" s="160">
        <f>IFERROR(K31/$K$29,"-")</f>
        <v>0.41926345609065158</v>
      </c>
      <c r="R31" s="55" t="s">
        <v>285</v>
      </c>
      <c r="S31" s="384">
        <v>27</v>
      </c>
      <c r="T31" s="384">
        <v>45</v>
      </c>
      <c r="U31" s="384">
        <v>28</v>
      </c>
      <c r="V31" s="384">
        <v>28</v>
      </c>
      <c r="W31" s="384">
        <v>9</v>
      </c>
      <c r="X31" s="384">
        <v>11</v>
      </c>
      <c r="Y31" s="384">
        <v>22</v>
      </c>
      <c r="Z31" s="384">
        <v>19</v>
      </c>
      <c r="AA31" s="384">
        <v>8</v>
      </c>
      <c r="AB31" s="384">
        <v>5</v>
      </c>
      <c r="AC31" s="384">
        <v>6</v>
      </c>
      <c r="AD31" s="384">
        <v>13</v>
      </c>
      <c r="AE31" s="384">
        <v>10</v>
      </c>
      <c r="AF31" s="384">
        <v>4</v>
      </c>
      <c r="AG31" s="384">
        <v>34</v>
      </c>
      <c r="AH31" s="792">
        <v>27</v>
      </c>
      <c r="AJ31" s="55" t="s">
        <v>81</v>
      </c>
      <c r="AK31" s="1"/>
      <c r="AL31" s="1"/>
    </row>
    <row r="32" spans="2:40" x14ac:dyDescent="0.2">
      <c r="B32" s="676"/>
      <c r="C32" s="676"/>
      <c r="D32" s="676"/>
      <c r="E32" s="676"/>
      <c r="F32" s="50"/>
      <c r="G32" s="676"/>
      <c r="H32" s="50"/>
      <c r="I32" s="676"/>
      <c r="J32" s="50"/>
      <c r="K32" s="32"/>
      <c r="L32" s="676"/>
      <c r="AL32" s="8"/>
    </row>
    <row r="33" spans="2:55" x14ac:dyDescent="0.2">
      <c r="U33" s="55"/>
      <c r="V33" s="8"/>
      <c r="W33" s="8"/>
      <c r="X33" s="8"/>
      <c r="Y33" s="8"/>
      <c r="Z33" s="8"/>
      <c r="AA33" s="8"/>
      <c r="AB33" s="8"/>
      <c r="AC33" s="8"/>
      <c r="AD33" s="8"/>
      <c r="AE33" s="8"/>
      <c r="AF33" s="8"/>
      <c r="AG33" s="8"/>
      <c r="AH33" s="8"/>
      <c r="AK33" s="8"/>
      <c r="AL33" s="8"/>
      <c r="AM33" s="8"/>
      <c r="AN33" s="8"/>
      <c r="AO33" s="8"/>
    </row>
    <row r="34" spans="2:55" x14ac:dyDescent="0.2">
      <c r="C34" s="40"/>
      <c r="D34" s="48"/>
      <c r="E34" s="48"/>
      <c r="F34" s="48"/>
      <c r="G34" s="48"/>
      <c r="H34" s="48"/>
      <c r="I34" s="48"/>
      <c r="J34" s="48"/>
      <c r="K34" s="48"/>
      <c r="L34" s="48"/>
      <c r="M34" s="48"/>
      <c r="N34" s="48"/>
      <c r="O34" s="48"/>
      <c r="P34" s="48"/>
      <c r="Q34" s="48"/>
      <c r="R34" s="48"/>
      <c r="S34" s="48"/>
      <c r="T34" s="48"/>
      <c r="U34" s="48"/>
      <c r="V34" s="48"/>
      <c r="W34" s="48"/>
      <c r="X34" s="56"/>
    </row>
    <row r="35" spans="2:55" x14ac:dyDescent="0.2">
      <c r="B35" s="25"/>
      <c r="C35" s="17"/>
      <c r="D35" s="17"/>
      <c r="E35" s="17"/>
      <c r="F35" s="17"/>
      <c r="G35" s="17"/>
      <c r="H35" s="17"/>
      <c r="I35" s="17"/>
      <c r="J35" s="17"/>
      <c r="K35" s="17"/>
      <c r="L35" s="17"/>
      <c r="M35" s="17"/>
      <c r="N35" s="17"/>
      <c r="O35" s="17"/>
      <c r="P35" s="17"/>
      <c r="Q35" s="17"/>
      <c r="R35" s="17"/>
      <c r="S35" s="17"/>
      <c r="T35" s="17"/>
      <c r="U35" s="17"/>
      <c r="V35" s="17"/>
      <c r="W35" s="17"/>
      <c r="X35" s="17"/>
      <c r="Y35" s="17"/>
    </row>
    <row r="36" spans="2:55" x14ac:dyDescent="0.2">
      <c r="B36" s="25"/>
      <c r="C36" s="17"/>
      <c r="D36" s="17"/>
      <c r="E36" s="17"/>
      <c r="F36" s="17"/>
      <c r="G36" s="17"/>
      <c r="H36" s="17"/>
      <c r="I36" s="17"/>
      <c r="J36" s="17"/>
      <c r="K36" s="17"/>
      <c r="L36" s="17"/>
      <c r="M36" s="17"/>
      <c r="N36" s="17"/>
      <c r="O36" s="17"/>
      <c r="P36" s="17"/>
      <c r="Q36" s="17"/>
      <c r="R36" s="17"/>
      <c r="S36" s="17"/>
      <c r="T36" s="17"/>
      <c r="U36" s="17"/>
      <c r="V36" s="17"/>
      <c r="W36" s="17"/>
      <c r="X36" s="17"/>
      <c r="Y36" s="17"/>
    </row>
    <row r="37" spans="2:55" x14ac:dyDescent="0.2">
      <c r="B37" s="37"/>
      <c r="C37" s="57"/>
      <c r="D37" s="57"/>
      <c r="E37" s="57"/>
      <c r="F37" s="57"/>
      <c r="G37" s="57"/>
      <c r="H37" s="57"/>
      <c r="I37" s="57"/>
      <c r="J37" s="57"/>
      <c r="K37" s="57"/>
      <c r="L37" s="57"/>
      <c r="M37" s="57"/>
      <c r="N37" s="57"/>
      <c r="O37" s="57"/>
      <c r="P37" s="57"/>
      <c r="Q37" s="57"/>
      <c r="R37" s="57"/>
      <c r="S37" s="57"/>
      <c r="T37" s="57"/>
      <c r="U37" s="57"/>
      <c r="V37" s="57"/>
      <c r="W37" s="57"/>
      <c r="X37" s="57"/>
      <c r="Y37" s="57"/>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2:55" x14ac:dyDescent="0.2">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row>
    <row r="39" spans="2:55" x14ac:dyDescent="0.2">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row>
    <row r="40" spans="2:55" x14ac:dyDescent="0.2">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row>
    <row r="41" spans="2:55" x14ac:dyDescent="0.2">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row>
    <row r="42" spans="2:55" x14ac:dyDescent="0.2">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row>
    <row r="43" spans="2:55" x14ac:dyDescent="0.2">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row>
    <row r="44" spans="2:55" x14ac:dyDescent="0.2">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row>
    <row r="45" spans="2:55" x14ac:dyDescent="0.2">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row>
    <row r="46" spans="2:55" x14ac:dyDescent="0.2">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row>
    <row r="47" spans="2:55" x14ac:dyDescent="0.2">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row>
    <row r="48" spans="2:55" x14ac:dyDescent="0.2">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row>
    <row r="49" spans="2:55" x14ac:dyDescent="0.2">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row>
    <row r="50" spans="2:55" x14ac:dyDescent="0.2">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row>
    <row r="51" spans="2:55" x14ac:dyDescent="0.2">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row>
    <row r="52" spans="2:55" x14ac:dyDescent="0.2">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row>
    <row r="53" spans="2:55" x14ac:dyDescent="0.2">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row>
    <row r="54" spans="2:55" x14ac:dyDescent="0.2">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row>
    <row r="55" spans="2:55" x14ac:dyDescent="0.2">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row>
    <row r="56" spans="2:55" x14ac:dyDescent="0.2">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row>
    <row r="57" spans="2:55" x14ac:dyDescent="0.2">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row>
    <row r="58" spans="2:55" x14ac:dyDescent="0.2">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row>
    <row r="59" spans="2:55" x14ac:dyDescent="0.2">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row>
    <row r="60" spans="2:55" x14ac:dyDescent="0.2">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row>
    <row r="61" spans="2:55" x14ac:dyDescent="0.2">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row>
    <row r="62" spans="2:55" x14ac:dyDescent="0.2">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row>
    <row r="63" spans="2:55" x14ac:dyDescent="0.2">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row>
    <row r="64" spans="2:55" x14ac:dyDescent="0.2">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row>
    <row r="65" spans="2:55" x14ac:dyDescent="0.2">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row>
    <row r="66" spans="2:55" x14ac:dyDescent="0.2">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row>
    <row r="67" spans="2:55" x14ac:dyDescent="0.2">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row>
    <row r="68" spans="2:55" x14ac:dyDescent="0.2">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row>
    <row r="69" spans="2:55" x14ac:dyDescent="0.2">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row>
    <row r="70" spans="2:55" x14ac:dyDescent="0.2">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row>
    <row r="71" spans="2:55" x14ac:dyDescent="0.2">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row>
    <row r="72" spans="2:55" x14ac:dyDescent="0.2">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row>
    <row r="73" spans="2:55" x14ac:dyDescent="0.2">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row>
    <row r="74" spans="2:55" x14ac:dyDescent="0.2">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row>
    <row r="75" spans="2:55" x14ac:dyDescent="0.2">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row>
    <row r="76" spans="2:55" x14ac:dyDescent="0.2">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row>
    <row r="77" spans="2:55" x14ac:dyDescent="0.2">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row>
    <row r="78" spans="2:55" x14ac:dyDescent="0.2">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row>
    <row r="79" spans="2:55" x14ac:dyDescent="0.2">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row>
    <row r="80" spans="2:55" x14ac:dyDescent="0.2">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row>
    <row r="81" spans="2:55" x14ac:dyDescent="0.2">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row>
    <row r="82" spans="2:55" x14ac:dyDescent="0.2">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row>
    <row r="83" spans="2:55" x14ac:dyDescent="0.2">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row>
    <row r="84" spans="2:55" x14ac:dyDescent="0.2">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row>
    <row r="85" spans="2:55" x14ac:dyDescent="0.2">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row>
    <row r="86" spans="2:55" x14ac:dyDescent="0.2">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row>
    <row r="87" spans="2:55" x14ac:dyDescent="0.2">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row>
    <row r="88" spans="2:55" x14ac:dyDescent="0.2">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row>
    <row r="89" spans="2:55" x14ac:dyDescent="0.2">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row>
    <row r="90" spans="2:55" x14ac:dyDescent="0.2">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row>
    <row r="91" spans="2:55" x14ac:dyDescent="0.2">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row>
    <row r="92" spans="2:55" x14ac:dyDescent="0.2">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row>
    <row r="93" spans="2:55" x14ac:dyDescent="0.2">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row>
    <row r="94" spans="2:55" x14ac:dyDescent="0.2">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row>
    <row r="95" spans="2:55" x14ac:dyDescent="0.2">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row>
    <row r="96" spans="2:55" x14ac:dyDescent="0.2">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row>
    <row r="97" spans="2:55" x14ac:dyDescent="0.2">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row>
    <row r="98" spans="2:55" x14ac:dyDescent="0.2">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row>
    <row r="99" spans="2:55" x14ac:dyDescent="0.2">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row>
    <row r="100" spans="2:55" x14ac:dyDescent="0.2">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row>
    <row r="101" spans="2:55" x14ac:dyDescent="0.2">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row>
    <row r="102" spans="2:55" x14ac:dyDescent="0.2">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row>
    <row r="103" spans="2:55" x14ac:dyDescent="0.2">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row>
    <row r="104" spans="2:55" x14ac:dyDescent="0.2">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row>
    <row r="105" spans="2:55" x14ac:dyDescent="0.2">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row>
    <row r="106" spans="2:55" x14ac:dyDescent="0.2">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row>
    <row r="107" spans="2:55" x14ac:dyDescent="0.2">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row>
    <row r="108" spans="2:55" x14ac:dyDescent="0.2">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row>
    <row r="109" spans="2:55" x14ac:dyDescent="0.2">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row>
    <row r="110" spans="2:55" x14ac:dyDescent="0.2">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row>
    <row r="111" spans="2:55" x14ac:dyDescent="0.2">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row>
    <row r="112" spans="2:55" x14ac:dyDescent="0.2">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row>
    <row r="113" spans="2:55" x14ac:dyDescent="0.2">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row>
    <row r="114" spans="2:55" x14ac:dyDescent="0.2">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row>
    <row r="115" spans="2:55" x14ac:dyDescent="0.2">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row>
    <row r="116" spans="2:55" x14ac:dyDescent="0.2">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row>
    <row r="117" spans="2:55" x14ac:dyDescent="0.2">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row>
    <row r="118" spans="2:55" x14ac:dyDescent="0.2">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row>
    <row r="119" spans="2:55" x14ac:dyDescent="0.2">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row>
    <row r="120" spans="2:55" x14ac:dyDescent="0.2">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row>
    <row r="121" spans="2:55" x14ac:dyDescent="0.2">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row>
    <row r="122" spans="2:55" x14ac:dyDescent="0.2">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row>
    <row r="123" spans="2:55" x14ac:dyDescent="0.2">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row>
    <row r="124" spans="2:55" x14ac:dyDescent="0.2">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row>
    <row r="125" spans="2:55" x14ac:dyDescent="0.2">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row>
    <row r="126" spans="2:55" x14ac:dyDescent="0.2">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row>
    <row r="127" spans="2:55" x14ac:dyDescent="0.2">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row>
    <row r="128" spans="2:55" x14ac:dyDescent="0.2">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row>
    <row r="129" spans="2:55" x14ac:dyDescent="0.2">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row>
    <row r="130" spans="2:55" x14ac:dyDescent="0.2">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row>
    <row r="131" spans="2:55" x14ac:dyDescent="0.2">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row>
    <row r="132" spans="2:55" x14ac:dyDescent="0.2">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row>
    <row r="133" spans="2:55" x14ac:dyDescent="0.2">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row>
    <row r="134" spans="2:55" x14ac:dyDescent="0.2">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row>
    <row r="135" spans="2:55" x14ac:dyDescent="0.2">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row>
    <row r="136" spans="2:55" x14ac:dyDescent="0.2">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row>
    <row r="137" spans="2:55" x14ac:dyDescent="0.2">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row>
    <row r="138" spans="2:55" x14ac:dyDescent="0.2">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row>
    <row r="139" spans="2:55" x14ac:dyDescent="0.2">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row>
    <row r="140" spans="2:55" x14ac:dyDescent="0.2">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row>
    <row r="141" spans="2:55" x14ac:dyDescent="0.2">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row>
    <row r="142" spans="2:55" x14ac:dyDescent="0.2">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row>
    <row r="143" spans="2:55" x14ac:dyDescent="0.2">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row>
    <row r="144" spans="2:55" x14ac:dyDescent="0.2">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row>
    <row r="145" spans="2:55" x14ac:dyDescent="0.2">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row>
    <row r="146" spans="2:55" x14ac:dyDescent="0.2">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row>
    <row r="147" spans="2:55" x14ac:dyDescent="0.2">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row>
    <row r="148" spans="2:55" x14ac:dyDescent="0.2">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row>
    <row r="149" spans="2:55" x14ac:dyDescent="0.2">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row>
    <row r="150" spans="2:55" x14ac:dyDescent="0.2">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row>
    <row r="151" spans="2:55" x14ac:dyDescent="0.2">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row>
    <row r="152" spans="2:55" x14ac:dyDescent="0.2">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row>
    <row r="153" spans="2:55" x14ac:dyDescent="0.2">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row>
    <row r="154" spans="2:55" x14ac:dyDescent="0.2">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row>
    <row r="155" spans="2:55" x14ac:dyDescent="0.2">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row>
    <row r="156" spans="2:55" x14ac:dyDescent="0.2">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row>
    <row r="157" spans="2:55" x14ac:dyDescent="0.2">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row>
    <row r="158" spans="2:55" x14ac:dyDescent="0.2">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row>
    <row r="159" spans="2:55" x14ac:dyDescent="0.2">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row>
    <row r="160" spans="2:55" x14ac:dyDescent="0.2">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row>
    <row r="161" spans="2:55" x14ac:dyDescent="0.2">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row>
    <row r="162" spans="2:55" x14ac:dyDescent="0.2">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row>
    <row r="163" spans="2:55" x14ac:dyDescent="0.2">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row>
    <row r="164" spans="2:55" x14ac:dyDescent="0.2">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row>
    <row r="165" spans="2:55" x14ac:dyDescent="0.2">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row>
    <row r="166" spans="2:55" x14ac:dyDescent="0.2">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row>
    <row r="167" spans="2:55" x14ac:dyDescent="0.2">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row>
    <row r="168" spans="2:55" x14ac:dyDescent="0.2">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row>
    <row r="169" spans="2:55" x14ac:dyDescent="0.2">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row>
    <row r="170" spans="2:55" x14ac:dyDescent="0.2">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row>
    <row r="171" spans="2:55" x14ac:dyDescent="0.2">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row>
    <row r="172" spans="2:55" x14ac:dyDescent="0.2">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row>
    <row r="173" spans="2:55" x14ac:dyDescent="0.2">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row>
    <row r="174" spans="2:55" x14ac:dyDescent="0.2">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row>
    <row r="175" spans="2:55" x14ac:dyDescent="0.2">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row>
    <row r="176" spans="2:55" x14ac:dyDescent="0.2">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row>
    <row r="177" spans="2:55" x14ac:dyDescent="0.2">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row>
    <row r="178" spans="2:55" x14ac:dyDescent="0.2">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row>
    <row r="179" spans="2:55" x14ac:dyDescent="0.2">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row>
    <row r="180" spans="2:55" x14ac:dyDescent="0.2">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row>
    <row r="181" spans="2:55" x14ac:dyDescent="0.2">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row>
    <row r="182" spans="2:55" x14ac:dyDescent="0.2">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row>
    <row r="183" spans="2:55" x14ac:dyDescent="0.2">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row>
    <row r="184" spans="2:55" x14ac:dyDescent="0.2">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row>
    <row r="185" spans="2:55" x14ac:dyDescent="0.2">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row>
    <row r="186" spans="2:55" x14ac:dyDescent="0.2">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row>
    <row r="187" spans="2:55" x14ac:dyDescent="0.2">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row>
    <row r="188" spans="2:55" x14ac:dyDescent="0.2">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row>
    <row r="189" spans="2:55" x14ac:dyDescent="0.2">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row>
    <row r="190" spans="2:55" x14ac:dyDescent="0.2">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row>
    <row r="191" spans="2:55" x14ac:dyDescent="0.2">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row>
    <row r="192" spans="2:55" x14ac:dyDescent="0.2">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row>
    <row r="193" spans="2:55" x14ac:dyDescent="0.2">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row>
    <row r="194" spans="2:55" x14ac:dyDescent="0.2">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row>
    <row r="195" spans="2:55" x14ac:dyDescent="0.2">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row>
    <row r="196" spans="2:55" x14ac:dyDescent="0.2">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row>
    <row r="197" spans="2:55" x14ac:dyDescent="0.2">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row>
    <row r="198" spans="2:55" x14ac:dyDescent="0.2">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row>
  </sheetData>
  <mergeCells count="14">
    <mergeCell ref="B2:B3"/>
    <mergeCell ref="B18:B19"/>
    <mergeCell ref="C18:L18"/>
    <mergeCell ref="C19:D19"/>
    <mergeCell ref="E19:F19"/>
    <mergeCell ref="G19:H19"/>
    <mergeCell ref="I19:J19"/>
    <mergeCell ref="K19:L19"/>
    <mergeCell ref="C2:L2"/>
    <mergeCell ref="C3:D3"/>
    <mergeCell ref="E3:F3"/>
    <mergeCell ref="G3:H3"/>
    <mergeCell ref="I3:J3"/>
    <mergeCell ref="K3:L3"/>
  </mergeCells>
  <phoneticPr fontId="2"/>
  <printOptions horizontalCentered="1"/>
  <pageMargins left="0.70866141732283472" right="0.70866141732283472" top="0.74803149606299213" bottom="0.74803149606299213" header="0.31496062992125984" footer="0.31496062992125984"/>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6626" r:id="rId4" name="Button 2">
              <controlPr defaultSize="0" print="0" autoFill="0" autoPict="0" macro="[0]!データ削除_年齢階層在院期間区分F2">
                <anchor moveWithCells="1" sizeWithCells="1">
                  <from>
                    <xdr:col>13</xdr:col>
                    <xdr:colOff>213360</xdr:colOff>
                    <xdr:row>0</xdr:row>
                    <xdr:rowOff>205740</xdr:rowOff>
                  </from>
                  <to>
                    <xdr:col>16</xdr:col>
                    <xdr:colOff>160020</xdr:colOff>
                    <xdr:row>2</xdr:row>
                    <xdr:rowOff>236220</xdr:rowOff>
                  </to>
                </anchor>
              </controlPr>
            </control>
          </mc:Choice>
        </mc:AlternateContent>
      </controls>
    </mc:Choice>
  </mc:AlternateContent>
  <tableParts count="4">
    <tablePart r:id="rId5"/>
    <tablePart r:id="rId6"/>
    <tablePart r:id="rId7"/>
    <tablePart r:id="rId8"/>
  </tablePart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rgb="FFFF0000"/>
    <pageSetUpPr fitToPage="1"/>
  </sheetPr>
  <dimension ref="A1:BD230"/>
  <sheetViews>
    <sheetView showGridLines="0" view="pageBreakPreview" topLeftCell="B1" zoomScale="80" zoomScaleNormal="100" zoomScaleSheetLayoutView="80" workbookViewId="0">
      <selection activeCell="B1" sqref="B1"/>
    </sheetView>
  </sheetViews>
  <sheetFormatPr defaultColWidth="9" defaultRowHeight="17.399999999999999" x14ac:dyDescent="0.2"/>
  <cols>
    <col min="1" max="1" width="4" style="1" hidden="1" customWidth="1"/>
    <col min="2" max="2" width="12.44140625" style="1" customWidth="1"/>
    <col min="3" max="12" width="8.77734375" style="1" customWidth="1"/>
    <col min="13" max="13" width="22.109375" style="1" customWidth="1"/>
    <col min="14" max="16" width="11.77734375" style="676" hidden="1" customWidth="1"/>
    <col min="17" max="17" width="11.77734375" style="1" hidden="1" customWidth="1"/>
    <col min="18" max="34" width="12.109375" style="1" hidden="1" customWidth="1"/>
    <col min="35" max="35" width="9" style="1" hidden="1" customWidth="1"/>
    <col min="36" max="39" width="9" style="1" customWidth="1"/>
    <col min="40" max="56" width="9" style="1" hidden="1" customWidth="1"/>
    <col min="57" max="16384" width="9" style="1"/>
  </cols>
  <sheetData>
    <row r="1" spans="2:56" ht="19.5" customHeight="1" x14ac:dyDescent="0.2">
      <c r="B1" s="2" t="s">
        <v>151</v>
      </c>
    </row>
    <row r="2" spans="2:56" ht="18.75" customHeight="1" thickBot="1" x14ac:dyDescent="0.25">
      <c r="B2" s="1055" t="s">
        <v>64</v>
      </c>
      <c r="C2" s="1057" t="s">
        <v>63</v>
      </c>
      <c r="D2" s="1058"/>
      <c r="E2" s="1058"/>
      <c r="F2" s="1058"/>
      <c r="G2" s="1058"/>
      <c r="H2" s="1058"/>
      <c r="I2" s="1058"/>
      <c r="J2" s="1058"/>
      <c r="K2" s="1058"/>
      <c r="L2" s="1059"/>
      <c r="R2" s="21" t="s">
        <v>62</v>
      </c>
    </row>
    <row r="3" spans="2:56" ht="18.75" customHeight="1" thickTop="1" thickBot="1" x14ac:dyDescent="0.25">
      <c r="B3" s="1056"/>
      <c r="C3" s="1060" t="s">
        <v>68</v>
      </c>
      <c r="D3" s="1061"/>
      <c r="E3" s="1060" t="s">
        <v>69</v>
      </c>
      <c r="F3" s="1061"/>
      <c r="G3" s="1060" t="s">
        <v>70</v>
      </c>
      <c r="H3" s="1061"/>
      <c r="I3" s="1060" t="s">
        <v>71</v>
      </c>
      <c r="J3" s="1061"/>
      <c r="K3" s="1060" t="s">
        <v>61</v>
      </c>
      <c r="L3" s="1061"/>
      <c r="R3" s="266" t="s">
        <v>655</v>
      </c>
      <c r="S3" s="306" t="s">
        <v>677</v>
      </c>
      <c r="T3" s="306" t="s">
        <v>678</v>
      </c>
      <c r="U3" s="306" t="s">
        <v>679</v>
      </c>
      <c r="V3" s="306" t="s">
        <v>680</v>
      </c>
      <c r="W3" s="306" t="s">
        <v>681</v>
      </c>
      <c r="X3" s="306" t="s">
        <v>682</v>
      </c>
      <c r="Y3" s="306" t="s">
        <v>683</v>
      </c>
      <c r="Z3" s="306" t="s">
        <v>340</v>
      </c>
      <c r="AA3" s="306" t="s">
        <v>684</v>
      </c>
      <c r="AB3" s="306" t="s">
        <v>685</v>
      </c>
      <c r="AC3" s="306" t="s">
        <v>686</v>
      </c>
      <c r="AD3" s="306" t="s">
        <v>687</v>
      </c>
      <c r="AE3" s="306" t="s">
        <v>688</v>
      </c>
      <c r="AF3" s="306" t="s">
        <v>689</v>
      </c>
      <c r="AG3" s="306" t="s">
        <v>690</v>
      </c>
      <c r="AH3" s="43" t="s">
        <v>691</v>
      </c>
      <c r="AO3" s="295" t="s">
        <v>170</v>
      </c>
      <c r="AP3" s="296" t="s">
        <v>171</v>
      </c>
      <c r="AQ3" s="296" t="s">
        <v>172</v>
      </c>
      <c r="AR3" s="296" t="s">
        <v>173</v>
      </c>
      <c r="AS3" s="296" t="s">
        <v>174</v>
      </c>
      <c r="AT3" s="296" t="s">
        <v>175</v>
      </c>
      <c r="AU3" s="296" t="s">
        <v>176</v>
      </c>
      <c r="AV3" s="296" t="s">
        <v>177</v>
      </c>
      <c r="AW3" s="296" t="s">
        <v>178</v>
      </c>
      <c r="AX3" s="296" t="s">
        <v>179</v>
      </c>
      <c r="AY3" s="296" t="s">
        <v>180</v>
      </c>
      <c r="AZ3" s="296" t="s">
        <v>181</v>
      </c>
      <c r="BA3" s="296" t="s">
        <v>182</v>
      </c>
      <c r="BB3" s="296" t="s">
        <v>183</v>
      </c>
      <c r="BC3" s="296" t="s">
        <v>184</v>
      </c>
      <c r="BD3" s="295" t="s">
        <v>185</v>
      </c>
    </row>
    <row r="4" spans="2:56" s="16" customFormat="1" ht="18.75" customHeight="1" thickTop="1" x14ac:dyDescent="0.2">
      <c r="B4" s="147" t="s">
        <v>2</v>
      </c>
      <c r="C4" s="148">
        <f>IFERROR(INDEX(年齢階層×在院期間区分F00F01[#All],MATCH($AN4,年齢階層×在院期間区分F00F01[[#All],[行ラベル]],0),MATCH($AO$3,年齢階層×在院期間区分F00F01[#Headers],0)),0)+IFERROR(INDEX(年齢階層×在院期間区分F00F01[#All],MATCH($AN4,年齢階層×在院期間区分F00F01[[#All],[行ラベル]],0),MATCH($AP$3,年齢階層×在院期間区分F00F01[#Headers],0)),0)+IFERROR(INDEX(年齢階層×在院期間区分F00F01[#All],MATCH($AN4,年齢階層×在院期間区分F00F01[[#All],[行ラベル]],0),MATCH($AQ$3,年齢階層×在院期間区分F00F01[#Headers],0)),0)+IFERROR(INDEX(年齢階層×在院期間区分F00F01[#All],MATCH($AN4,年齢階層×在院期間区分F00F01[[#All],[行ラベル]],0),MATCH($AR$3,年齢階層×在院期間区分F00F01[#Headers],0)),0)</f>
        <v>0</v>
      </c>
      <c r="D4" s="143">
        <f t="shared" ref="D4:D12" si="0">IFERROR(C4/$C$13,"-")</f>
        <v>0</v>
      </c>
      <c r="E4" s="148">
        <f>IFERROR(INDEX(年齢階層×在院期間区分F00F01[#All],MATCH($AN4,年齢階層×在院期間区分F00F01[[#All],[行ラベル]],0),MATCH($AS$3,年齢階層×在院期間区分F00F01[#Headers],0)),0)+IFERROR(INDEX(年齢階層×在院期間区分F00F01[#All],MATCH($AN4,年齢階層×在院期間区分F00F01[[#All],[行ラベル]],0),MATCH($AT$3,年齢階層×在院期間区分F00F01[#Headers],0)),0)+IFERROR(INDEX(年齢階層×在院期間区分F00F01[#All],MATCH($AN4,年齢階層×在院期間区分F00F01[[#All],[行ラベル]],0),MATCH($AU$3,年齢階層×在院期間区分F00F01[#Headers],0)),0)+IFERROR(INDEX(年齢階層×在院期間区分F00F01[#All],MATCH($AN4,年齢階層×在院期間区分F00F01[[#All],[行ラベル]],0),MATCH($AV$3,年齢階層×在院期間区分F00F01[#Headers],0)),0)+IFERROR(INDEX(年齢階層×在院期間区分F00F01[#All],MATCH($AN4,年齢階層×在院期間区分F00F01[[#All],[行ラベル]],0),MATCH($AW$3,年齢階層×在院期間区分F00F01[#Headers],0)),0)</f>
        <v>0</v>
      </c>
      <c r="F4" s="143">
        <f t="shared" ref="F4:F12" si="1">IFERROR(E4/$E$13,"-")</f>
        <v>0</v>
      </c>
      <c r="G4" s="148">
        <f>IFERROR(INDEX(年齢階層×在院期間区分F00F01[#All],MATCH($AN4,年齢階層×在院期間区分F00F01[[#All],[行ラベル]],0),MATCH($AX$3,年齢階層×在院期間区分F00F01[#Headers],0)),0)+IFERROR(INDEX(年齢階層×在院期間区分F00F01[#All],MATCH($AN4,年齢階層×在院期間区分F00F01[[#All],[行ラベル]],0),MATCH($AY$3,年齢階層×在院期間区分F00F01[#Headers],0)),0)+IFERROR(INDEX(年齢階層×在院期間区分F00F01[#All],MATCH($AN4,年齢階層×在院期間区分F00F01[[#All],[行ラベル]],0),MATCH($AZ$3,年齢階層×在院期間区分F00F01[#Headers],0)),0)+IFERROR(INDEX(年齢階層×在院期間区分F00F01[#All],MATCH($AN4,年齢階層×在院期間区分F00F01[[#All],[行ラベル]],0),MATCH($BA$3,年齢階層×在院期間区分F00F01[#Headers],0)),0)+IFERROR(INDEX(年齢階層×在院期間区分F00F01[#All],MATCH($AN4,年齢階層×在院期間区分F00F01[[#All],[行ラベル]],0),MATCH($BB$3,年齢階層×在院期間区分F00F01[#Headers],0)),0)</f>
        <v>0</v>
      </c>
      <c r="H4" s="143">
        <f t="shared" ref="H4:H12" si="2">IFERROR(G4/$G$13,"-")</f>
        <v>0</v>
      </c>
      <c r="I4" s="142">
        <f>IFERROR(INDEX(年齢階層×在院期間区分F00F01[#All],MATCH($AN4,年齢階層×在院期間区分F00F01[[#All],[行ラベル]],0),MATCH($BC$3,年齢階層×在院期間区分F00F01[#Headers],0)),0)+IFERROR(INDEX(年齢階層×在院期間区分F00F01[#All],MATCH($AN4,年齢階層×在院期間区分F00F01[[#All],[行ラベル]],0),MATCH($BD$3,年齢階層×在院期間区分F00F01[#Headers],0)),0)</f>
        <v>0</v>
      </c>
      <c r="J4" s="143">
        <f t="shared" ref="J4:J12" si="3">IFERROR(I4/$I$13,"-")</f>
        <v>0</v>
      </c>
      <c r="K4" s="142">
        <f t="shared" ref="K4:K12" si="4">SUM(C4,E4,G4,I4)</f>
        <v>0</v>
      </c>
      <c r="L4" s="143">
        <f t="shared" ref="L4:L12" si="5">IFERROR(K4/$K$13,"-")</f>
        <v>0</v>
      </c>
      <c r="R4" s="41" t="s">
        <v>2</v>
      </c>
      <c r="S4" s="49">
        <v>0</v>
      </c>
      <c r="T4" s="49">
        <v>0</v>
      </c>
      <c r="U4" s="49">
        <v>0</v>
      </c>
      <c r="V4" s="49">
        <v>0</v>
      </c>
      <c r="W4" s="49">
        <v>0</v>
      </c>
      <c r="X4" s="49">
        <v>0</v>
      </c>
      <c r="Y4" s="49">
        <v>0</v>
      </c>
      <c r="Z4" s="49">
        <v>0</v>
      </c>
      <c r="AA4" s="49">
        <v>0</v>
      </c>
      <c r="AB4" s="49">
        <v>0</v>
      </c>
      <c r="AC4" s="49">
        <v>0</v>
      </c>
      <c r="AD4" s="49">
        <v>0</v>
      </c>
      <c r="AE4" s="49">
        <v>0</v>
      </c>
      <c r="AF4" s="49">
        <v>0</v>
      </c>
      <c r="AG4" s="49">
        <v>0</v>
      </c>
      <c r="AH4" s="49">
        <v>0</v>
      </c>
      <c r="AN4" s="41" t="s">
        <v>2</v>
      </c>
      <c r="AO4" s="50"/>
      <c r="AR4" s="54"/>
    </row>
    <row r="5" spans="2:56" s="16" customFormat="1" ht="18.75" customHeight="1" x14ac:dyDescent="0.2">
      <c r="B5" s="149" t="s">
        <v>3</v>
      </c>
      <c r="C5" s="150">
        <f>IFERROR(INDEX(年齢階層×在院期間区分F00F01[#All],MATCH($AN5,年齢階層×在院期間区分F00F01[[#All],[行ラベル]],0),MATCH($AO$3,年齢階層×在院期間区分F00F01[#Headers],0)),0)+IFERROR(INDEX(年齢階層×在院期間区分F00F01[#All],MATCH($AN5,年齢階層×在院期間区分F00F01[[#All],[行ラベル]],0),MATCH($AP$3,年齢階層×在院期間区分F00F01[#Headers],0)),0)+IFERROR(INDEX(年齢階層×在院期間区分F00F01[#All],MATCH($AN5,年齢階層×在院期間区分F00F01[[#All],[行ラベル]],0),MATCH($AQ$3,年齢階層×在院期間区分F00F01[#Headers],0)),0)+IFERROR(INDEX(年齢階層×在院期間区分F00F01[#All],MATCH($AN5,年齢階層×在院期間区分F00F01[[#All],[行ラベル]],0),MATCH($AR$3,年齢階層×在院期間区分F00F01[#Headers],0)),0)</f>
        <v>0</v>
      </c>
      <c r="D5" s="128">
        <f t="shared" si="0"/>
        <v>0</v>
      </c>
      <c r="E5" s="127">
        <f>IFERROR(INDEX(年齢階層×在院期間区分F00F01[#All],MATCH($AN5,年齢階層×在院期間区分F00F01[[#All],[行ラベル]],0),MATCH($AS$3,年齢階層×在院期間区分F00F01[#Headers],0)),0)+IFERROR(INDEX(年齢階層×在院期間区分F00F01[#All],MATCH($AN5,年齢階層×在院期間区分F00F01[[#All],[行ラベル]],0),MATCH($AT$3,年齢階層×在院期間区分F00F01[#Headers],0)),0)+IFERROR(INDEX(年齢階層×在院期間区分F00F01[#All],MATCH($AN5,年齢階層×在院期間区分F00F01[[#All],[行ラベル]],0),MATCH($AU$3,年齢階層×在院期間区分F00F01[#Headers],0)),0)+IFERROR(INDEX(年齢階層×在院期間区分F00F01[#All],MATCH($AN5,年齢階層×在院期間区分F00F01[[#All],[行ラベル]],0),MATCH($AV$3,年齢階層×在院期間区分F00F01[#Headers],0)),0)+IFERROR(INDEX(年齢階層×在院期間区分F00F01[#All],MATCH($AN5,年齢階層×在院期間区分F00F01[[#All],[行ラベル]],0),MATCH($AW$3,年齢階層×在院期間区分F00F01[#Headers],0)),0)</f>
        <v>0</v>
      </c>
      <c r="F5" s="128">
        <f t="shared" si="1"/>
        <v>0</v>
      </c>
      <c r="G5" s="150">
        <f>IFERROR(INDEX(年齢階層×在院期間区分F00F01[#All],MATCH($AN5,年齢階層×在院期間区分F00F01[[#All],[行ラベル]],0),MATCH($AX$3,年齢階層×在院期間区分F00F01[#Headers],0)),0)+IFERROR(INDEX(年齢階層×在院期間区分F00F01[#All],MATCH($AN5,年齢階層×在院期間区分F00F01[[#All],[行ラベル]],0),MATCH($AY$3,年齢階層×在院期間区分F00F01[#Headers],0)),0)+IFERROR(INDEX(年齢階層×在院期間区分F00F01[#All],MATCH($AN5,年齢階層×在院期間区分F00F01[[#All],[行ラベル]],0),MATCH($AZ$3,年齢階層×在院期間区分F00F01[#Headers],0)),0)+IFERROR(INDEX(年齢階層×在院期間区分F00F01[#All],MATCH($AN5,年齢階層×在院期間区分F00F01[[#All],[行ラベル]],0),MATCH($BA$3,年齢階層×在院期間区分F00F01[#Headers],0)),0)+IFERROR(INDEX(年齢階層×在院期間区分F00F01[#All],MATCH($AN5,年齢階層×在院期間区分F00F01[[#All],[行ラベル]],0),MATCH($BB$3,年齢階層×在院期間区分F00F01[#Headers],0)),0)</f>
        <v>0</v>
      </c>
      <c r="H5" s="128">
        <f t="shared" si="2"/>
        <v>0</v>
      </c>
      <c r="I5" s="151">
        <f>IFERROR(INDEX(年齢階層×在院期間区分F00F01[#All],MATCH($AN5,年齢階層×在院期間区分F00F01[[#All],[行ラベル]],0),MATCH($BC$3,年齢階層×在院期間区分F00F01[#Headers],0)),0)+IFERROR(INDEX(年齢階層×在院期間区分F00F01[#All],MATCH($AN5,年齢階層×在院期間区分F00F01[[#All],[行ラベル]],0),MATCH($BD$3,年齢階層×在院期間区分F00F01[#Headers],0)),0)</f>
        <v>0</v>
      </c>
      <c r="J5" s="128">
        <f t="shared" si="3"/>
        <v>0</v>
      </c>
      <c r="K5" s="127">
        <f t="shared" si="4"/>
        <v>0</v>
      </c>
      <c r="L5" s="128">
        <f t="shared" si="5"/>
        <v>0</v>
      </c>
      <c r="R5" s="41" t="s">
        <v>3</v>
      </c>
      <c r="S5" s="49">
        <v>0</v>
      </c>
      <c r="T5" s="49">
        <v>0</v>
      </c>
      <c r="U5" s="49">
        <v>0</v>
      </c>
      <c r="V5" s="49">
        <v>0</v>
      </c>
      <c r="W5" s="49">
        <v>0</v>
      </c>
      <c r="X5" s="49">
        <v>0</v>
      </c>
      <c r="Y5" s="49">
        <v>0</v>
      </c>
      <c r="Z5" s="49">
        <v>0</v>
      </c>
      <c r="AA5" s="49">
        <v>0</v>
      </c>
      <c r="AB5" s="49">
        <v>0</v>
      </c>
      <c r="AC5" s="49">
        <v>0</v>
      </c>
      <c r="AD5" s="49">
        <v>0</v>
      </c>
      <c r="AE5" s="49">
        <v>0</v>
      </c>
      <c r="AF5" s="49">
        <v>0</v>
      </c>
      <c r="AG5" s="49">
        <v>0</v>
      </c>
      <c r="AH5" s="49">
        <v>0</v>
      </c>
      <c r="AN5" s="41" t="s">
        <v>3</v>
      </c>
      <c r="AO5" s="50"/>
      <c r="AP5" s="50"/>
      <c r="AR5" s="54"/>
    </row>
    <row r="6" spans="2:56" s="16" customFormat="1" ht="18.75" customHeight="1" x14ac:dyDescent="0.2">
      <c r="B6" s="149" t="s">
        <v>4</v>
      </c>
      <c r="C6" s="150">
        <f>IFERROR(INDEX(年齢階層×在院期間区分F00F01[#All],MATCH($AN6,年齢階層×在院期間区分F00F01[[#All],[行ラベル]],0),MATCH($AO$3,年齢階層×在院期間区分F00F01[#Headers],0)),0)+IFERROR(INDEX(年齢階層×在院期間区分F00F01[#All],MATCH($AN6,年齢階層×在院期間区分F00F01[[#All],[行ラベル]],0),MATCH($AP$3,年齢階層×在院期間区分F00F01[#Headers],0)),0)+IFERROR(INDEX(年齢階層×在院期間区分F00F01[#All],MATCH($AN6,年齢階層×在院期間区分F00F01[[#All],[行ラベル]],0),MATCH($AQ$3,年齢階層×在院期間区分F00F01[#Headers],0)),0)+IFERROR(INDEX(年齢階層×在院期間区分F00F01[#All],MATCH($AN6,年齢階層×在院期間区分F00F01[[#All],[行ラベル]],0),MATCH($AR$3,年齢階層×在院期間区分F00F01[#Headers],0)),0)</f>
        <v>0</v>
      </c>
      <c r="D6" s="128">
        <f t="shared" si="0"/>
        <v>0</v>
      </c>
      <c r="E6" s="151">
        <f>IFERROR(INDEX(年齢階層×在院期間区分F00F01[#All],MATCH($AN6,年齢階層×在院期間区分F00F01[[#All],[行ラベル]],0),MATCH($AS$3,年齢階層×在院期間区分F00F01[#Headers],0)),0)+IFERROR(INDEX(年齢階層×在院期間区分F00F01[#All],MATCH($AN6,年齢階層×在院期間区分F00F01[[#All],[行ラベル]],0),MATCH($AT$3,年齢階層×在院期間区分F00F01[#Headers],0)),0)+IFERROR(INDEX(年齢階層×在院期間区分F00F01[#All],MATCH($AN6,年齢階層×在院期間区分F00F01[[#All],[行ラベル]],0),MATCH($AU$3,年齢階層×在院期間区分F00F01[#Headers],0)),0)+IFERROR(INDEX(年齢階層×在院期間区分F00F01[#All],MATCH($AN6,年齢階層×在院期間区分F00F01[[#All],[行ラベル]],0),MATCH($AV$3,年齢階層×在院期間区分F00F01[#Headers],0)),0)+IFERROR(INDEX(年齢階層×在院期間区分F00F01[#All],MATCH($AN6,年齢階層×在院期間区分F00F01[[#All],[行ラベル]],0),MATCH($AW$3,年齢階層×在院期間区分F00F01[#Headers],0)),0)</f>
        <v>0</v>
      </c>
      <c r="F6" s="128">
        <f t="shared" si="1"/>
        <v>0</v>
      </c>
      <c r="G6" s="150">
        <f>IFERROR(INDEX(年齢階層×在院期間区分F00F01[#All],MATCH($AN6,年齢階層×在院期間区分F00F01[[#All],[行ラベル]],0),MATCH($AX$3,年齢階層×在院期間区分F00F01[#Headers],0)),0)+IFERROR(INDEX(年齢階層×在院期間区分F00F01[#All],MATCH($AN6,年齢階層×在院期間区分F00F01[[#All],[行ラベル]],0),MATCH($AY$3,年齢階層×在院期間区分F00F01[#Headers],0)),0)+IFERROR(INDEX(年齢階層×在院期間区分F00F01[#All],MATCH($AN6,年齢階層×在院期間区分F00F01[[#All],[行ラベル]],0),MATCH($AZ$3,年齢階層×在院期間区分F00F01[#Headers],0)),0)+IFERROR(INDEX(年齢階層×在院期間区分F00F01[#All],MATCH($AN6,年齢階層×在院期間区分F00F01[[#All],[行ラベル]],0),MATCH($BA$3,年齢階層×在院期間区分F00F01[#Headers],0)),0)+IFERROR(INDEX(年齢階層×在院期間区分F00F01[#All],MATCH($AN6,年齢階層×在院期間区分F00F01[[#All],[行ラベル]],0),MATCH($BB$3,年齢階層×在院期間区分F00F01[#Headers],0)),0)</f>
        <v>0</v>
      </c>
      <c r="H6" s="128">
        <f t="shared" si="2"/>
        <v>0</v>
      </c>
      <c r="I6" s="127">
        <f>IFERROR(INDEX(年齢階層×在院期間区分F00F01[#All],MATCH($AN6,年齢階層×在院期間区分F00F01[[#All],[行ラベル]],0),MATCH($BC$3,年齢階層×在院期間区分F00F01[#Headers],0)),0)+IFERROR(INDEX(年齢階層×在院期間区分F00F01[#All],MATCH($AN6,年齢階層×在院期間区分F00F01[[#All],[行ラベル]],0),MATCH($BD$3,年齢階層×在院期間区分F00F01[#Headers],0)),0)</f>
        <v>0</v>
      </c>
      <c r="J6" s="128">
        <f t="shared" si="3"/>
        <v>0</v>
      </c>
      <c r="K6" s="127">
        <f t="shared" si="4"/>
        <v>0</v>
      </c>
      <c r="L6" s="128">
        <f t="shared" si="5"/>
        <v>0</v>
      </c>
      <c r="R6" s="41" t="s">
        <v>4</v>
      </c>
      <c r="S6" s="49">
        <v>0</v>
      </c>
      <c r="T6" s="49">
        <v>0</v>
      </c>
      <c r="U6" s="49">
        <v>0</v>
      </c>
      <c r="V6" s="49">
        <v>0</v>
      </c>
      <c r="W6" s="49">
        <v>0</v>
      </c>
      <c r="X6" s="49">
        <v>0</v>
      </c>
      <c r="Y6" s="49">
        <v>0</v>
      </c>
      <c r="Z6" s="49">
        <v>0</v>
      </c>
      <c r="AA6" s="49">
        <v>0</v>
      </c>
      <c r="AB6" s="49">
        <v>0</v>
      </c>
      <c r="AC6" s="49">
        <v>0</v>
      </c>
      <c r="AD6" s="49">
        <v>0</v>
      </c>
      <c r="AE6" s="49">
        <v>0</v>
      </c>
      <c r="AF6" s="49">
        <v>0</v>
      </c>
      <c r="AG6" s="49">
        <v>0</v>
      </c>
      <c r="AH6" s="49">
        <v>0</v>
      </c>
      <c r="AN6" s="41" t="s">
        <v>4</v>
      </c>
      <c r="AO6" s="50"/>
      <c r="AP6" s="50"/>
      <c r="AR6" s="54"/>
    </row>
    <row r="7" spans="2:56" s="16" customFormat="1" ht="18.75" customHeight="1" x14ac:dyDescent="0.2">
      <c r="B7" s="149" t="s">
        <v>5</v>
      </c>
      <c r="C7" s="127">
        <f>IFERROR(INDEX(年齢階層×在院期間区分F00F01[#All],MATCH($AN7,年齢階層×在院期間区分F00F01[[#All],[行ラベル]],0),MATCH($AO$3,年齢階層×在院期間区分F00F01[#Headers],0)),0)+IFERROR(INDEX(年齢階層×在院期間区分F00F01[#All],MATCH($AN7,年齢階層×在院期間区分F00F01[[#All],[行ラベル]],0),MATCH($AP$3,年齢階層×在院期間区分F00F01[#Headers],0)),0)+IFERROR(INDEX(年齢階層×在院期間区分F00F01[#All],MATCH($AN7,年齢階層×在院期間区分F00F01[[#All],[行ラベル]],0),MATCH($AQ$3,年齢階層×在院期間区分F00F01[#Headers],0)),0)+IFERROR(INDEX(年齢階層×在院期間区分F00F01[#All],MATCH($AN7,年齢階層×在院期間区分F00F01[[#All],[行ラベル]],0),MATCH($AR$3,年齢階層×在院期間区分F00F01[#Headers],0)),0)</f>
        <v>1</v>
      </c>
      <c r="D7" s="128">
        <f t="shared" si="0"/>
        <v>7.4460163812360388E-4</v>
      </c>
      <c r="E7" s="127">
        <f>IFERROR(INDEX(年齢階層×在院期間区分F00F01[#All],MATCH($AN7,年齢階層×在院期間区分F00F01[[#All],[行ラベル]],0),MATCH($AS$3,年齢階層×在院期間区分F00F01[#Headers],0)),0)+IFERROR(INDEX(年齢階層×在院期間区分F00F01[#All],MATCH($AN7,年齢階層×在院期間区分F00F01[[#All],[行ラベル]],0),MATCH($AT$3,年齢階層×在院期間区分F00F01[#Headers],0)),0)+IFERROR(INDEX(年齢階層×在院期間区分F00F01[#All],MATCH($AN7,年齢階層×在院期間区分F00F01[[#All],[行ラベル]],0),MATCH($AU$3,年齢階層×在院期間区分F00F01[#Headers],0)),0)+IFERROR(INDEX(年齢階層×在院期間区分F00F01[#All],MATCH($AN7,年齢階層×在院期間区分F00F01[[#All],[行ラベル]],0),MATCH($AV$3,年齢階層×在院期間区分F00F01[#Headers],0)),0)+IFERROR(INDEX(年齢階層×在院期間区分F00F01[#All],MATCH($AN7,年齢階層×在院期間区分F00F01[[#All],[行ラベル]],0),MATCH($AW$3,年齢階層×在院期間区分F00F01[#Headers],0)),0)</f>
        <v>2</v>
      </c>
      <c r="F7" s="128">
        <f t="shared" si="1"/>
        <v>2.3391812865497076E-3</v>
      </c>
      <c r="G7" s="150">
        <f>IFERROR(INDEX(年齢階層×在院期間区分F00F01[#All],MATCH($AN7,年齢階層×在院期間区分F00F01[[#All],[行ラベル]],0),MATCH($AX$3,年齢階層×在院期間区分F00F01[#Headers],0)),0)+IFERROR(INDEX(年齢階層×在院期間区分F00F01[#All],MATCH($AN7,年齢階層×在院期間区分F00F01[[#All],[行ラベル]],0),MATCH($AY$3,年齢階層×在院期間区分F00F01[#Headers],0)),0)+IFERROR(INDEX(年齢階層×在院期間区分F00F01[#All],MATCH($AN7,年齢階層×在院期間区分F00F01[[#All],[行ラベル]],0),MATCH($AZ$3,年齢階層×在院期間区分F00F01[#Headers],0)),0)+IFERROR(INDEX(年齢階層×在院期間区分F00F01[#All],MATCH($AN7,年齢階層×在院期間区分F00F01[[#All],[行ラベル]],0),MATCH($BA$3,年齢階層×在院期間区分F00F01[#Headers],0)),0)+IFERROR(INDEX(年齢階層×在院期間区分F00F01[#All],MATCH($AN7,年齢階層×在院期間区分F00F01[[#All],[行ラベル]],0),MATCH($BB$3,年齢階層×在院期間区分F00F01[#Headers],0)),0)</f>
        <v>1</v>
      </c>
      <c r="H7" s="128">
        <f t="shared" si="2"/>
        <v>4.9019607843137254E-3</v>
      </c>
      <c r="I7" s="151">
        <f>IFERROR(INDEX(年齢階層×在院期間区分F00F01[#All],MATCH($AN7,年齢階層×在院期間区分F00F01[[#All],[行ラベル]],0),MATCH($BC$3,年齢階層×在院期間区分F00F01[#Headers],0)),0)+IFERROR(INDEX(年齢階層×在院期間区分F00F01[#All],MATCH($AN7,年齢階層×在院期間区分F00F01[[#All],[行ラベル]],0),MATCH($BD$3,年齢階層×在院期間区分F00F01[#Headers],0)),0)</f>
        <v>0</v>
      </c>
      <c r="J7" s="128">
        <f t="shared" si="3"/>
        <v>0</v>
      </c>
      <c r="K7" s="127">
        <f t="shared" si="4"/>
        <v>4</v>
      </c>
      <c r="L7" s="128">
        <f t="shared" si="5"/>
        <v>1.6240357287860333E-3</v>
      </c>
      <c r="R7" s="41" t="s">
        <v>5</v>
      </c>
      <c r="S7" s="49">
        <v>0</v>
      </c>
      <c r="T7" s="49">
        <v>0</v>
      </c>
      <c r="U7" s="49">
        <v>0</v>
      </c>
      <c r="V7" s="49">
        <v>1</v>
      </c>
      <c r="W7" s="49">
        <v>0</v>
      </c>
      <c r="X7" s="49">
        <v>0</v>
      </c>
      <c r="Y7" s="49">
        <v>1</v>
      </c>
      <c r="Z7" s="49">
        <v>1</v>
      </c>
      <c r="AA7" s="49">
        <v>0</v>
      </c>
      <c r="AB7" s="49">
        <v>0</v>
      </c>
      <c r="AC7" s="49">
        <v>0</v>
      </c>
      <c r="AD7" s="49">
        <v>1</v>
      </c>
      <c r="AE7" s="49">
        <v>0</v>
      </c>
      <c r="AF7" s="49">
        <v>0</v>
      </c>
      <c r="AG7" s="49">
        <v>0</v>
      </c>
      <c r="AH7" s="49">
        <v>0</v>
      </c>
      <c r="AN7" s="41" t="s">
        <v>5</v>
      </c>
      <c r="AO7" s="50"/>
      <c r="AP7" s="50"/>
      <c r="AR7" s="54"/>
    </row>
    <row r="8" spans="2:56" s="16" customFormat="1" ht="18.75" customHeight="1" x14ac:dyDescent="0.2">
      <c r="B8" s="149" t="s">
        <v>6</v>
      </c>
      <c r="C8" s="127">
        <f>IFERROR(INDEX(年齢階層×在院期間区分F00F01[#All],MATCH($AN8,年齢階層×在院期間区分F00F01[[#All],[行ラベル]],0),MATCH($AO$3,年齢階層×在院期間区分F00F01[#Headers],0)),0)+IFERROR(INDEX(年齢階層×在院期間区分F00F01[#All],MATCH($AN8,年齢階層×在院期間区分F00F01[[#All],[行ラベル]],0),MATCH($AP$3,年齢階層×在院期間区分F00F01[#Headers],0)),0)+IFERROR(INDEX(年齢階層×在院期間区分F00F01[#All],MATCH($AN8,年齢階層×在院期間区分F00F01[[#All],[行ラベル]],0),MATCH($AQ$3,年齢階層×在院期間区分F00F01[#Headers],0)),0)+IFERROR(INDEX(年齢階層×在院期間区分F00F01[#All],MATCH($AN8,年齢階層×在院期間区分F00F01[[#All],[行ラベル]],0),MATCH($AR$3,年齢階層×在院期間区分F00F01[#Headers],0)),0)</f>
        <v>14</v>
      </c>
      <c r="D8" s="128">
        <f>IFERROR(C8/$C$13,"-")</f>
        <v>1.0424422933730455E-2</v>
      </c>
      <c r="E8" s="127">
        <f>IFERROR(INDEX(年齢階層×在院期間区分F00F01[#All],MATCH($AN8,年齢階層×在院期間区分F00F01[[#All],[行ラベル]],0),MATCH($AS$3,年齢階層×在院期間区分F00F01[#Headers],0)),0)+IFERROR(INDEX(年齢階層×在院期間区分F00F01[#All],MATCH($AN8,年齢階層×在院期間区分F00F01[[#All],[行ラベル]],0),MATCH($AT$3,年齢階層×在院期間区分F00F01[#Headers],0)),0)+IFERROR(INDEX(年齢階層×在院期間区分F00F01[#All],MATCH($AN8,年齢階層×在院期間区分F00F01[[#All],[行ラベル]],0),MATCH($AU$3,年齢階層×在院期間区分F00F01[#Headers],0)),0)+IFERROR(INDEX(年齢階層×在院期間区分F00F01[#All],MATCH($AN8,年齢階層×在院期間区分F00F01[[#All],[行ラベル]],0),MATCH($AV$3,年齢階層×在院期間区分F00F01[#Headers],0)),0)+IFERROR(INDEX(年齢階層×在院期間区分F00F01[#All],MATCH($AN8,年齢階層×在院期間区分F00F01[[#All],[行ラベル]],0),MATCH($AW$3,年齢階層×在院期間区分F00F01[#Headers],0)),0)</f>
        <v>10</v>
      </c>
      <c r="F8" s="128">
        <f t="shared" si="1"/>
        <v>1.1695906432748537E-2</v>
      </c>
      <c r="G8" s="150">
        <f>IFERROR(INDEX(年齢階層×在院期間区分F00F01[#All],MATCH($AN8,年齢階層×在院期間区分F00F01[[#All],[行ラベル]],0),MATCH($AX$3,年齢階層×在院期間区分F00F01[#Headers],0)),0)+IFERROR(INDEX(年齢階層×在院期間区分F00F01[#All],MATCH($AN8,年齢階層×在院期間区分F00F01[[#All],[行ラベル]],0),MATCH($AY$3,年齢階層×在院期間区分F00F01[#Headers],0)),0)+IFERROR(INDEX(年齢階層×在院期間区分F00F01[#All],MATCH($AN8,年齢階層×在院期間区分F00F01[[#All],[行ラベル]],0),MATCH($AZ$3,年齢階層×在院期間区分F00F01[#Headers],0)),0)+IFERROR(INDEX(年齢階層×在院期間区分F00F01[#All],MATCH($AN8,年齢階層×在院期間区分F00F01[[#All],[行ラベル]],0),MATCH($BA$3,年齢階層×在院期間区分F00F01[#Headers],0)),0)+IFERROR(INDEX(年齢階層×在院期間区分F00F01[#All],MATCH($AN8,年齢階層×在院期間区分F00F01[[#All],[行ラベル]],0),MATCH($BB$3,年齢階層×在院期間区分F00F01[#Headers],0)),0)</f>
        <v>2</v>
      </c>
      <c r="H8" s="128">
        <f t="shared" si="2"/>
        <v>9.8039215686274508E-3</v>
      </c>
      <c r="I8" s="150">
        <f>IFERROR(INDEX(年齢階層×在院期間区分F00F01[#All],MATCH($AN8,年齢階層×在院期間区分F00F01[[#All],[行ラベル]],0),MATCH($BC$3,年齢階層×在院期間区分F00F01[#Headers],0)),0)+IFERROR(INDEX(年齢階層×在院期間区分F00F01[#All],MATCH($AN8,年齢階層×在院期間区分F00F01[[#All],[行ラベル]],0),MATCH($BD$3,年齢階層×在院期間区分F00F01[#Headers],0)),0)</f>
        <v>3</v>
      </c>
      <c r="J8" s="128">
        <f t="shared" si="3"/>
        <v>4.9180327868852458E-2</v>
      </c>
      <c r="K8" s="127">
        <f t="shared" si="4"/>
        <v>29</v>
      </c>
      <c r="L8" s="128">
        <f t="shared" si="5"/>
        <v>1.1774259033698742E-2</v>
      </c>
      <c r="R8" s="41" t="s">
        <v>6</v>
      </c>
      <c r="S8" s="49">
        <v>0</v>
      </c>
      <c r="T8" s="49">
        <v>5</v>
      </c>
      <c r="U8" s="49">
        <v>4</v>
      </c>
      <c r="V8" s="49">
        <v>5</v>
      </c>
      <c r="W8" s="49">
        <v>1</v>
      </c>
      <c r="X8" s="49">
        <v>3</v>
      </c>
      <c r="Y8" s="49">
        <v>2</v>
      </c>
      <c r="Z8" s="49">
        <v>4</v>
      </c>
      <c r="AA8" s="49">
        <v>0</v>
      </c>
      <c r="AB8" s="49">
        <v>1</v>
      </c>
      <c r="AC8" s="49">
        <v>0</v>
      </c>
      <c r="AD8" s="49">
        <v>1</v>
      </c>
      <c r="AE8" s="49">
        <v>0</v>
      </c>
      <c r="AF8" s="49">
        <v>0</v>
      </c>
      <c r="AG8" s="49">
        <v>2</v>
      </c>
      <c r="AH8" s="49">
        <v>1</v>
      </c>
      <c r="AN8" s="41" t="s">
        <v>6</v>
      </c>
      <c r="AO8" s="50"/>
      <c r="AP8" s="50"/>
      <c r="AR8" s="54"/>
    </row>
    <row r="9" spans="2:56" s="16" customFormat="1" ht="18.75" customHeight="1" x14ac:dyDescent="0.2">
      <c r="B9" s="149" t="s">
        <v>7</v>
      </c>
      <c r="C9" s="127">
        <f>IFERROR(INDEX(年齢階層×在院期間区分F00F01[#All],MATCH($AN9,年齢階層×在院期間区分F00F01[[#All],[行ラベル]],0),MATCH($AO$3,年齢階層×在院期間区分F00F01[#Headers],0)),0)+IFERROR(INDEX(年齢階層×在院期間区分F00F01[#All],MATCH($AN9,年齢階層×在院期間区分F00F01[[#All],[行ラベル]],0),MATCH($AP$3,年齢階層×在院期間区分F00F01[#Headers],0)),0)+IFERROR(INDEX(年齢階層×在院期間区分F00F01[#All],MATCH($AN9,年齢階層×在院期間区分F00F01[[#All],[行ラベル]],0),MATCH($AQ$3,年齢階層×在院期間区分F00F01[#Headers],0)),0)+IFERROR(INDEX(年齢階層×在院期間区分F00F01[#All],MATCH($AN9,年齢階層×在院期間区分F00F01[[#All],[行ラベル]],0),MATCH($AR$3,年齢階層×在院期間区分F00F01[#Headers],0)),0)</f>
        <v>48</v>
      </c>
      <c r="D9" s="128">
        <f t="shared" si="0"/>
        <v>3.5740878629932984E-2</v>
      </c>
      <c r="E9" s="151">
        <f>IFERROR(INDEX(年齢階層×在院期間区分F00F01[#All],MATCH($AN9,年齢階層×在院期間区分F00F01[[#All],[行ラベル]],0),MATCH($AS$3,年齢階層×在院期間区分F00F01[#Headers],0)),0)+IFERROR(INDEX(年齢階層×在院期間区分F00F01[#All],MATCH($AN9,年齢階層×在院期間区分F00F01[[#All],[行ラベル]],0),MATCH($AT$3,年齢階層×在院期間区分F00F01[#Headers],0)),0)+IFERROR(INDEX(年齢階層×在院期間区分F00F01[#All],MATCH($AN9,年齢階層×在院期間区分F00F01[[#All],[行ラベル]],0),MATCH($AU$3,年齢階層×在院期間区分F00F01[#Headers],0)),0)+IFERROR(INDEX(年齢階層×在院期間区分F00F01[#All],MATCH($AN9,年齢階層×在院期間区分F00F01[[#All],[行ラベル]],0),MATCH($AV$3,年齢階層×在院期間区分F00F01[#Headers],0)),0)+IFERROR(INDEX(年齢階層×在院期間区分F00F01[#All],MATCH($AN9,年齢階層×在院期間区分F00F01[[#All],[行ラベル]],0),MATCH($AW$3,年齢階層×在院期間区分F00F01[#Headers],0)),0)</f>
        <v>37</v>
      </c>
      <c r="F9" s="128">
        <f t="shared" si="1"/>
        <v>4.3274853801169591E-2</v>
      </c>
      <c r="G9" s="150">
        <f>IFERROR(INDEX(年齢階層×在院期間区分F00F01[#All],MATCH($AN9,年齢階層×在院期間区分F00F01[[#All],[行ラベル]],0),MATCH($AX$3,年齢階層×在院期間区分F00F01[#Headers],0)),0)+IFERROR(INDEX(年齢階層×在院期間区分F00F01[#All],MATCH($AN9,年齢階層×在院期間区分F00F01[[#All],[行ラベル]],0),MATCH($AY$3,年齢階層×在院期間区分F00F01[#Headers],0)),0)+IFERROR(INDEX(年齢階層×在院期間区分F00F01[#All],MATCH($AN9,年齢階層×在院期間区分F00F01[[#All],[行ラベル]],0),MATCH($AZ$3,年齢階層×在院期間区分F00F01[#Headers],0)),0)+IFERROR(INDEX(年齢階層×在院期間区分F00F01[#All],MATCH($AN9,年齢階層×在院期間区分F00F01[[#All],[行ラベル]],0),MATCH($BA$3,年齢階層×在院期間区分F00F01[#Headers],0)),0)+IFERROR(INDEX(年齢階層×在院期間区分F00F01[#All],MATCH($AN9,年齢階層×在院期間区分F00F01[[#All],[行ラベル]],0),MATCH($BB$3,年齢階層×在院期間区分F00F01[#Headers],0)),0)</f>
        <v>9</v>
      </c>
      <c r="H9" s="128">
        <f t="shared" si="2"/>
        <v>4.4117647058823532E-2</v>
      </c>
      <c r="I9" s="127">
        <f>IFERROR(INDEX(年齢階層×在院期間区分F00F01[#All],MATCH($AN9,年齢階層×在院期間区分F00F01[[#All],[行ラベル]],0),MATCH($BC$3,年齢階層×在院期間区分F00F01[#Headers],0)),0)+IFERROR(INDEX(年齢階層×在院期間区分F00F01[#All],MATCH($AN9,年齢階層×在院期間区分F00F01[[#All],[行ラベル]],0),MATCH($BD$3,年齢階層×在院期間区分F00F01[#Headers],0)),0)</f>
        <v>2</v>
      </c>
      <c r="J9" s="128">
        <f t="shared" si="3"/>
        <v>3.2786885245901641E-2</v>
      </c>
      <c r="K9" s="127">
        <f t="shared" si="4"/>
        <v>96</v>
      </c>
      <c r="L9" s="128">
        <f t="shared" si="5"/>
        <v>3.8976857490864797E-2</v>
      </c>
      <c r="R9" s="41" t="s">
        <v>7</v>
      </c>
      <c r="S9" s="49">
        <v>6</v>
      </c>
      <c r="T9" s="49">
        <v>15</v>
      </c>
      <c r="U9" s="49">
        <v>9</v>
      </c>
      <c r="V9" s="49">
        <v>18</v>
      </c>
      <c r="W9" s="49">
        <v>11</v>
      </c>
      <c r="X9" s="49">
        <v>4</v>
      </c>
      <c r="Y9" s="49">
        <v>7</v>
      </c>
      <c r="Z9" s="49">
        <v>10</v>
      </c>
      <c r="AA9" s="49">
        <v>5</v>
      </c>
      <c r="AB9" s="49">
        <v>2</v>
      </c>
      <c r="AC9" s="49">
        <v>4</v>
      </c>
      <c r="AD9" s="49">
        <v>2</v>
      </c>
      <c r="AE9" s="49">
        <v>0</v>
      </c>
      <c r="AF9" s="49">
        <v>1</v>
      </c>
      <c r="AG9" s="49">
        <v>1</v>
      </c>
      <c r="AH9" s="49">
        <v>1</v>
      </c>
      <c r="AN9" s="41" t="s">
        <v>7</v>
      </c>
      <c r="AO9" s="50"/>
      <c r="AP9" s="50"/>
      <c r="AR9" s="54"/>
    </row>
    <row r="10" spans="2:56" s="16" customFormat="1" ht="18.75" customHeight="1" x14ac:dyDescent="0.2">
      <c r="B10" s="149" t="s">
        <v>8</v>
      </c>
      <c r="C10" s="151">
        <f>IFERROR(INDEX(年齢階層×在院期間区分F00F01[#All],MATCH($AN10,年齢階層×在院期間区分F00F01[[#All],[行ラベル]],0),MATCH($AO$3,年齢階層×在院期間区分F00F01[#Headers],0)),0)+IFERROR(INDEX(年齢階層×在院期間区分F00F01[#All],MATCH($AN10,年齢階層×在院期間区分F00F01[[#All],[行ラベル]],0),MATCH($AP$3,年齢階層×在院期間区分F00F01[#Headers],0)),0)+IFERROR(INDEX(年齢階層×在院期間区分F00F01[#All],MATCH($AN10,年齢階層×在院期間区分F00F01[[#All],[行ラベル]],0),MATCH($AQ$3,年齢階層×在院期間区分F00F01[#Headers],0)),0)+IFERROR(INDEX(年齢階層×在院期間区分F00F01[#All],MATCH($AN10,年齢階層×在院期間区分F00F01[[#All],[行ラベル]],0),MATCH($AR$3,年齢階層×在院期間区分F00F01[#Headers],0)),0)</f>
        <v>361</v>
      </c>
      <c r="D10" s="128">
        <f t="shared" si="0"/>
        <v>0.26880119136262098</v>
      </c>
      <c r="E10" s="150">
        <f>IFERROR(INDEX(年齢階層×在院期間区分F00F01[#All],MATCH($AN10,年齢階層×在院期間区分F00F01[[#All],[行ラベル]],0),MATCH($AS$3,年齢階層×在院期間区分F00F01[#Headers],0)),0)+IFERROR(INDEX(年齢階層×在院期間区分F00F01[#All],MATCH($AN10,年齢階層×在院期間区分F00F01[[#All],[行ラベル]],0),MATCH($AT$3,年齢階層×在院期間区分F00F01[#Headers],0)),0)+IFERROR(INDEX(年齢階層×在院期間区分F00F01[#All],MATCH($AN10,年齢階層×在院期間区分F00F01[[#All],[行ラベル]],0),MATCH($AU$3,年齢階層×在院期間区分F00F01[#Headers],0)),0)+IFERROR(INDEX(年齢階層×在院期間区分F00F01[#All],MATCH($AN10,年齢階層×在院期間区分F00F01[[#All],[行ラベル]],0),MATCH($AV$3,年齢階層×在院期間区分F00F01[#Headers],0)),0)+IFERROR(INDEX(年齢階層×在院期間区分F00F01[#All],MATCH($AN10,年齢階層×在院期間区分F00F01[[#All],[行ラベル]],0),MATCH($AW$3,年齢階層×在院期間区分F00F01[#Headers],0)),0)</f>
        <v>201</v>
      </c>
      <c r="F10" s="128">
        <f t="shared" si="1"/>
        <v>0.23508771929824562</v>
      </c>
      <c r="G10" s="150">
        <f>IFERROR(INDEX(年齢階層×在院期間区分F00F01[#All],MATCH($AN10,年齢階層×在院期間区分F00F01[[#All],[行ラベル]],0),MATCH($AX$3,年齢階層×在院期間区分F00F01[#Headers],0)),0)+IFERROR(INDEX(年齢階層×在院期間区分F00F01[#All],MATCH($AN10,年齢階層×在院期間区分F00F01[[#All],[行ラベル]],0),MATCH($AY$3,年齢階層×在院期間区分F00F01[#Headers],0)),0)+IFERROR(INDEX(年齢階層×在院期間区分F00F01[#All],MATCH($AN10,年齢階層×在院期間区分F00F01[[#All],[行ラベル]],0),MATCH($AZ$3,年齢階層×在院期間区分F00F01[#Headers],0)),0)+IFERROR(INDEX(年齢階層×在院期間区分F00F01[#All],MATCH($AN10,年齢階層×在院期間区分F00F01[[#All],[行ラベル]],0),MATCH($BA$3,年齢階層×在院期間区分F00F01[#Headers],0)),0)+IFERROR(INDEX(年齢階層×在院期間区分F00F01[#All],MATCH($AN10,年齢階層×在院期間区分F00F01[[#All],[行ラベル]],0),MATCH($BB$3,年齢階層×在院期間区分F00F01[#Headers],0)),0)</f>
        <v>36</v>
      </c>
      <c r="H10" s="128">
        <f t="shared" si="2"/>
        <v>0.17647058823529413</v>
      </c>
      <c r="I10" s="127">
        <f>IFERROR(INDEX(年齢階層×在院期間区分F00F01[#All],MATCH($AN10,年齢階層×在院期間区分F00F01[[#All],[行ラベル]],0),MATCH($BC$3,年齢階層×在院期間区分F00F01[#Headers],0)),0)+IFERROR(INDEX(年齢階層×在院期間区分F00F01[#All],MATCH($AN10,年齢階層×在院期間区分F00F01[[#All],[行ラベル]],0),MATCH($BD$3,年齢階層×在院期間区分F00F01[#Headers],0)),0)</f>
        <v>16</v>
      </c>
      <c r="J10" s="128">
        <f t="shared" si="3"/>
        <v>0.26229508196721313</v>
      </c>
      <c r="K10" s="127">
        <f t="shared" si="4"/>
        <v>614</v>
      </c>
      <c r="L10" s="128">
        <f t="shared" si="5"/>
        <v>0.24928948436865611</v>
      </c>
      <c r="R10" s="41" t="s">
        <v>8</v>
      </c>
      <c r="S10" s="49">
        <v>63</v>
      </c>
      <c r="T10" s="49">
        <v>109</v>
      </c>
      <c r="U10" s="49">
        <v>92</v>
      </c>
      <c r="V10" s="49">
        <v>97</v>
      </c>
      <c r="W10" s="49">
        <v>47</v>
      </c>
      <c r="X10" s="49">
        <v>51</v>
      </c>
      <c r="Y10" s="49">
        <v>52</v>
      </c>
      <c r="Z10" s="49">
        <v>31</v>
      </c>
      <c r="AA10" s="49">
        <v>20</v>
      </c>
      <c r="AB10" s="49">
        <v>15</v>
      </c>
      <c r="AC10" s="49">
        <v>9</v>
      </c>
      <c r="AD10" s="49">
        <v>4</v>
      </c>
      <c r="AE10" s="49">
        <v>5</v>
      </c>
      <c r="AF10" s="49">
        <v>3</v>
      </c>
      <c r="AG10" s="49">
        <v>11</v>
      </c>
      <c r="AH10" s="49">
        <v>5</v>
      </c>
      <c r="AN10" s="41" t="s">
        <v>8</v>
      </c>
      <c r="AO10" s="50"/>
      <c r="AP10" s="50"/>
      <c r="AR10" s="54"/>
    </row>
    <row r="11" spans="2:56" s="16" customFormat="1" ht="18.75" customHeight="1" x14ac:dyDescent="0.2">
      <c r="B11" s="149" t="s">
        <v>9</v>
      </c>
      <c r="C11" s="127">
        <f>IFERROR(INDEX(年齢階層×在院期間区分F00F01[#All],MATCH($AN11,年齢階層×在院期間区分F00F01[[#All],[行ラベル]],0),MATCH($AO$3,年齢階層×在院期間区分F00F01[#Headers],0)),0)+IFERROR(INDEX(年齢階層×在院期間区分F00F01[#All],MATCH($AN11,年齢階層×在院期間区分F00F01[[#All],[行ラベル]],0),MATCH($AP$3,年齢階層×在院期間区分F00F01[#Headers],0)),0)+IFERROR(INDEX(年齢階層×在院期間区分F00F01[#All],MATCH($AN11,年齢階層×在院期間区分F00F01[[#All],[行ラベル]],0),MATCH($AQ$3,年齢階層×在院期間区分F00F01[#Headers],0)),0)+IFERROR(INDEX(年齢階層×在院期間区分F00F01[#All],MATCH($AN11,年齢階層×在院期間区分F00F01[[#All],[行ラベル]],0),MATCH($AR$3,年齢階層×在院期間区分F00F01[#Headers],0)),0)</f>
        <v>709</v>
      </c>
      <c r="D11" s="128">
        <f t="shared" si="0"/>
        <v>0.52792256142963512</v>
      </c>
      <c r="E11" s="150">
        <f>IFERROR(INDEX(年齢階層×在院期間区分F00F01[#All],MATCH($AN11,年齢階層×在院期間区分F00F01[[#All],[行ラベル]],0),MATCH($AS$3,年齢階層×在院期間区分F00F01[#Headers],0)),0)+IFERROR(INDEX(年齢階層×在院期間区分F00F01[#All],MATCH($AN11,年齢階層×在院期間区分F00F01[[#All],[行ラベル]],0),MATCH($AT$3,年齢階層×在院期間区分F00F01[#Headers],0)),0)+IFERROR(INDEX(年齢階層×在院期間区分F00F01[#All],MATCH($AN11,年齢階層×在院期間区分F00F01[[#All],[行ラベル]],0),MATCH($AU$3,年齢階層×在院期間区分F00F01[#Headers],0)),0)+IFERROR(INDEX(年齢階層×在院期間区分F00F01[#All],MATCH($AN11,年齢階層×在院期間区分F00F01[[#All],[行ラベル]],0),MATCH($AV$3,年齢階層×在院期間区分F00F01[#Headers],0)),0)+IFERROR(INDEX(年齢階層×在院期間区分F00F01[#All],MATCH($AN11,年齢階層×在院期間区分F00F01[[#All],[行ラベル]],0),MATCH($AW$3,年齢階層×在院期間区分F00F01[#Headers],0)),0)</f>
        <v>442</v>
      </c>
      <c r="F11" s="128">
        <f t="shared" si="1"/>
        <v>0.5169590643274854</v>
      </c>
      <c r="G11" s="150">
        <f>IFERROR(INDEX(年齢階層×在院期間区分F00F01[#All],MATCH($AN11,年齢階層×在院期間区分F00F01[[#All],[行ラベル]],0),MATCH($AX$3,年齢階層×在院期間区分F00F01[#Headers],0)),0)+IFERROR(INDEX(年齢階層×在院期間区分F00F01[#All],MATCH($AN11,年齢階層×在院期間区分F00F01[[#All],[行ラベル]],0),MATCH($AY$3,年齢階層×在院期間区分F00F01[#Headers],0)),0)+IFERROR(INDEX(年齢階層×在院期間区分F00F01[#All],MATCH($AN11,年齢階層×在院期間区分F00F01[[#All],[行ラベル]],0),MATCH($AZ$3,年齢階層×在院期間区分F00F01[#Headers],0)),0)+IFERROR(INDEX(年齢階層×在院期間区分F00F01[#All],MATCH($AN11,年齢階層×在院期間区分F00F01[[#All],[行ラベル]],0),MATCH($BA$3,年齢階層×在院期間区分F00F01[#Headers],0)),0)+IFERROR(INDEX(年齢階層×在院期間区分F00F01[#All],MATCH($AN11,年齢階層×在院期間区分F00F01[[#All],[行ラベル]],0),MATCH($BB$3,年齢階層×在院期間区分F00F01[#Headers],0)),0)</f>
        <v>99</v>
      </c>
      <c r="H11" s="128">
        <f t="shared" si="2"/>
        <v>0.48529411764705882</v>
      </c>
      <c r="I11" s="151">
        <f>IFERROR(INDEX(年齢階層×在院期間区分F00F01[#All],MATCH($AN11,年齢階層×在院期間区分F00F01[[#All],[行ラベル]],0),MATCH($BC$3,年齢階層×在院期間区分F00F01[#Headers],0)),0)+IFERROR(INDEX(年齢階層×在院期間区分F00F01[#All],MATCH($AN11,年齢階層×在院期間区分F00F01[[#All],[行ラベル]],0),MATCH($BD$3,年齢階層×在院期間区分F00F01[#Headers],0)),0)</f>
        <v>30</v>
      </c>
      <c r="J11" s="128">
        <f t="shared" si="3"/>
        <v>0.49180327868852458</v>
      </c>
      <c r="K11" s="127">
        <f t="shared" si="4"/>
        <v>1280</v>
      </c>
      <c r="L11" s="128">
        <f t="shared" si="5"/>
        <v>0.51969143321153066</v>
      </c>
      <c r="R11" s="41" t="s">
        <v>9</v>
      </c>
      <c r="S11" s="49">
        <v>127</v>
      </c>
      <c r="T11" s="49">
        <v>222</v>
      </c>
      <c r="U11" s="49">
        <v>163</v>
      </c>
      <c r="V11" s="49">
        <v>197</v>
      </c>
      <c r="W11" s="49">
        <v>116</v>
      </c>
      <c r="X11" s="49">
        <v>76</v>
      </c>
      <c r="Y11" s="49">
        <v>126</v>
      </c>
      <c r="Z11" s="49">
        <v>75</v>
      </c>
      <c r="AA11" s="49">
        <v>49</v>
      </c>
      <c r="AB11" s="49">
        <v>33</v>
      </c>
      <c r="AC11" s="49">
        <v>31</v>
      </c>
      <c r="AD11" s="49">
        <v>20</v>
      </c>
      <c r="AE11" s="49">
        <v>11</v>
      </c>
      <c r="AF11" s="49">
        <v>4</v>
      </c>
      <c r="AG11" s="49">
        <v>28</v>
      </c>
      <c r="AH11" s="49">
        <v>2</v>
      </c>
      <c r="AN11" s="41" t="s">
        <v>9</v>
      </c>
      <c r="AO11" s="50"/>
      <c r="AP11" s="50"/>
      <c r="AR11" s="54"/>
    </row>
    <row r="12" spans="2:56" s="16" customFormat="1" ht="18.75" customHeight="1" thickBot="1" x14ac:dyDescent="0.25">
      <c r="B12" s="152" t="s">
        <v>10</v>
      </c>
      <c r="C12" s="153">
        <f>IFERROR(INDEX(年齢階層×在院期間区分F00F01[#All],MATCH($AN12,年齢階層×在院期間区分F00F01[[#All],[行ラベル]],0),MATCH($AO$3,年齢階層×在院期間区分F00F01[#Headers],0)),0)+IFERROR(INDEX(年齢階層×在院期間区分F00F01[#All],MATCH($AN12,年齢階層×在院期間区分F00F01[[#All],[行ラベル]],0),MATCH($AP$3,年齢階層×在院期間区分F00F01[#Headers],0)),0)+IFERROR(INDEX(年齢階層×在院期間区分F00F01[#All],MATCH($AN12,年齢階層×在院期間区分F00F01[[#All],[行ラベル]],0),MATCH($AQ$3,年齢階層×在院期間区分F00F01[#Headers],0)),0)+IFERROR(INDEX(年齢階層×在院期間区分F00F01[#All],MATCH($AN12,年齢階層×在院期間区分F00F01[[#All],[行ラベル]],0),MATCH($AR$3,年齢階層×在院期間区分F00F01[#Headers],0)),0)</f>
        <v>210</v>
      </c>
      <c r="D12" s="144">
        <f t="shared" si="0"/>
        <v>0.15636634400595681</v>
      </c>
      <c r="E12" s="130">
        <f>IFERROR(INDEX(年齢階層×在院期間区分F00F01[#All],MATCH($AN12,年齢階層×在院期間区分F00F01[[#All],[行ラベル]],0),MATCH($AS$3,年齢階層×在院期間区分F00F01[#Headers],0)),0)+IFERROR(INDEX(年齢階層×在院期間区分F00F01[#All],MATCH($AN12,年齢階層×在院期間区分F00F01[[#All],[行ラベル]],0),MATCH($AT$3,年齢階層×在院期間区分F00F01[#Headers],0)),0)+IFERROR(INDEX(年齢階層×在院期間区分F00F01[#All],MATCH($AN12,年齢階層×在院期間区分F00F01[[#All],[行ラベル]],0),MATCH($AU$3,年齢階層×在院期間区分F00F01[#Headers],0)),0)+IFERROR(INDEX(年齢階層×在院期間区分F00F01[#All],MATCH($AN12,年齢階層×在院期間区分F00F01[[#All],[行ラベル]],0),MATCH($AV$3,年齢階層×在院期間区分F00F01[#Headers],0)),0)+IFERROR(INDEX(年齢階層×在院期間区分F00F01[#All],MATCH($AN12,年齢階層×在院期間区分F00F01[[#All],[行ラベル]],0),MATCH($AW$3,年齢階層×在院期間区分F00F01[#Headers],0)),0)</f>
        <v>163</v>
      </c>
      <c r="F12" s="144">
        <f t="shared" si="1"/>
        <v>0.19064327485380117</v>
      </c>
      <c r="G12" s="130">
        <f>IFERROR(INDEX(年齢階層×在院期間区分F00F01[#All],MATCH($AN12,年齢階層×在院期間区分F00F01[[#All],[行ラベル]],0),MATCH($AX$3,年齢階層×在院期間区分F00F01[#Headers],0)),0)+IFERROR(INDEX(年齢階層×在院期間区分F00F01[#All],MATCH($AN12,年齢階層×在院期間区分F00F01[[#All],[行ラベル]],0),MATCH($AY$3,年齢階層×在院期間区分F00F01[#Headers],0)),0)+IFERROR(INDEX(年齢階層×在院期間区分F00F01[#All],MATCH($AN12,年齢階層×在院期間区分F00F01[[#All],[行ラベル]],0),MATCH($AZ$3,年齢階層×在院期間区分F00F01[#Headers],0)),0)+IFERROR(INDEX(年齢階層×在院期間区分F00F01[#All],MATCH($AN12,年齢階層×在院期間区分F00F01[[#All],[行ラベル]],0),MATCH($BA$3,年齢階層×在院期間区分F00F01[#Headers],0)),0)+IFERROR(INDEX(年齢階層×在院期間区分F00F01[#All],MATCH($AN12,年齢階層×在院期間区分F00F01[[#All],[行ラベル]],0),MATCH($BB$3,年齢階層×在院期間区分F00F01[#Headers],0)),0)</f>
        <v>57</v>
      </c>
      <c r="H12" s="144">
        <f t="shared" si="2"/>
        <v>0.27941176470588236</v>
      </c>
      <c r="I12" s="130">
        <f>IFERROR(INDEX(年齢階層×在院期間区分F00F01[#All],MATCH($AN12,年齢階層×在院期間区分F00F01[[#All],[行ラベル]],0),MATCH($BC$3,年齢階層×在院期間区分F00F01[#Headers],0)),0)+IFERROR(INDEX(年齢階層×在院期間区分F00F01[#All],MATCH($AN12,年齢階層×在院期間区分F00F01[[#All],[行ラベル]],0),MATCH($BD$3,年齢階層×在院期間区分F00F01[#Headers],0)),0)</f>
        <v>10</v>
      </c>
      <c r="J12" s="144">
        <f t="shared" si="3"/>
        <v>0.16393442622950818</v>
      </c>
      <c r="K12" s="130">
        <f t="shared" si="4"/>
        <v>440</v>
      </c>
      <c r="L12" s="144">
        <f t="shared" si="5"/>
        <v>0.17864393016646365</v>
      </c>
      <c r="R12" s="41" t="s">
        <v>10</v>
      </c>
      <c r="S12" s="49">
        <v>42</v>
      </c>
      <c r="T12" s="49">
        <v>63</v>
      </c>
      <c r="U12" s="49">
        <v>47</v>
      </c>
      <c r="V12" s="49">
        <v>58</v>
      </c>
      <c r="W12" s="49">
        <v>33</v>
      </c>
      <c r="X12" s="49">
        <v>30</v>
      </c>
      <c r="Y12" s="49">
        <v>41</v>
      </c>
      <c r="Z12" s="49">
        <v>30</v>
      </c>
      <c r="AA12" s="49">
        <v>29</v>
      </c>
      <c r="AB12" s="49">
        <v>17</v>
      </c>
      <c r="AC12" s="49">
        <v>13</v>
      </c>
      <c r="AD12" s="49">
        <v>14</v>
      </c>
      <c r="AE12" s="49">
        <v>10</v>
      </c>
      <c r="AF12" s="49">
        <v>3</v>
      </c>
      <c r="AG12" s="49">
        <v>10</v>
      </c>
      <c r="AH12" s="49">
        <v>0</v>
      </c>
      <c r="AN12" s="41" t="s">
        <v>10</v>
      </c>
      <c r="AO12" s="50"/>
      <c r="AP12" s="50"/>
      <c r="AR12" s="54"/>
    </row>
    <row r="13" spans="2:56" s="16" customFormat="1" ht="18.75" customHeight="1" thickTop="1" thickBot="1" x14ac:dyDescent="0.25">
      <c r="B13" s="154" t="s">
        <v>149</v>
      </c>
      <c r="C13" s="155">
        <f t="shared" ref="C13:L13" si="6">SUM(C4:C12)</f>
        <v>1343</v>
      </c>
      <c r="D13" s="156">
        <f t="shared" si="6"/>
        <v>1</v>
      </c>
      <c r="E13" s="155">
        <f t="shared" si="6"/>
        <v>855</v>
      </c>
      <c r="F13" s="156">
        <f t="shared" si="6"/>
        <v>1</v>
      </c>
      <c r="G13" s="155">
        <f t="shared" si="6"/>
        <v>204</v>
      </c>
      <c r="H13" s="156">
        <f t="shared" si="6"/>
        <v>1</v>
      </c>
      <c r="I13" s="155">
        <f t="shared" si="6"/>
        <v>61</v>
      </c>
      <c r="J13" s="156">
        <f t="shared" si="6"/>
        <v>1</v>
      </c>
      <c r="K13" s="155">
        <f t="shared" si="6"/>
        <v>2463</v>
      </c>
      <c r="L13" s="156">
        <f t="shared" si="6"/>
        <v>1</v>
      </c>
      <c r="R13" s="798" t="s">
        <v>727</v>
      </c>
      <c r="S13" s="306" t="s">
        <v>677</v>
      </c>
      <c r="T13" s="306" t="s">
        <v>678</v>
      </c>
      <c r="U13" s="306" t="s">
        <v>679</v>
      </c>
      <c r="V13" s="306" t="s">
        <v>680</v>
      </c>
      <c r="W13" s="306" t="s">
        <v>681</v>
      </c>
      <c r="X13" s="306" t="s">
        <v>682</v>
      </c>
      <c r="Y13" s="306" t="s">
        <v>683</v>
      </c>
      <c r="Z13" s="306" t="s">
        <v>340</v>
      </c>
      <c r="AA13" s="306" t="s">
        <v>684</v>
      </c>
      <c r="AB13" s="306" t="s">
        <v>685</v>
      </c>
      <c r="AC13" s="306" t="s">
        <v>686</v>
      </c>
      <c r="AD13" s="306" t="s">
        <v>687</v>
      </c>
      <c r="AE13" s="306" t="s">
        <v>688</v>
      </c>
      <c r="AF13" s="306" t="s">
        <v>689</v>
      </c>
      <c r="AG13" s="306" t="s">
        <v>690</v>
      </c>
      <c r="AH13" s="43" t="s">
        <v>691</v>
      </c>
      <c r="AN13" s="54"/>
      <c r="AO13" s="54"/>
      <c r="AR13" s="54"/>
    </row>
    <row r="14" spans="2:56" s="16" customFormat="1" ht="18.75" customHeight="1" thickTop="1" x14ac:dyDescent="0.2">
      <c r="B14" s="157" t="s">
        <v>85</v>
      </c>
      <c r="C14" s="158">
        <f>IFERROR(INDEX(年齢階層×在院期間区分F00F01_65歳未満以上[#All],MATCH($AN14,年齢階層×在院期間区分F00F01_65歳未満以上[[#All],[列1]],0),MATCH($AO$3,年齢階層×在院期間区分F00F01_65歳未満以上[#Headers],0)),0)+IFERROR(INDEX(年齢階層×在院期間区分F00F01_65歳未満以上[#All],MATCH($AN14,年齢階層×在院期間区分F00F01_65歳未満以上[[#All],[列1]],0),MATCH($AP$3,年齢階層×在院期間区分F00F01_65歳未満以上[#Headers],0)),0)+IFERROR(INDEX(年齢階層×在院期間区分F00F01_65歳未満以上[#All],MATCH($AN14,年齢階層×在院期間区分F00F01_65歳未満以上[[#All],[列1]],0),MATCH($AQ$3,年齢階層×在院期間区分F00F01_65歳未満以上[#Headers],0)),0)+IFERROR(INDEX(年齢階層×在院期間区分F00F01_65歳未満以上[#All],MATCH($AN14,年齢階層×在院期間区分F00F01_65歳未満以上[[#All],[列1]],0),MATCH($AR$3,年齢階層×在院期間区分F00F01_65歳未満以上[#Headers],0)),0)</f>
        <v>33</v>
      </c>
      <c r="D14" s="129">
        <f>IFERROR(C14/$C$13,"-")</f>
        <v>2.4571854058078928E-2</v>
      </c>
      <c r="E14" s="158">
        <f>IFERROR(INDEX(年齢階層×在院期間区分F00F01_65歳未満以上[#All],MATCH($AN14,年齢階層×在院期間区分F00F01_65歳未満以上[[#All],[列1]],0),MATCH($AS$3,年齢階層×在院期間区分F00F01_65歳未満以上[#Headers],0)),0)+IFERROR(INDEX(年齢階層×在院期間区分F00F01_65歳未満以上[#All],MATCH($AN14,年齢階層×在院期間区分F00F01_65歳未満以上[[#All],[列1]],0),MATCH($AT$3,年齢階層×在院期間区分F00F01_65歳未満以上[#Headers],0)),0)+IFERROR(INDEX(年齢階層×在院期間区分F00F01_65歳未満以上[#All],MATCH($AN14,年齢階層×在院期間区分F00F01_65歳未満以上[[#All],[列1]],0),MATCH($AU$3,年齢階層×在院期間区分F00F01_65歳未満以上[#Headers],0)),0)+IFERROR(INDEX(年齢階層×在院期間区分F00F01_65歳未満以上[#All],MATCH($AN14,年齢階層×在院期間区分F00F01_65歳未満以上[[#All],[列1]],0),MATCH($AV$3,年齢階層×在院期間区分F00F01_65歳未満以上[#Headers],0)),0)+IFERROR(INDEX(年齢階層×在院期間区分F00F01_65歳未満以上[#All],MATCH($AN14,年齢階層×在院期間区分F00F01_65歳未満以上[[#All],[列1]],0),MATCH($AW$3,年齢階層×在院期間区分F00F01_65歳未満以上[#Headers],0)),0)</f>
        <v>25</v>
      </c>
      <c r="F14" s="129">
        <f>IFERROR(E14/$E$13,"-")</f>
        <v>2.9239766081871343E-2</v>
      </c>
      <c r="G14" s="158">
        <f>IFERROR(INDEX(年齢階層×在院期間区分F00F01_65歳未満以上[#All],MATCH($AN14,年齢階層×在院期間区分F00F01_65歳未満以上[[#All],[列1]],0),MATCH($AX$3,年齢階層×在院期間区分F00F01_65歳未満以上[#Headers],0)),0)+IFERROR(INDEX(年齢階層×在院期間区分F00F01_65歳未満以上[#All],MATCH($AN14,年齢階層×在院期間区分F00F01_65歳未満以上[[#All],[列1]],0),MATCH($AY$3,年齢階層×在院期間区分F00F01_65歳未満以上[#Headers],0)),0)+IFERROR(INDEX(年齢階層×在院期間区分F00F01_65歳未満以上[#All],MATCH($AN14,年齢階層×在院期間区分F00F01_65歳未満以上[[#All],[列1]],0),MATCH($AZ$3,年齢階層×在院期間区分F00F01_65歳未満以上[#Headers],0)),0)+IFERROR(INDEX(年齢階層×在院期間区分F00F01_65歳未満以上[#All],MATCH($AN14,年齢階層×在院期間区分F00F01_65歳未満以上[[#All],[列1]],0),MATCH($BA$3,年齢階層×在院期間区分F00F01_65歳未満以上[#Headers],0)),0)+IFERROR(INDEX(年齢階層×在院期間区分F00F01_65歳未満以上[#All],MATCH($AN14,年齢階層×在院期間区分F00F01_65歳未満以上[[#All],[列1]],0),MATCH($BB$3,年齢階層×在院期間区分F00F01_65歳未満以上[#Headers],0)),0)</f>
        <v>5</v>
      </c>
      <c r="H14" s="129">
        <f>IFERROR(G14/$G$13,"-")</f>
        <v>2.4509803921568627E-2</v>
      </c>
      <c r="I14" s="158">
        <f>IFERROR(INDEX(年齢階層×在院期間区分F00F01_65歳未満以上[#All],MATCH($AN14,年齢階層×在院期間区分F00F01_65歳未満以上[[#All],[列1]],0),MATCH($BC$3,年齢階層×在院期間区分F00F01_65歳未満以上[#Headers],0)),0)+IFERROR(INDEX(年齢階層×在院期間区分F00F01_65歳未満以上[#All],MATCH($AN14,年齢階層×在院期間区分F00F01_65歳未満以上[[#All],[列1]],0),MATCH($BD$3,年齢階層×在院期間区分F00F01_65歳未満以上[#Headers],0)),0)</f>
        <v>4</v>
      </c>
      <c r="J14" s="129">
        <f>IFERROR(I14/$I$13,"-")</f>
        <v>6.5573770491803282E-2</v>
      </c>
      <c r="K14" s="158">
        <f>SUM(C14,E14,G14,I14)</f>
        <v>67</v>
      </c>
      <c r="L14" s="129">
        <f>IFERROR(K14/$K$13,"-")</f>
        <v>2.7202598457166056E-2</v>
      </c>
      <c r="R14" s="41" t="s">
        <v>284</v>
      </c>
      <c r="S14" s="49">
        <v>1</v>
      </c>
      <c r="T14" s="49">
        <v>14</v>
      </c>
      <c r="U14" s="49">
        <v>7</v>
      </c>
      <c r="V14" s="49">
        <v>11</v>
      </c>
      <c r="W14" s="49">
        <v>4</v>
      </c>
      <c r="X14" s="49">
        <v>5</v>
      </c>
      <c r="Y14" s="49">
        <v>6</v>
      </c>
      <c r="Z14" s="49">
        <v>8</v>
      </c>
      <c r="AA14" s="49">
        <v>2</v>
      </c>
      <c r="AB14" s="49">
        <v>1</v>
      </c>
      <c r="AC14" s="49">
        <v>0</v>
      </c>
      <c r="AD14" s="49">
        <v>4</v>
      </c>
      <c r="AE14" s="49">
        <v>0</v>
      </c>
      <c r="AF14" s="49">
        <v>0</v>
      </c>
      <c r="AG14" s="49">
        <v>2</v>
      </c>
      <c r="AH14" s="49">
        <v>2</v>
      </c>
      <c r="AN14" s="55" t="s">
        <v>145</v>
      </c>
    </row>
    <row r="15" spans="2:56" s="16" customFormat="1" ht="18.75" customHeight="1" x14ac:dyDescent="0.2">
      <c r="B15" s="159" t="s">
        <v>82</v>
      </c>
      <c r="C15" s="158">
        <f>IFERROR(INDEX(年齢階層×在院期間区分F00F01_65歳未満以上[#All],MATCH($AN15,年齢階層×在院期間区分F00F01_65歳未満以上[[#All],[列1]],0),MATCH($AO$3,年齢階層×在院期間区分F00F01_65歳未満以上[#Headers],0)),0)+IFERROR(INDEX(年齢階層×在院期間区分F00F01_65歳未満以上[#All],MATCH($AN15,年齢階層×在院期間区分F00F01_65歳未満以上[[#All],[列1]],0),MATCH($AP$3,年齢階層×在院期間区分F00F01_65歳未満以上[#Headers],0)),0)+IFERROR(INDEX(年齢階層×在院期間区分F00F01_65歳未満以上[#All],MATCH($AN15,年齢階層×在院期間区分F00F01_65歳未満以上[[#All],[列1]],0),MATCH($AQ$3,年齢階層×在院期間区分F00F01_65歳未満以上[#Headers],0)),0)+IFERROR(INDEX(年齢階層×在院期間区分F00F01_65歳未満以上[#All],MATCH($AN15,年齢階層×在院期間区分F00F01_65歳未満以上[[#All],[列1]],0),MATCH($AR$3,年齢階層×在院期間区分F00F01_65歳未満以上[#Headers],0)),0)</f>
        <v>1310</v>
      </c>
      <c r="D15" s="160">
        <f>IFERROR(C15/$C$13,"-")</f>
        <v>0.97542814594192107</v>
      </c>
      <c r="E15" s="158">
        <f>IFERROR(INDEX(年齢階層×在院期間区分F00F01_65歳未満以上[#All],MATCH($AN15,年齢階層×在院期間区分F00F01_65歳未満以上[[#All],[列1]],0),MATCH($AS$3,年齢階層×在院期間区分F00F01_65歳未満以上[#Headers],0)),0)+IFERROR(INDEX(年齢階層×在院期間区分F00F01_65歳未満以上[#All],MATCH($AN15,年齢階層×在院期間区分F00F01_65歳未満以上[[#All],[列1]],0),MATCH($AT$3,年齢階層×在院期間区分F00F01_65歳未満以上[#Headers],0)),0)+IFERROR(INDEX(年齢階層×在院期間区分F00F01_65歳未満以上[#All],MATCH($AN15,年齢階層×在院期間区分F00F01_65歳未満以上[[#All],[列1]],0),MATCH($AU$3,年齢階層×在院期間区分F00F01_65歳未満以上[#Headers],0)),0)+IFERROR(INDEX(年齢階層×在院期間区分F00F01_65歳未満以上[#All],MATCH($AN15,年齢階層×在院期間区分F00F01_65歳未満以上[[#All],[列1]],0),MATCH($AV$3,年齢階層×在院期間区分F00F01_65歳未満以上[#Headers],0)),0)+IFERROR(INDEX(年齢階層×在院期間区分F00F01_65歳未満以上[#All],MATCH($AN15,年齢階層×在院期間区分F00F01_65歳未満以上[[#All],[列1]],0),MATCH($AW$3,年齢階層×在院期間区分F00F01_65歳未満以上[#Headers],0)),0)</f>
        <v>830</v>
      </c>
      <c r="F15" s="160">
        <f>IFERROR(E15/$E$13,"-")</f>
        <v>0.9707602339181286</v>
      </c>
      <c r="G15" s="158">
        <f>IFERROR(INDEX(年齢階層×在院期間区分F00F01_65歳未満以上[#All],MATCH($AN15,年齢階層×在院期間区分F00F01_65歳未満以上[[#All],[列1]],0),MATCH($AX$3,年齢階層×在院期間区分F00F01_65歳未満以上[#Headers],0)),0)+IFERROR(INDEX(年齢階層×在院期間区分F00F01_65歳未満以上[#All],MATCH($AN15,年齢階層×在院期間区分F00F01_65歳未満以上[[#All],[列1]],0),MATCH($AY$3,年齢階層×在院期間区分F00F01_65歳未満以上[#Headers],0)),0)+IFERROR(INDEX(年齢階層×在院期間区分F00F01_65歳未満以上[#All],MATCH($AN15,年齢階層×在院期間区分F00F01_65歳未満以上[[#All],[列1]],0),MATCH($AZ$3,年齢階層×在院期間区分F00F01_65歳未満以上[#Headers],0)),0)+IFERROR(INDEX(年齢階層×在院期間区分F00F01_65歳未満以上[#All],MATCH($AN15,年齢階層×在院期間区分F00F01_65歳未満以上[[#All],[列1]],0),MATCH($BA$3,年齢階層×在院期間区分F00F01_65歳未満以上[#Headers],0)),0)+IFERROR(INDEX(年齢階層×在院期間区分F00F01_65歳未満以上[#All],MATCH($AN15,年齢階層×在院期間区分F00F01_65歳未満以上[[#All],[列1]],0),MATCH($BB$3,年齢階層×在院期間区分F00F01_65歳未満以上[#Headers],0)),0)</f>
        <v>199</v>
      </c>
      <c r="H15" s="160">
        <f>IFERROR(G15/$G$13,"-")</f>
        <v>0.97549019607843135</v>
      </c>
      <c r="I15" s="158">
        <f>IFERROR(INDEX(年齢階層×在院期間区分F00F01_65歳未満以上[#All],MATCH($AN15,年齢階層×在院期間区分F00F01_65歳未満以上[[#All],[列1]],0),MATCH($BC$3,年齢階層×在院期間区分F00F01_65歳未満以上[#Headers],0)),0)+IFERROR(INDEX(年齢階層×在院期間区分F00F01_65歳未満以上[#All],MATCH($AN15,年齢階層×在院期間区分F00F01_65歳未満以上[[#All],[列1]],0),MATCH($BD$3,年齢階層×在院期間区分F00F01_65歳未満以上[#Headers],0)),0)</f>
        <v>57</v>
      </c>
      <c r="J15" s="160">
        <f>IFERROR(I15/$I$13,"-")</f>
        <v>0.93442622950819676</v>
      </c>
      <c r="K15" s="158">
        <f>C15+E15+G15+I15</f>
        <v>2396</v>
      </c>
      <c r="L15" s="160">
        <f>IFERROR(K15/$K$13,"-")</f>
        <v>0.97279740154283389</v>
      </c>
      <c r="R15" s="55" t="s">
        <v>285</v>
      </c>
      <c r="S15" s="49">
        <v>237</v>
      </c>
      <c r="T15" s="49">
        <v>400</v>
      </c>
      <c r="U15" s="49">
        <v>308</v>
      </c>
      <c r="V15" s="49">
        <v>365</v>
      </c>
      <c r="W15" s="49">
        <v>204</v>
      </c>
      <c r="X15" s="49">
        <v>159</v>
      </c>
      <c r="Y15" s="49">
        <v>223</v>
      </c>
      <c r="Z15" s="49">
        <v>143</v>
      </c>
      <c r="AA15" s="49">
        <v>101</v>
      </c>
      <c r="AB15" s="49">
        <v>67</v>
      </c>
      <c r="AC15" s="49">
        <v>57</v>
      </c>
      <c r="AD15" s="49">
        <v>38</v>
      </c>
      <c r="AE15" s="49">
        <v>26</v>
      </c>
      <c r="AF15" s="49">
        <v>11</v>
      </c>
      <c r="AG15" s="49">
        <v>50</v>
      </c>
      <c r="AH15" s="49">
        <v>7</v>
      </c>
      <c r="AN15" s="55" t="s">
        <v>81</v>
      </c>
    </row>
    <row r="16" spans="2:56" ht="18.75" customHeight="1" x14ac:dyDescent="0.2"/>
    <row r="17" spans="2:44" ht="18.75" customHeight="1" x14ac:dyDescent="0.2">
      <c r="B17" s="2" t="s">
        <v>152</v>
      </c>
    </row>
    <row r="18" spans="2:44" ht="18.75" customHeight="1" thickBot="1" x14ac:dyDescent="0.25">
      <c r="B18" s="1055" t="s">
        <v>64</v>
      </c>
      <c r="C18" s="1057" t="s">
        <v>63</v>
      </c>
      <c r="D18" s="1058"/>
      <c r="E18" s="1058"/>
      <c r="F18" s="1058"/>
      <c r="G18" s="1058"/>
      <c r="H18" s="1058"/>
      <c r="I18" s="1058"/>
      <c r="J18" s="1058"/>
      <c r="K18" s="1058"/>
      <c r="L18" s="1059"/>
      <c r="R18" s="21" t="s">
        <v>470</v>
      </c>
    </row>
    <row r="19" spans="2:44" ht="18.75" customHeight="1" thickTop="1" thickBot="1" x14ac:dyDescent="0.25">
      <c r="B19" s="1056"/>
      <c r="C19" s="1060" t="s">
        <v>68</v>
      </c>
      <c r="D19" s="1061"/>
      <c r="E19" s="1060" t="s">
        <v>69</v>
      </c>
      <c r="F19" s="1061"/>
      <c r="G19" s="1060" t="s">
        <v>70</v>
      </c>
      <c r="H19" s="1061"/>
      <c r="I19" s="1060" t="s">
        <v>71</v>
      </c>
      <c r="J19" s="1061"/>
      <c r="K19" s="1060" t="s">
        <v>61</v>
      </c>
      <c r="L19" s="1061"/>
      <c r="R19" s="798" t="s">
        <v>655</v>
      </c>
      <c r="S19" s="306" t="s">
        <v>677</v>
      </c>
      <c r="T19" s="306" t="s">
        <v>678</v>
      </c>
      <c r="U19" s="306" t="s">
        <v>679</v>
      </c>
      <c r="V19" s="306" t="s">
        <v>680</v>
      </c>
      <c r="W19" s="306" t="s">
        <v>681</v>
      </c>
      <c r="X19" s="306" t="s">
        <v>682</v>
      </c>
      <c r="Y19" s="306" t="s">
        <v>683</v>
      </c>
      <c r="Z19" s="306" t="s">
        <v>340</v>
      </c>
      <c r="AA19" s="306" t="s">
        <v>684</v>
      </c>
      <c r="AB19" s="296" t="s">
        <v>685</v>
      </c>
      <c r="AC19" s="296" t="s">
        <v>686</v>
      </c>
      <c r="AD19" s="306" t="s">
        <v>687</v>
      </c>
      <c r="AE19" s="306" t="s">
        <v>688</v>
      </c>
      <c r="AF19" s="306" t="s">
        <v>689</v>
      </c>
      <c r="AG19" s="306" t="s">
        <v>690</v>
      </c>
      <c r="AH19" s="43" t="s">
        <v>691</v>
      </c>
    </row>
    <row r="20" spans="2:44" s="16" customFormat="1" ht="18.75" customHeight="1" thickTop="1" x14ac:dyDescent="0.2">
      <c r="B20" s="147" t="s">
        <v>2</v>
      </c>
      <c r="C20" s="148">
        <f>IFERROR(INDEX(年齢階層×在院期間区分F00F01＿寛解・院内寛解[#All],MATCH($AN4,年齢階層×在院期間区分F00F01＿寛解・院内寛解[[#All],[行ラベル]],0),MATCH($AO$3,年齢階層×在院期間区分F00F01＿寛解・院内寛解[#Headers],0)),0)+IFERROR(INDEX(年齢階層×在院期間区分F00F01＿寛解・院内寛解[#All],MATCH($AN4,年齢階層×在院期間区分F00F01＿寛解・院内寛解[[#All],[行ラベル]],0),MATCH($AP$3,年齢階層×在院期間区分F00F01＿寛解・院内寛解[#Headers],0)),0)+IFERROR(INDEX(年齢階層×在院期間区分F00F01＿寛解・院内寛解[#All],MATCH($AN4,年齢階層×在院期間区分F00F01＿寛解・院内寛解[[#All],[行ラベル]],0),MATCH($AQ$3,年齢階層×在院期間区分F00F01＿寛解・院内寛解[#Headers],0)),0)+IFERROR(INDEX(年齢階層×在院期間区分F00F01＿寛解・院内寛解[#All],MATCH($AN4,年齢階層×在院期間区分F00F01＿寛解・院内寛解[[#All],[行ラベル]],0),MATCH($AR$3,年齢階層×在院期間区分F00F01＿寛解・院内寛解[#Headers],0)),0)</f>
        <v>0</v>
      </c>
      <c r="D20" s="161">
        <f t="shared" ref="D20:D28" si="7">IFERROR(C20/$C$29,"-")</f>
        <v>0</v>
      </c>
      <c r="E20" s="148">
        <f>IFERROR(INDEX(年齢階層×在院期間区分F00F01＿寛解・院内寛解[#All],MATCH($AN4,年齢階層×在院期間区分F00F01＿寛解・院内寛解[[#All],[行ラベル]],0),MATCH($AS$3,年齢階層×在院期間区分F00F01＿寛解・院内寛解[#Headers],0)),0)+IFERROR(INDEX(年齢階層×在院期間区分F00F01＿寛解・院内寛解[#All],MATCH($AN4,年齢階層×在院期間区分F00F01＿寛解・院内寛解[[#All],[行ラベル]],0),MATCH($AT$3,年齢階層×在院期間区分F00F01＿寛解・院内寛解[#Headers],0)),0)+IFERROR(INDEX(年齢階層×在院期間区分F00F01＿寛解・院内寛解[#All],MATCH($AN4,年齢階層×在院期間区分F00F01＿寛解・院内寛解[[#All],[行ラベル]],0),MATCH($AU$3,年齢階層×在院期間区分F00F01＿寛解・院内寛解[#Headers],0)),0)+IFERROR(INDEX(年齢階層×在院期間区分F00F01＿寛解・院内寛解[#All],MATCH($AN4,年齢階層×在院期間区分F00F01＿寛解・院内寛解[[#All],[行ラベル]],0),MATCH($AV$3,年齢階層×在院期間区分F00F01＿寛解・院内寛解[#Headers],0)),0)+IFERROR(INDEX(年齢階層×在院期間区分F00F01＿寛解・院内寛解[#All],MATCH($AN4,年齢階層×在院期間区分F00F01＿寛解・院内寛解[[#All],[行ラベル]],0),MATCH($AW$3,年齢階層×在院期間区分F00F01＿寛解・院内寛解[#Headers],0)),0)</f>
        <v>0</v>
      </c>
      <c r="F20" s="161">
        <f t="shared" ref="F20:F28" si="8">IFERROR(E20/$E$29,"-")</f>
        <v>0</v>
      </c>
      <c r="G20" s="142">
        <f>IFERROR(INDEX(年齢階層×在院期間区分F00F01＿寛解・院内寛解[#All],MATCH($AN4,年齢階層×在院期間区分F00F01＿寛解・院内寛解[[#All],[行ラベル]],0),MATCH($AX$3,年齢階層×在院期間区分F00F01＿寛解・院内寛解[#Headers],0)),0)+IFERROR(INDEX(年齢階層×在院期間区分F00F01＿寛解・院内寛解[#All],MATCH($AN4,年齢階層×在院期間区分F00F01＿寛解・院内寛解[[#All],[行ラベル]],0),MATCH($AY$3,年齢階層×在院期間区分F00F01＿寛解・院内寛解[#Headers],0)),0)+IFERROR(INDEX(年齢階層×在院期間区分F00F01＿寛解・院内寛解[#All],MATCH($AN4,年齢階層×在院期間区分F00F01＿寛解・院内寛解[[#All],[行ラベル]],0),MATCH($AZ$3,年齢階層×在院期間区分F00F01＿寛解・院内寛解[#Headers],0)),0)+IFERROR(INDEX(年齢階層×在院期間区分F00F01＿寛解・院内寛解[#All],MATCH($AN4,年齢階層×在院期間区分F00F01＿寛解・院内寛解[[#All],[行ラベル]],0),MATCH($BA$3,年齢階層×在院期間区分F00F01＿寛解・院内寛解[#Headers],0)),0)+IFERROR(INDEX(年齢階層×在院期間区分F00F01＿寛解・院内寛解[#All],MATCH($AN4,年齢階層×在院期間区分F00F01＿寛解・院内寛解[[#All],[行ラベル]],0),MATCH($BB$3,年齢階層×在院期間区分F00F01＿寛解・院内寛解[#Headers],0)),0)</f>
        <v>0</v>
      </c>
      <c r="H20" s="161">
        <f t="shared" ref="H20:H28" si="9">IFERROR(G20/$G$29,"-")</f>
        <v>0</v>
      </c>
      <c r="I20" s="148">
        <f>IFERROR(INDEX(年齢階層×在院期間区分F00F01＿寛解・院内寛解[#All],MATCH($AN4,年齢階層×在院期間区分F00F01＿寛解・院内寛解[[#All],[行ラベル]],0),MATCH($BC$3,年齢階層×在院期間区分F00F01＿寛解・院内寛解[#Headers],0)),0)+IFERROR(INDEX(年齢階層×在院期間区分F00F01＿寛解・院内寛解[#All],MATCH($AN4,年齢階層×在院期間区分F00F01＿寛解・院内寛解[[#All],[行ラベル]],0),MATCH($BD$3,年齢階層×在院期間区分F00F01＿寛解・院内寛解[#Headers],0)),0)</f>
        <v>0</v>
      </c>
      <c r="J20" s="161" t="str">
        <f t="shared" ref="J20:J28" si="10">IFERROR(I20/$I$29,"-")</f>
        <v>-</v>
      </c>
      <c r="K20" s="142">
        <f t="shared" ref="K20:K28" si="11">SUM(C20,E20,G20,I20)</f>
        <v>0</v>
      </c>
      <c r="L20" s="161">
        <f t="shared" ref="L20:L28" si="12">IFERROR(K20/$K$29,"-")</f>
        <v>0</v>
      </c>
      <c r="R20" s="41" t="s">
        <v>2</v>
      </c>
      <c r="S20" s="49">
        <v>0</v>
      </c>
      <c r="T20" s="49">
        <v>0</v>
      </c>
      <c r="U20" s="49">
        <v>0</v>
      </c>
      <c r="V20" s="49">
        <v>0</v>
      </c>
      <c r="W20" s="49">
        <v>0</v>
      </c>
      <c r="X20" s="49">
        <v>0</v>
      </c>
      <c r="Y20" s="49">
        <v>0</v>
      </c>
      <c r="Z20" s="49">
        <v>0</v>
      </c>
      <c r="AA20" s="49">
        <v>0</v>
      </c>
      <c r="AB20" s="49">
        <v>0</v>
      </c>
      <c r="AC20" s="49">
        <v>0</v>
      </c>
      <c r="AD20" s="49">
        <v>0</v>
      </c>
      <c r="AE20" s="49">
        <v>0</v>
      </c>
      <c r="AF20" s="49">
        <v>0</v>
      </c>
      <c r="AG20" s="49">
        <v>0</v>
      </c>
      <c r="AH20" s="49">
        <v>0</v>
      </c>
      <c r="AN20" s="41" t="s">
        <v>2</v>
      </c>
    </row>
    <row r="21" spans="2:44" s="16" customFormat="1" ht="18.75" customHeight="1" x14ac:dyDescent="0.2">
      <c r="B21" s="149" t="s">
        <v>3</v>
      </c>
      <c r="C21" s="150">
        <f>IFERROR(INDEX(年齢階層×在院期間区分F00F01＿寛解・院内寛解[#All],MATCH($AN5,年齢階層×在院期間区分F00F01＿寛解・院内寛解[[#All],[行ラベル]],0),MATCH($AO$3,年齢階層×在院期間区分F00F01＿寛解・院内寛解[#Headers],0)),0)+IFERROR(INDEX(年齢階層×在院期間区分F00F01＿寛解・院内寛解[#All],MATCH($AN5,年齢階層×在院期間区分F00F01＿寛解・院内寛解[[#All],[行ラベル]],0),MATCH($AP$3,年齢階層×在院期間区分F00F01＿寛解・院内寛解[#Headers],0)),0)+IFERROR(INDEX(年齢階層×在院期間区分F00F01＿寛解・院内寛解[#All],MATCH($AN5,年齢階層×在院期間区分F00F01＿寛解・院内寛解[[#All],[行ラベル]],0),MATCH($AQ$3,年齢階層×在院期間区分F00F01＿寛解・院内寛解[#Headers],0)),0)+IFERROR(INDEX(年齢階層×在院期間区分F00F01＿寛解・院内寛解[#All],MATCH($AN5,年齢階層×在院期間区分F00F01＿寛解・院内寛解[[#All],[行ラベル]],0),MATCH($AR$3,年齢階層×在院期間区分F00F01＿寛解・院内寛解[#Headers],0)),0)</f>
        <v>0</v>
      </c>
      <c r="D21" s="128">
        <f t="shared" si="7"/>
        <v>0</v>
      </c>
      <c r="E21" s="150">
        <f>IFERROR(INDEX(年齢階層×在院期間区分F00F01＿寛解・院内寛解[#All],MATCH($AN5,年齢階層×在院期間区分F00F01＿寛解・院内寛解[[#All],[行ラベル]],0),MATCH($AS$3,年齢階層×在院期間区分F00F01＿寛解・院内寛解[#Headers],0)),0)+IFERROR(INDEX(年齢階層×在院期間区分F00F01＿寛解・院内寛解[#All],MATCH($AN5,年齢階層×在院期間区分F00F01＿寛解・院内寛解[[#All],[行ラベル]],0),MATCH($AT$3,年齢階層×在院期間区分F00F01＿寛解・院内寛解[#Headers],0)),0)+IFERROR(INDEX(年齢階層×在院期間区分F00F01＿寛解・院内寛解[#All],MATCH($AN5,年齢階層×在院期間区分F00F01＿寛解・院内寛解[[#All],[行ラベル]],0),MATCH($AU$3,年齢階層×在院期間区分F00F01＿寛解・院内寛解[#Headers],0)),0)+IFERROR(INDEX(年齢階層×在院期間区分F00F01＿寛解・院内寛解[#All],MATCH($AN5,年齢階層×在院期間区分F00F01＿寛解・院内寛解[[#All],[行ラベル]],0),MATCH($AV$3,年齢階層×在院期間区分F00F01＿寛解・院内寛解[#Headers],0)),0)+IFERROR(INDEX(年齢階層×在院期間区分F00F01＿寛解・院内寛解[#All],MATCH($AN5,年齢階層×在院期間区分F00F01＿寛解・院内寛解[[#All],[行ラベル]],0),MATCH($AW$3,年齢階層×在院期間区分F00F01＿寛解・院内寛解[#Headers],0)),0)</f>
        <v>0</v>
      </c>
      <c r="F21" s="128">
        <f t="shared" si="8"/>
        <v>0</v>
      </c>
      <c r="G21" s="127">
        <f>IFERROR(INDEX(年齢階層×在院期間区分F00F01＿寛解・院内寛解[#All],MATCH($AN5,年齢階層×在院期間区分F00F01＿寛解・院内寛解[[#All],[行ラベル]],0),MATCH($AX$3,年齢階層×在院期間区分F00F01＿寛解・院内寛解[#Headers],0)),0)+IFERROR(INDEX(年齢階層×在院期間区分F00F01＿寛解・院内寛解[#All],MATCH($AN5,年齢階層×在院期間区分F00F01＿寛解・院内寛解[[#All],[行ラベル]],0),MATCH($AY$3,年齢階層×在院期間区分F00F01＿寛解・院内寛解[#Headers],0)),0)+IFERROR(INDEX(年齢階層×在院期間区分F00F01＿寛解・院内寛解[#All],MATCH($AN5,年齢階層×在院期間区分F00F01＿寛解・院内寛解[[#All],[行ラベル]],0),MATCH($AZ$3,年齢階層×在院期間区分F00F01＿寛解・院内寛解[#Headers],0)),0)+IFERROR(INDEX(年齢階層×在院期間区分F00F01＿寛解・院内寛解[#All],MATCH($AN5,年齢階層×在院期間区分F00F01＿寛解・院内寛解[[#All],[行ラベル]],0),MATCH($BA$3,年齢階層×在院期間区分F00F01＿寛解・院内寛解[#Headers],0)),0)+IFERROR(INDEX(年齢階層×在院期間区分F00F01＿寛解・院内寛解[#All],MATCH($AN5,年齢階層×在院期間区分F00F01＿寛解・院内寛解[[#All],[行ラベル]],0),MATCH($BB$3,年齢階層×在院期間区分F00F01＿寛解・院内寛解[#Headers],0)),0)</f>
        <v>0</v>
      </c>
      <c r="H21" s="128">
        <f t="shared" si="9"/>
        <v>0</v>
      </c>
      <c r="I21" s="150">
        <f>IFERROR(INDEX(年齢階層×在院期間区分F00F01＿寛解・院内寛解[#All],MATCH($AN5,年齢階層×在院期間区分F00F01＿寛解・院内寛解[[#All],[行ラベル]],0),MATCH($BC$3,年齢階層×在院期間区分F00F01＿寛解・院内寛解[#Headers],0)),0)+IFERROR(INDEX(年齢階層×在院期間区分F00F01＿寛解・院内寛解[#All],MATCH($AN5,年齢階層×在院期間区分F00F01＿寛解・院内寛解[[#All],[行ラベル]],0),MATCH($BD$3,年齢階層×在院期間区分F00F01＿寛解・院内寛解[#Headers],0)),0)</f>
        <v>0</v>
      </c>
      <c r="J21" s="128" t="str">
        <f t="shared" si="10"/>
        <v>-</v>
      </c>
      <c r="K21" s="127">
        <f t="shared" si="11"/>
        <v>0</v>
      </c>
      <c r="L21" s="128">
        <f t="shared" si="12"/>
        <v>0</v>
      </c>
      <c r="R21" s="41" t="s">
        <v>3</v>
      </c>
      <c r="S21" s="49">
        <v>0</v>
      </c>
      <c r="T21" s="49">
        <v>0</v>
      </c>
      <c r="U21" s="49">
        <v>0</v>
      </c>
      <c r="V21" s="49">
        <v>0</v>
      </c>
      <c r="W21" s="49">
        <v>0</v>
      </c>
      <c r="X21" s="49">
        <v>0</v>
      </c>
      <c r="Y21" s="49">
        <v>0</v>
      </c>
      <c r="Z21" s="49">
        <v>0</v>
      </c>
      <c r="AA21" s="49">
        <v>0</v>
      </c>
      <c r="AB21" s="49">
        <v>0</v>
      </c>
      <c r="AC21" s="49">
        <v>0</v>
      </c>
      <c r="AD21" s="49">
        <v>0</v>
      </c>
      <c r="AE21" s="49">
        <v>0</v>
      </c>
      <c r="AF21" s="49">
        <v>0</v>
      </c>
      <c r="AG21" s="49">
        <v>0</v>
      </c>
      <c r="AH21" s="49">
        <v>0</v>
      </c>
      <c r="AN21" s="41" t="s">
        <v>3</v>
      </c>
    </row>
    <row r="22" spans="2:44" s="16" customFormat="1" ht="18.75" customHeight="1" x14ac:dyDescent="0.2">
      <c r="B22" s="149" t="s">
        <v>4</v>
      </c>
      <c r="C22" s="127">
        <f>IFERROR(INDEX(年齢階層×在院期間区分F00F01＿寛解・院内寛解[#All],MATCH($AN6,年齢階層×在院期間区分F00F01＿寛解・院内寛解[[#All],[行ラベル]],0),MATCH($AO$3,年齢階層×在院期間区分F00F01＿寛解・院内寛解[#Headers],0)),0)+IFERROR(INDEX(年齢階層×在院期間区分F00F01＿寛解・院内寛解[#All],MATCH($AN6,年齢階層×在院期間区分F00F01＿寛解・院内寛解[[#All],[行ラベル]],0),MATCH($AP$3,年齢階層×在院期間区分F00F01＿寛解・院内寛解[#Headers],0)),0)+IFERROR(INDEX(年齢階層×在院期間区分F00F01＿寛解・院内寛解[#All],MATCH($AN6,年齢階層×在院期間区分F00F01＿寛解・院内寛解[[#All],[行ラベル]],0),MATCH($AQ$3,年齢階層×在院期間区分F00F01＿寛解・院内寛解[#Headers],0)),0)+IFERROR(INDEX(年齢階層×在院期間区分F00F01＿寛解・院内寛解[#All],MATCH($AN6,年齢階層×在院期間区分F00F01＿寛解・院内寛解[[#All],[行ラベル]],0),MATCH($AR$3,年齢階層×在院期間区分F00F01＿寛解・院内寛解[#Headers],0)),0)</f>
        <v>0</v>
      </c>
      <c r="D22" s="128">
        <f t="shared" si="7"/>
        <v>0</v>
      </c>
      <c r="E22" s="150">
        <f>IFERROR(INDEX(年齢階層×在院期間区分F00F01＿寛解・院内寛解[#All],MATCH($AN6,年齢階層×在院期間区分F00F01＿寛解・院内寛解[[#All],[行ラベル]],0),MATCH($AS$3,年齢階層×在院期間区分F00F01＿寛解・院内寛解[#Headers],0)),0)+IFERROR(INDEX(年齢階層×在院期間区分F00F01＿寛解・院内寛解[#All],MATCH($AN6,年齢階層×在院期間区分F00F01＿寛解・院内寛解[[#All],[行ラベル]],0),MATCH($AT$3,年齢階層×在院期間区分F00F01＿寛解・院内寛解[#Headers],0)),0)+IFERROR(INDEX(年齢階層×在院期間区分F00F01＿寛解・院内寛解[#All],MATCH($AN6,年齢階層×在院期間区分F00F01＿寛解・院内寛解[[#All],[行ラベル]],0),MATCH($AU$3,年齢階層×在院期間区分F00F01＿寛解・院内寛解[#Headers],0)),0)+IFERROR(INDEX(年齢階層×在院期間区分F00F01＿寛解・院内寛解[#All],MATCH($AN6,年齢階層×在院期間区分F00F01＿寛解・院内寛解[[#All],[行ラベル]],0),MATCH($AV$3,年齢階層×在院期間区分F00F01＿寛解・院内寛解[#Headers],0)),0)+IFERROR(INDEX(年齢階層×在院期間区分F00F01＿寛解・院内寛解[#All],MATCH($AN6,年齢階層×在院期間区分F00F01＿寛解・院内寛解[[#All],[行ラベル]],0),MATCH($AW$3,年齢階層×在院期間区分F00F01＿寛解・院内寛解[#Headers],0)),0)</f>
        <v>0</v>
      </c>
      <c r="F22" s="128">
        <f t="shared" si="8"/>
        <v>0</v>
      </c>
      <c r="G22" s="151">
        <f>IFERROR(INDEX(年齢階層×在院期間区分F00F01＿寛解・院内寛解[#All],MATCH($AN6,年齢階層×在院期間区分F00F01＿寛解・院内寛解[[#All],[行ラベル]],0),MATCH($AX$3,年齢階層×在院期間区分F00F01＿寛解・院内寛解[#Headers],0)),0)+IFERROR(INDEX(年齢階層×在院期間区分F00F01＿寛解・院内寛解[#All],MATCH($AN6,年齢階層×在院期間区分F00F01＿寛解・院内寛解[[#All],[行ラベル]],0),MATCH($AY$3,年齢階層×在院期間区分F00F01＿寛解・院内寛解[#Headers],0)),0)+IFERROR(INDEX(年齢階層×在院期間区分F00F01＿寛解・院内寛解[#All],MATCH($AN6,年齢階層×在院期間区分F00F01＿寛解・院内寛解[[#All],[行ラベル]],0),MATCH($AZ$3,年齢階層×在院期間区分F00F01＿寛解・院内寛解[#Headers],0)),0)+IFERROR(INDEX(年齢階層×在院期間区分F00F01＿寛解・院内寛解[#All],MATCH($AN6,年齢階層×在院期間区分F00F01＿寛解・院内寛解[[#All],[行ラベル]],0),MATCH($BA$3,年齢階層×在院期間区分F00F01＿寛解・院内寛解[#Headers],0)),0)+IFERROR(INDEX(年齢階層×在院期間区分F00F01＿寛解・院内寛解[#All],MATCH($AN6,年齢階層×在院期間区分F00F01＿寛解・院内寛解[[#All],[行ラベル]],0),MATCH($BB$3,年齢階層×在院期間区分F00F01＿寛解・院内寛解[#Headers],0)),0)</f>
        <v>0</v>
      </c>
      <c r="H22" s="128">
        <f t="shared" si="9"/>
        <v>0</v>
      </c>
      <c r="I22" s="127">
        <f>IFERROR(INDEX(年齢階層×在院期間区分F00F01＿寛解・院内寛解[#All],MATCH($AN6,年齢階層×在院期間区分F00F01＿寛解・院内寛解[[#All],[行ラベル]],0),MATCH($BC$3,年齢階層×在院期間区分F00F01＿寛解・院内寛解[#Headers],0)),0)+IFERROR(INDEX(年齢階層×在院期間区分F00F01＿寛解・院内寛解[#All],MATCH($AN6,年齢階層×在院期間区分F00F01＿寛解・院内寛解[[#All],[行ラベル]],0),MATCH($BD$3,年齢階層×在院期間区分F00F01＿寛解・院内寛解[#Headers],0)),0)</f>
        <v>0</v>
      </c>
      <c r="J22" s="128" t="str">
        <f t="shared" si="10"/>
        <v>-</v>
      </c>
      <c r="K22" s="127">
        <f t="shared" si="11"/>
        <v>0</v>
      </c>
      <c r="L22" s="128">
        <f t="shared" si="12"/>
        <v>0</v>
      </c>
      <c r="R22" s="41" t="s">
        <v>4</v>
      </c>
      <c r="S22" s="49">
        <v>0</v>
      </c>
      <c r="T22" s="49">
        <v>0</v>
      </c>
      <c r="U22" s="49">
        <v>0</v>
      </c>
      <c r="V22" s="49">
        <v>0</v>
      </c>
      <c r="W22" s="49">
        <v>0</v>
      </c>
      <c r="X22" s="49">
        <v>0</v>
      </c>
      <c r="Y22" s="49">
        <v>0</v>
      </c>
      <c r="Z22" s="49">
        <v>0</v>
      </c>
      <c r="AA22" s="49">
        <v>0</v>
      </c>
      <c r="AB22" s="49">
        <v>0</v>
      </c>
      <c r="AC22" s="49">
        <v>0</v>
      </c>
      <c r="AD22" s="49">
        <v>0</v>
      </c>
      <c r="AE22" s="49">
        <v>0</v>
      </c>
      <c r="AF22" s="49">
        <v>0</v>
      </c>
      <c r="AG22" s="49">
        <v>0</v>
      </c>
      <c r="AH22" s="49">
        <v>0</v>
      </c>
      <c r="AN22" s="41" t="s">
        <v>4</v>
      </c>
    </row>
    <row r="23" spans="2:44" s="16" customFormat="1" ht="18.75" customHeight="1" x14ac:dyDescent="0.2">
      <c r="B23" s="149" t="s">
        <v>5</v>
      </c>
      <c r="C23" s="127">
        <f>IFERROR(INDEX(年齢階層×在院期間区分F00F01＿寛解・院内寛解[#All],MATCH($AN7,年齢階層×在院期間区分F00F01＿寛解・院内寛解[[#All],[行ラベル]],0),MATCH($AO$3,年齢階層×在院期間区分F00F01＿寛解・院内寛解[#Headers],0)),0)+IFERROR(INDEX(年齢階層×在院期間区分F00F01＿寛解・院内寛解[#All],MATCH($AN7,年齢階層×在院期間区分F00F01＿寛解・院内寛解[[#All],[行ラベル]],0),MATCH($AP$3,年齢階層×在院期間区分F00F01＿寛解・院内寛解[#Headers],0)),0)+IFERROR(INDEX(年齢階層×在院期間区分F00F01＿寛解・院内寛解[#All],MATCH($AN7,年齢階層×在院期間区分F00F01＿寛解・院内寛解[[#All],[行ラベル]],0),MATCH($AQ$3,年齢階層×在院期間区分F00F01＿寛解・院内寛解[#Headers],0)),0)+IFERROR(INDEX(年齢階層×在院期間区分F00F01＿寛解・院内寛解[#All],MATCH($AN7,年齢階層×在院期間区分F00F01＿寛解・院内寛解[[#All],[行ラベル]],0),MATCH($AR$3,年齢階層×在院期間区分F00F01＿寛解・院内寛解[#Headers],0)),0)</f>
        <v>0</v>
      </c>
      <c r="D23" s="128">
        <f t="shared" si="7"/>
        <v>0</v>
      </c>
      <c r="E23" s="127">
        <f>IFERROR(INDEX(年齢階層×在院期間区分F00F01＿寛解・院内寛解[#All],MATCH($AN7,年齢階層×在院期間区分F00F01＿寛解・院内寛解[[#All],[行ラベル]],0),MATCH($AS$3,年齢階層×在院期間区分F00F01＿寛解・院内寛解[#Headers],0)),0)+IFERROR(INDEX(年齢階層×在院期間区分F00F01＿寛解・院内寛解[#All],MATCH($AN7,年齢階層×在院期間区分F00F01＿寛解・院内寛解[[#All],[行ラベル]],0),MATCH($AT$3,年齢階層×在院期間区分F00F01＿寛解・院内寛解[#Headers],0)),0)+IFERROR(INDEX(年齢階層×在院期間区分F00F01＿寛解・院内寛解[#All],MATCH($AN7,年齢階層×在院期間区分F00F01＿寛解・院内寛解[[#All],[行ラベル]],0),MATCH($AU$3,年齢階層×在院期間区分F00F01＿寛解・院内寛解[#Headers],0)),0)+IFERROR(INDEX(年齢階層×在院期間区分F00F01＿寛解・院内寛解[#All],MATCH($AN7,年齢階層×在院期間区分F00F01＿寛解・院内寛解[[#All],[行ラベル]],0),MATCH($AV$3,年齢階層×在院期間区分F00F01＿寛解・院内寛解[#Headers],0)),0)+IFERROR(INDEX(年齢階層×在院期間区分F00F01＿寛解・院内寛解[#All],MATCH($AN7,年齢階層×在院期間区分F00F01＿寛解・院内寛解[[#All],[行ラベル]],0),MATCH($AW$3,年齢階層×在院期間区分F00F01＿寛解・院内寛解[#Headers],0)),0)</f>
        <v>0</v>
      </c>
      <c r="F23" s="128">
        <f t="shared" si="8"/>
        <v>0</v>
      </c>
      <c r="G23" s="127">
        <f>IFERROR(INDEX(年齢階層×在院期間区分F00F01＿寛解・院内寛解[#All],MATCH($AN7,年齢階層×在院期間区分F00F01＿寛解・院内寛解[[#All],[行ラベル]],0),MATCH($AX$3,年齢階層×在院期間区分F00F01＿寛解・院内寛解[#Headers],0)),0)+IFERROR(INDEX(年齢階層×在院期間区分F00F01＿寛解・院内寛解[#All],MATCH($AN7,年齢階層×在院期間区分F00F01＿寛解・院内寛解[[#All],[行ラベル]],0),MATCH($AY$3,年齢階層×在院期間区分F00F01＿寛解・院内寛解[#Headers],0)),0)+IFERROR(INDEX(年齢階層×在院期間区分F00F01＿寛解・院内寛解[#All],MATCH($AN7,年齢階層×在院期間区分F00F01＿寛解・院内寛解[[#All],[行ラベル]],0),MATCH($AZ$3,年齢階層×在院期間区分F00F01＿寛解・院内寛解[#Headers],0)),0)+IFERROR(INDEX(年齢階層×在院期間区分F00F01＿寛解・院内寛解[#All],MATCH($AN7,年齢階層×在院期間区分F00F01＿寛解・院内寛解[[#All],[行ラベル]],0),MATCH($BA$3,年齢階層×在院期間区分F00F01＿寛解・院内寛解[#Headers],0)),0)+IFERROR(INDEX(年齢階層×在院期間区分F00F01＿寛解・院内寛解[#All],MATCH($AN7,年齢階層×在院期間区分F00F01＿寛解・院内寛解[[#All],[行ラベル]],0),MATCH($BB$3,年齢階層×在院期間区分F00F01＿寛解・院内寛解[#Headers],0)),0)</f>
        <v>1</v>
      </c>
      <c r="H23" s="128">
        <f t="shared" si="9"/>
        <v>0.14285714285714285</v>
      </c>
      <c r="I23" s="127">
        <f>IFERROR(INDEX(年齢階層×在院期間区分F00F01＿寛解・院内寛解[#All],MATCH($AN7,年齢階層×在院期間区分F00F01＿寛解・院内寛解[[#All],[行ラベル]],0),MATCH($BC$3,年齢階層×在院期間区分F00F01＿寛解・院内寛解[#Headers],0)),0)+IFERROR(INDEX(年齢階層×在院期間区分F00F01＿寛解・院内寛解[#All],MATCH($AN7,年齢階層×在院期間区分F00F01＿寛解・院内寛解[[#All],[行ラベル]],0),MATCH($BD$3,年齢階層×在院期間区分F00F01＿寛解・院内寛解[#Headers],0)),0)</f>
        <v>0</v>
      </c>
      <c r="J23" s="128" t="str">
        <f t="shared" si="10"/>
        <v>-</v>
      </c>
      <c r="K23" s="127">
        <f t="shared" si="11"/>
        <v>1</v>
      </c>
      <c r="L23" s="128">
        <f t="shared" si="12"/>
        <v>7.246376811594203E-3</v>
      </c>
      <c r="R23" s="41" t="s">
        <v>5</v>
      </c>
      <c r="S23" s="49">
        <v>0</v>
      </c>
      <c r="T23" s="49">
        <v>0</v>
      </c>
      <c r="U23" s="49">
        <v>0</v>
      </c>
      <c r="V23" s="49">
        <v>0</v>
      </c>
      <c r="W23" s="49">
        <v>0</v>
      </c>
      <c r="X23" s="49">
        <v>0</v>
      </c>
      <c r="Y23" s="49">
        <v>0</v>
      </c>
      <c r="Z23" s="49">
        <v>0</v>
      </c>
      <c r="AA23" s="49">
        <v>0</v>
      </c>
      <c r="AB23" s="49">
        <v>0</v>
      </c>
      <c r="AC23" s="49">
        <v>0</v>
      </c>
      <c r="AD23" s="49">
        <v>1</v>
      </c>
      <c r="AE23" s="49">
        <v>0</v>
      </c>
      <c r="AF23" s="49">
        <v>0</v>
      </c>
      <c r="AG23" s="49">
        <v>0</v>
      </c>
      <c r="AH23" s="49">
        <v>0</v>
      </c>
      <c r="AN23" s="41" t="s">
        <v>5</v>
      </c>
    </row>
    <row r="24" spans="2:44" s="16" customFormat="1" ht="18.75" customHeight="1" x14ac:dyDescent="0.2">
      <c r="B24" s="149" t="s">
        <v>6</v>
      </c>
      <c r="C24" s="151">
        <f>IFERROR(INDEX(年齢階層×在院期間区分F00F01＿寛解・院内寛解[#All],MATCH($AN8,年齢階層×在院期間区分F00F01＿寛解・院内寛解[[#All],[行ラベル]],0),MATCH($AO$3,年齢階層×在院期間区分F00F01＿寛解・院内寛解[#Headers],0)),0)+IFERROR(INDEX(年齢階層×在院期間区分F00F01＿寛解・院内寛解[#All],MATCH($AN8,年齢階層×在院期間区分F00F01＿寛解・院内寛解[[#All],[行ラベル]],0),MATCH($AP$3,年齢階層×在院期間区分F00F01＿寛解・院内寛解[#Headers],0)),0)+IFERROR(INDEX(年齢階層×在院期間区分F00F01＿寛解・院内寛解[#All],MATCH($AN8,年齢階層×在院期間区分F00F01＿寛解・院内寛解[[#All],[行ラベル]],0),MATCH($AQ$3,年齢階層×在院期間区分F00F01＿寛解・院内寛解[#Headers],0)),0)+IFERROR(INDEX(年齢階層×在院期間区分F00F01＿寛解・院内寛解[#All],MATCH($AN8,年齢階層×在院期間区分F00F01＿寛解・院内寛解[[#All],[行ラベル]],0),MATCH($AR$3,年齢階層×在院期間区分F00F01＿寛解・院内寛解[#Headers],0)),0)</f>
        <v>1</v>
      </c>
      <c r="D24" s="128">
        <f t="shared" si="7"/>
        <v>1.0101010101010102E-2</v>
      </c>
      <c r="E24" s="127">
        <f>IFERROR(INDEX(年齢階層×在院期間区分F00F01＿寛解・院内寛解[#All],MATCH($AN8,年齢階層×在院期間区分F00F01＿寛解・院内寛解[[#All],[行ラベル]],0),MATCH($AS$3,年齢階層×在院期間区分F00F01＿寛解・院内寛解[#Headers],0)),0)+IFERROR(INDEX(年齢階層×在院期間区分F00F01＿寛解・院内寛解[#All],MATCH($AN8,年齢階層×在院期間区分F00F01＿寛解・院内寛解[[#All],[行ラベル]],0),MATCH($AT$3,年齢階層×在院期間区分F00F01＿寛解・院内寛解[#Headers],0)),0)+IFERROR(INDEX(年齢階層×在院期間区分F00F01＿寛解・院内寛解[#All],MATCH($AN8,年齢階層×在院期間区分F00F01＿寛解・院内寛解[[#All],[行ラベル]],0),MATCH($AU$3,年齢階層×在院期間区分F00F01＿寛解・院内寛解[#Headers],0)),0)+IFERROR(INDEX(年齢階層×在院期間区分F00F01＿寛解・院内寛解[#All],MATCH($AN8,年齢階層×在院期間区分F00F01＿寛解・院内寛解[[#All],[行ラベル]],0),MATCH($AV$3,年齢階層×在院期間区分F00F01＿寛解・院内寛解[#Headers],0)),0)+IFERROR(INDEX(年齢階層×在院期間区分F00F01＿寛解・院内寛解[#All],MATCH($AN8,年齢階層×在院期間区分F00F01＿寛解・院内寛解[[#All],[行ラベル]],0),MATCH($AW$3,年齢階層×在院期間区分F00F01＿寛解・院内寛解[#Headers],0)),0)</f>
        <v>0</v>
      </c>
      <c r="F24" s="128">
        <f t="shared" si="8"/>
        <v>0</v>
      </c>
      <c r="G24" s="151">
        <f>IFERROR(INDEX(年齢階層×在院期間区分F00F01＿寛解・院内寛解[#All],MATCH($AN8,年齢階層×在院期間区分F00F01＿寛解・院内寛解[[#All],[行ラベル]],0),MATCH($AX$3,年齢階層×在院期間区分F00F01＿寛解・院内寛解[#Headers],0)),0)+IFERROR(INDEX(年齢階層×在院期間区分F00F01＿寛解・院内寛解[#All],MATCH($AN8,年齢階層×在院期間区分F00F01＿寛解・院内寛解[[#All],[行ラベル]],0),MATCH($AY$3,年齢階層×在院期間区分F00F01＿寛解・院内寛解[#Headers],0)),0)+IFERROR(INDEX(年齢階層×在院期間区分F00F01＿寛解・院内寛解[#All],MATCH($AN8,年齢階層×在院期間区分F00F01＿寛解・院内寛解[[#All],[行ラベル]],0),MATCH($AZ$3,年齢階層×在院期間区分F00F01＿寛解・院内寛解[#Headers],0)),0)+IFERROR(INDEX(年齢階層×在院期間区分F00F01＿寛解・院内寛解[#All],MATCH($AN8,年齢階層×在院期間区分F00F01＿寛解・院内寛解[[#All],[行ラベル]],0),MATCH($BA$3,年齢階層×在院期間区分F00F01＿寛解・院内寛解[#Headers],0)),0)+IFERROR(INDEX(年齢階層×在院期間区分F00F01＿寛解・院内寛解[#All],MATCH($AN8,年齢階層×在院期間区分F00F01＿寛解・院内寛解[[#All],[行ラベル]],0),MATCH($BB$3,年齢階層×在院期間区分F00F01＿寛解・院内寛解[#Headers],0)),0)</f>
        <v>1</v>
      </c>
      <c r="H24" s="128">
        <f t="shared" si="9"/>
        <v>0.14285714285714285</v>
      </c>
      <c r="I24" s="127">
        <f>IFERROR(INDEX(年齢階層×在院期間区分F00F01＿寛解・院内寛解[#All],MATCH($AN8,年齢階層×在院期間区分F00F01＿寛解・院内寛解[[#All],[行ラベル]],0),MATCH($BC$3,年齢階層×在院期間区分F00F01＿寛解・院内寛解[#Headers],0)),0)+IFERROR(INDEX(年齢階層×在院期間区分F00F01＿寛解・院内寛解[#All],MATCH($AN8,年齢階層×在院期間区分F00F01＿寛解・院内寛解[[#All],[行ラベル]],0),MATCH($BD$3,年齢階層×在院期間区分F00F01＿寛解・院内寛解[#Headers],0)),0)</f>
        <v>0</v>
      </c>
      <c r="J24" s="128" t="str">
        <f t="shared" si="10"/>
        <v>-</v>
      </c>
      <c r="K24" s="127">
        <f t="shared" si="11"/>
        <v>2</v>
      </c>
      <c r="L24" s="128">
        <f t="shared" si="12"/>
        <v>1.4492753623188406E-2</v>
      </c>
      <c r="R24" s="41" t="s">
        <v>6</v>
      </c>
      <c r="S24" s="49">
        <v>0</v>
      </c>
      <c r="T24" s="49">
        <v>0</v>
      </c>
      <c r="U24" s="49">
        <v>0</v>
      </c>
      <c r="V24" s="49">
        <v>1</v>
      </c>
      <c r="W24" s="49">
        <v>0</v>
      </c>
      <c r="X24" s="49">
        <v>0</v>
      </c>
      <c r="Y24" s="49">
        <v>0</v>
      </c>
      <c r="Z24" s="49">
        <v>0</v>
      </c>
      <c r="AA24" s="49">
        <v>0</v>
      </c>
      <c r="AB24" s="49">
        <v>0</v>
      </c>
      <c r="AC24" s="49">
        <v>0</v>
      </c>
      <c r="AD24" s="49">
        <v>1</v>
      </c>
      <c r="AE24" s="49">
        <v>0</v>
      </c>
      <c r="AF24" s="49">
        <v>0</v>
      </c>
      <c r="AG24" s="49">
        <v>0</v>
      </c>
      <c r="AH24" s="49">
        <v>0</v>
      </c>
      <c r="AN24" s="41" t="s">
        <v>6</v>
      </c>
    </row>
    <row r="25" spans="2:44" s="16" customFormat="1" ht="18.75" customHeight="1" x14ac:dyDescent="0.2">
      <c r="B25" s="149" t="s">
        <v>7</v>
      </c>
      <c r="C25" s="150">
        <f>IFERROR(INDEX(年齢階層×在院期間区分F00F01＿寛解・院内寛解[#All],MATCH($AN9,年齢階層×在院期間区分F00F01＿寛解・院内寛解[[#All],[行ラベル]],0),MATCH($AO$3,年齢階層×在院期間区分F00F01＿寛解・院内寛解[#Headers],0)),0)+IFERROR(INDEX(年齢階層×在院期間区分F00F01＿寛解・院内寛解[#All],MATCH($AN9,年齢階層×在院期間区分F00F01＿寛解・院内寛解[[#All],[行ラベル]],0),MATCH($AP$3,年齢階層×在院期間区分F00F01＿寛解・院内寛解[#Headers],0)),0)+IFERROR(INDEX(年齢階層×在院期間区分F00F01＿寛解・院内寛解[#All],MATCH($AN9,年齢階層×在院期間区分F00F01＿寛解・院内寛解[[#All],[行ラベル]],0),MATCH($AQ$3,年齢階層×在院期間区分F00F01＿寛解・院内寛解[#Headers],0)),0)+IFERROR(INDEX(年齢階層×在院期間区分F00F01＿寛解・院内寛解[#All],MATCH($AN9,年齢階層×在院期間区分F00F01＿寛解・院内寛解[[#All],[行ラベル]],0),MATCH($AR$3,年齢階層×在院期間区分F00F01＿寛解・院内寛解[#Headers],0)),0)</f>
        <v>2</v>
      </c>
      <c r="D25" s="128">
        <f t="shared" si="7"/>
        <v>2.0202020202020204E-2</v>
      </c>
      <c r="E25" s="127">
        <f>IFERROR(INDEX(年齢階層×在院期間区分F00F01＿寛解・院内寛解[#All],MATCH($AN9,年齢階層×在院期間区分F00F01＿寛解・院内寛解[[#All],[行ラベル]],0),MATCH($AS$3,年齢階層×在院期間区分F00F01＿寛解・院内寛解[#Headers],0)),0)+IFERROR(INDEX(年齢階層×在院期間区分F00F01＿寛解・院内寛解[#All],MATCH($AN9,年齢階層×在院期間区分F00F01＿寛解・院内寛解[[#All],[行ラベル]],0),MATCH($AT$3,年齢階層×在院期間区分F00F01＿寛解・院内寛解[#Headers],0)),0)+IFERROR(INDEX(年齢階層×在院期間区分F00F01＿寛解・院内寛解[#All],MATCH($AN9,年齢階層×在院期間区分F00F01＿寛解・院内寛解[[#All],[行ラベル]],0),MATCH($AU$3,年齢階層×在院期間区分F00F01＿寛解・院内寛解[#Headers],0)),0)+IFERROR(INDEX(年齢階層×在院期間区分F00F01＿寛解・院内寛解[#All],MATCH($AN9,年齢階層×在院期間区分F00F01＿寛解・院内寛解[[#All],[行ラベル]],0),MATCH($AV$3,年齢階層×在院期間区分F00F01＿寛解・院内寛解[#Headers],0)),0)+IFERROR(INDEX(年齢階層×在院期間区分F00F01＿寛解・院内寛解[#All],MATCH($AN9,年齢階層×在院期間区分F00F01＿寛解・院内寛解[[#All],[行ラベル]],0),MATCH($AW$3,年齢階層×在院期間区分F00F01＿寛解・院内寛解[#Headers],0)),0)</f>
        <v>0</v>
      </c>
      <c r="F25" s="128">
        <f t="shared" si="8"/>
        <v>0</v>
      </c>
      <c r="G25" s="150">
        <f>IFERROR(INDEX(年齢階層×在院期間区分F00F01＿寛解・院内寛解[#All],MATCH($AN9,年齢階層×在院期間区分F00F01＿寛解・院内寛解[[#All],[行ラベル]],0),MATCH($AX$3,年齢階層×在院期間区分F00F01＿寛解・院内寛解[#Headers],0)),0)+IFERROR(INDEX(年齢階層×在院期間区分F00F01＿寛解・院内寛解[#All],MATCH($AN9,年齢階層×在院期間区分F00F01＿寛解・院内寛解[[#All],[行ラベル]],0),MATCH($AY$3,年齢階層×在院期間区分F00F01＿寛解・院内寛解[#Headers],0)),0)+IFERROR(INDEX(年齢階層×在院期間区分F00F01＿寛解・院内寛解[#All],MATCH($AN9,年齢階層×在院期間区分F00F01＿寛解・院内寛解[[#All],[行ラベル]],0),MATCH($AZ$3,年齢階層×在院期間区分F00F01＿寛解・院内寛解[#Headers],0)),0)+IFERROR(INDEX(年齢階層×在院期間区分F00F01＿寛解・院内寛解[#All],MATCH($AN9,年齢階層×在院期間区分F00F01＿寛解・院内寛解[[#All],[行ラベル]],0),MATCH($BA$3,年齢階層×在院期間区分F00F01＿寛解・院内寛解[#Headers],0)),0)+IFERROR(INDEX(年齢階層×在院期間区分F00F01＿寛解・院内寛解[#All],MATCH($AN9,年齢階層×在院期間区分F00F01＿寛解・院内寛解[[#All],[行ラベル]],0),MATCH($BB$3,年齢階層×在院期間区分F00F01＿寛解・院内寛解[#Headers],0)),0)</f>
        <v>0</v>
      </c>
      <c r="H25" s="128">
        <f t="shared" si="9"/>
        <v>0</v>
      </c>
      <c r="I25" s="127">
        <f>IFERROR(INDEX(年齢階層×在院期間区分F00F01＿寛解・院内寛解[#All],MATCH($AN9,年齢階層×在院期間区分F00F01＿寛解・院内寛解[[#All],[行ラベル]],0),MATCH($BC$3,年齢階層×在院期間区分F00F01＿寛解・院内寛解[#Headers],0)),0)+IFERROR(INDEX(年齢階層×在院期間区分F00F01＿寛解・院内寛解[#All],MATCH($AN9,年齢階層×在院期間区分F00F01＿寛解・院内寛解[[#All],[行ラベル]],0),MATCH($BD$3,年齢階層×在院期間区分F00F01＿寛解・院内寛解[#Headers],0)),0)</f>
        <v>0</v>
      </c>
      <c r="J25" s="128" t="str">
        <f t="shared" si="10"/>
        <v>-</v>
      </c>
      <c r="K25" s="127">
        <f t="shared" si="11"/>
        <v>2</v>
      </c>
      <c r="L25" s="128">
        <f t="shared" si="12"/>
        <v>1.4492753623188406E-2</v>
      </c>
      <c r="R25" s="41" t="s">
        <v>7</v>
      </c>
      <c r="S25" s="49">
        <v>0</v>
      </c>
      <c r="T25" s="49">
        <v>1</v>
      </c>
      <c r="U25" s="49">
        <v>0</v>
      </c>
      <c r="V25" s="49">
        <v>1</v>
      </c>
      <c r="W25" s="49">
        <v>0</v>
      </c>
      <c r="X25" s="49">
        <v>0</v>
      </c>
      <c r="Y25" s="49">
        <v>0</v>
      </c>
      <c r="Z25" s="49">
        <v>0</v>
      </c>
      <c r="AA25" s="49">
        <v>0</v>
      </c>
      <c r="AB25" s="49">
        <v>0</v>
      </c>
      <c r="AC25" s="49">
        <v>0</v>
      </c>
      <c r="AD25" s="49">
        <v>0</v>
      </c>
      <c r="AE25" s="49">
        <v>0</v>
      </c>
      <c r="AF25" s="49">
        <v>0</v>
      </c>
      <c r="AG25" s="49">
        <v>0</v>
      </c>
      <c r="AH25" s="49">
        <v>0</v>
      </c>
      <c r="AN25" s="41" t="s">
        <v>7</v>
      </c>
    </row>
    <row r="26" spans="2:44" s="16" customFormat="1" ht="18.75" customHeight="1" x14ac:dyDescent="0.2">
      <c r="B26" s="149" t="s">
        <v>8</v>
      </c>
      <c r="C26" s="127">
        <f>IFERROR(INDEX(年齢階層×在院期間区分F00F01＿寛解・院内寛解[#All],MATCH($AN10,年齢階層×在院期間区分F00F01＿寛解・院内寛解[[#All],[行ラベル]],0),MATCH($AO$3,年齢階層×在院期間区分F00F01＿寛解・院内寛解[#Headers],0)),0)+IFERROR(INDEX(年齢階層×在院期間区分F00F01＿寛解・院内寛解[#All],MATCH($AN10,年齢階層×在院期間区分F00F01＿寛解・院内寛解[[#All],[行ラベル]],0),MATCH($AP$3,年齢階層×在院期間区分F00F01＿寛解・院内寛解[#Headers],0)),0)+IFERROR(INDEX(年齢階層×在院期間区分F00F01＿寛解・院内寛解[#All],MATCH($AN10,年齢階層×在院期間区分F00F01＿寛解・院内寛解[[#All],[行ラベル]],0),MATCH($AQ$3,年齢階層×在院期間区分F00F01＿寛解・院内寛解[#Headers],0)),0)+IFERROR(INDEX(年齢階層×在院期間区分F00F01＿寛解・院内寛解[#All],MATCH($AN10,年齢階層×在院期間区分F00F01＿寛解・院内寛解[[#All],[行ラベル]],0),MATCH($AR$3,年齢階層×在院期間区分F00F01＿寛解・院内寛解[#Headers],0)),0)</f>
        <v>24</v>
      </c>
      <c r="D26" s="128">
        <f t="shared" si="7"/>
        <v>0.24242424242424243</v>
      </c>
      <c r="E26" s="127">
        <f>IFERROR(INDEX(年齢階層×在院期間区分F00F01＿寛解・院内寛解[#All],MATCH($AN10,年齢階層×在院期間区分F00F01＿寛解・院内寛解[[#All],[行ラベル]],0),MATCH($AS$3,年齢階層×在院期間区分F00F01＿寛解・院内寛解[#Headers],0)),0)+IFERROR(INDEX(年齢階層×在院期間区分F00F01＿寛解・院内寛解[#All],MATCH($AN10,年齢階層×在院期間区分F00F01＿寛解・院内寛解[[#All],[行ラベル]],0),MATCH($AT$3,年齢階層×在院期間区分F00F01＿寛解・院内寛解[#Headers],0)),0)+IFERROR(INDEX(年齢階層×在院期間区分F00F01＿寛解・院内寛解[#All],MATCH($AN10,年齢階層×在院期間区分F00F01＿寛解・院内寛解[[#All],[行ラベル]],0),MATCH($AU$3,年齢階層×在院期間区分F00F01＿寛解・院内寛解[#Headers],0)),0)+IFERROR(INDEX(年齢階層×在院期間区分F00F01＿寛解・院内寛解[#All],MATCH($AN10,年齢階層×在院期間区分F00F01＿寛解・院内寛解[[#All],[行ラベル]],0),MATCH($AV$3,年齢階層×在院期間区分F00F01＿寛解・院内寛解[#Headers],0)),0)+IFERROR(INDEX(年齢階層×在院期間区分F00F01＿寛解・院内寛解[#All],MATCH($AN10,年齢階層×在院期間区分F00F01＿寛解・院内寛解[[#All],[行ラベル]],0),MATCH($AW$3,年齢階層×在院期間区分F00F01＿寛解・院内寛解[#Headers],0)),0)</f>
        <v>9</v>
      </c>
      <c r="F26" s="128">
        <f t="shared" si="8"/>
        <v>0.28125</v>
      </c>
      <c r="G26" s="150">
        <f>IFERROR(INDEX(年齢階層×在院期間区分F00F01＿寛解・院内寛解[#All],MATCH($AN10,年齢階層×在院期間区分F00F01＿寛解・院内寛解[[#All],[行ラベル]],0),MATCH($AX$3,年齢階層×在院期間区分F00F01＿寛解・院内寛解[#Headers],0)),0)+IFERROR(INDEX(年齢階層×在院期間区分F00F01＿寛解・院内寛解[#All],MATCH($AN10,年齢階層×在院期間区分F00F01＿寛解・院内寛解[[#All],[行ラベル]],0),MATCH($AY$3,年齢階層×在院期間区分F00F01＿寛解・院内寛解[#Headers],0)),0)+IFERROR(INDEX(年齢階層×在院期間区分F00F01＿寛解・院内寛解[#All],MATCH($AN10,年齢階層×在院期間区分F00F01＿寛解・院内寛解[[#All],[行ラベル]],0),MATCH($AZ$3,年齢階層×在院期間区分F00F01＿寛解・院内寛解[#Headers],0)),0)+IFERROR(INDEX(年齢階層×在院期間区分F00F01＿寛解・院内寛解[#All],MATCH($AN10,年齢階層×在院期間区分F00F01＿寛解・院内寛解[[#All],[行ラベル]],0),MATCH($BA$3,年齢階層×在院期間区分F00F01＿寛解・院内寛解[#Headers],0)),0)+IFERROR(INDEX(年齢階層×在院期間区分F00F01＿寛解・院内寛解[#All],MATCH($AN10,年齢階層×在院期間区分F00F01＿寛解・院内寛解[[#All],[行ラベル]],0),MATCH($BB$3,年齢階層×在院期間区分F00F01＿寛解・院内寛解[#Headers],0)),0)</f>
        <v>1</v>
      </c>
      <c r="H26" s="128">
        <f t="shared" si="9"/>
        <v>0.14285714285714285</v>
      </c>
      <c r="I26" s="127">
        <f>IFERROR(INDEX(年齢階層×在院期間区分F00F01＿寛解・院内寛解[#All],MATCH($AN10,年齢階層×在院期間区分F00F01＿寛解・院内寛解[[#All],[行ラベル]],0),MATCH($BC$3,年齢階層×在院期間区分F00F01＿寛解・院内寛解[#Headers],0)),0)+IFERROR(INDEX(年齢階層×在院期間区分F00F01＿寛解・院内寛解[#All],MATCH($AN10,年齢階層×在院期間区分F00F01＿寛解・院内寛解[[#All],[行ラベル]],0),MATCH($BD$3,年齢階層×在院期間区分F00F01＿寛解・院内寛解[#Headers],0)),0)</f>
        <v>0</v>
      </c>
      <c r="J26" s="128" t="str">
        <f t="shared" si="10"/>
        <v>-</v>
      </c>
      <c r="K26" s="127">
        <f t="shared" si="11"/>
        <v>34</v>
      </c>
      <c r="L26" s="128">
        <f t="shared" si="12"/>
        <v>0.24637681159420291</v>
      </c>
      <c r="R26" s="41" t="s">
        <v>8</v>
      </c>
      <c r="S26" s="49">
        <v>6</v>
      </c>
      <c r="T26" s="49">
        <v>8</v>
      </c>
      <c r="U26" s="49">
        <v>4</v>
      </c>
      <c r="V26" s="49">
        <v>6</v>
      </c>
      <c r="W26" s="49">
        <v>1</v>
      </c>
      <c r="X26" s="49">
        <v>3</v>
      </c>
      <c r="Y26" s="49">
        <v>1</v>
      </c>
      <c r="Z26" s="49">
        <v>3</v>
      </c>
      <c r="AA26" s="49">
        <v>1</v>
      </c>
      <c r="AB26" s="49">
        <v>1</v>
      </c>
      <c r="AC26" s="49">
        <v>0</v>
      </c>
      <c r="AD26" s="49">
        <v>0</v>
      </c>
      <c r="AE26" s="49">
        <v>0</v>
      </c>
      <c r="AF26" s="49">
        <v>0</v>
      </c>
      <c r="AG26" s="49">
        <v>0</v>
      </c>
      <c r="AH26" s="49">
        <v>0</v>
      </c>
      <c r="AN26" s="41" t="s">
        <v>8</v>
      </c>
    </row>
    <row r="27" spans="2:44" s="16" customFormat="1" ht="18.75" customHeight="1" x14ac:dyDescent="0.2">
      <c r="B27" s="149" t="s">
        <v>9</v>
      </c>
      <c r="C27" s="151">
        <f>IFERROR(INDEX(年齢階層×在院期間区分F00F01＿寛解・院内寛解[#All],MATCH($AN11,年齢階層×在院期間区分F00F01＿寛解・院内寛解[[#All],[行ラベル]],0),MATCH($AO$3,年齢階層×在院期間区分F00F01＿寛解・院内寛解[#Headers],0)),0)+IFERROR(INDEX(年齢階層×在院期間区分F00F01＿寛解・院内寛解[#All],MATCH($AN11,年齢階層×在院期間区分F00F01＿寛解・院内寛解[[#All],[行ラベル]],0),MATCH($AP$3,年齢階層×在院期間区分F00F01＿寛解・院内寛解[#Headers],0)),0)+IFERROR(INDEX(年齢階層×在院期間区分F00F01＿寛解・院内寛解[#All],MATCH($AN11,年齢階層×在院期間区分F00F01＿寛解・院内寛解[[#All],[行ラベル]],0),MATCH($AQ$3,年齢階層×在院期間区分F00F01＿寛解・院内寛解[#Headers],0)),0)+IFERROR(INDEX(年齢階層×在院期間区分F00F01＿寛解・院内寛解[#All],MATCH($AN11,年齢階層×在院期間区分F00F01＿寛解・院内寛解[[#All],[行ラベル]],0),MATCH($AR$3,年齢階層×在院期間区分F00F01＿寛解・院内寛解[#Headers],0)),0)</f>
        <v>54</v>
      </c>
      <c r="D27" s="128">
        <f t="shared" si="7"/>
        <v>0.54545454545454541</v>
      </c>
      <c r="E27" s="151">
        <f>IFERROR(INDEX(年齢階層×在院期間区分F00F01＿寛解・院内寛解[#All],MATCH($AN11,年齢階層×在院期間区分F00F01＿寛解・院内寛解[[#All],[行ラベル]],0),MATCH($AS$3,年齢階層×在院期間区分F00F01＿寛解・院内寛解[#Headers],0)),0)+IFERROR(INDEX(年齢階層×在院期間区分F00F01＿寛解・院内寛解[#All],MATCH($AN11,年齢階層×在院期間区分F00F01＿寛解・院内寛解[[#All],[行ラベル]],0),MATCH($AT$3,年齢階層×在院期間区分F00F01＿寛解・院内寛解[#Headers],0)),0)+IFERROR(INDEX(年齢階層×在院期間区分F00F01＿寛解・院内寛解[#All],MATCH($AN11,年齢階層×在院期間区分F00F01＿寛解・院内寛解[[#All],[行ラベル]],0),MATCH($AU$3,年齢階層×在院期間区分F00F01＿寛解・院内寛解[#Headers],0)),0)+IFERROR(INDEX(年齢階層×在院期間区分F00F01＿寛解・院内寛解[#All],MATCH($AN11,年齢階層×在院期間区分F00F01＿寛解・院内寛解[[#All],[行ラベル]],0),MATCH($AV$3,年齢階層×在院期間区分F00F01＿寛解・院内寛解[#Headers],0)),0)+IFERROR(INDEX(年齢階層×在院期間区分F00F01＿寛解・院内寛解[#All],MATCH($AN11,年齢階層×在院期間区分F00F01＿寛解・院内寛解[[#All],[行ラベル]],0),MATCH($AW$3,年齢階層×在院期間区分F00F01＿寛解・院内寛解[#Headers],0)),0)</f>
        <v>16</v>
      </c>
      <c r="F27" s="128">
        <f t="shared" si="8"/>
        <v>0.5</v>
      </c>
      <c r="G27" s="127">
        <f>IFERROR(INDEX(年齢階層×在院期間区分F00F01＿寛解・院内寛解[#All],MATCH($AN11,年齢階層×在院期間区分F00F01＿寛解・院内寛解[[#All],[行ラベル]],0),MATCH($AX$3,年齢階層×在院期間区分F00F01＿寛解・院内寛解[#Headers],0)),0)+IFERROR(INDEX(年齢階層×在院期間区分F00F01＿寛解・院内寛解[#All],MATCH($AN11,年齢階層×在院期間区分F00F01＿寛解・院内寛解[[#All],[行ラベル]],0),MATCH($AY$3,年齢階層×在院期間区分F00F01＿寛解・院内寛解[#Headers],0)),0)+IFERROR(INDEX(年齢階層×在院期間区分F00F01＿寛解・院内寛解[#All],MATCH($AN11,年齢階層×在院期間区分F00F01＿寛解・院内寛解[[#All],[行ラベル]],0),MATCH($AZ$3,年齢階層×在院期間区分F00F01＿寛解・院内寛解[#Headers],0)),0)+IFERROR(INDEX(年齢階層×在院期間区分F00F01＿寛解・院内寛解[#All],MATCH($AN11,年齢階層×在院期間区分F00F01＿寛解・院内寛解[[#All],[行ラベル]],0),MATCH($BA$3,年齢階層×在院期間区分F00F01＿寛解・院内寛解[#Headers],0)),0)+IFERROR(INDEX(年齢階層×在院期間区分F00F01＿寛解・院内寛解[#All],MATCH($AN11,年齢階層×在院期間区分F00F01＿寛解・院内寛解[[#All],[行ラベル]],0),MATCH($BB$3,年齢階層×在院期間区分F00F01＿寛解・院内寛解[#Headers],0)),0)</f>
        <v>3</v>
      </c>
      <c r="H27" s="128">
        <f t="shared" si="9"/>
        <v>0.42857142857142855</v>
      </c>
      <c r="I27" s="127">
        <f>IFERROR(INDEX(年齢階層×在院期間区分F00F01＿寛解・院内寛解[#All],MATCH($AN11,年齢階層×在院期間区分F00F01＿寛解・院内寛解[[#All],[行ラベル]],0),MATCH($BC$3,年齢階層×在院期間区分F00F01＿寛解・院内寛解[#Headers],0)),0)+IFERROR(INDEX(年齢階層×在院期間区分F00F01＿寛解・院内寛解[#All],MATCH($AN11,年齢階層×在院期間区分F00F01＿寛解・院内寛解[[#All],[行ラベル]],0),MATCH($BD$3,年齢階層×在院期間区分F00F01＿寛解・院内寛解[#Headers],0)),0)</f>
        <v>0</v>
      </c>
      <c r="J27" s="128" t="str">
        <f t="shared" si="10"/>
        <v>-</v>
      </c>
      <c r="K27" s="127">
        <f t="shared" si="11"/>
        <v>73</v>
      </c>
      <c r="L27" s="128">
        <f t="shared" si="12"/>
        <v>0.52898550724637683</v>
      </c>
      <c r="R27" s="41" t="s">
        <v>9</v>
      </c>
      <c r="S27" s="49">
        <v>9</v>
      </c>
      <c r="T27" s="49">
        <v>17</v>
      </c>
      <c r="U27" s="49">
        <v>16</v>
      </c>
      <c r="V27" s="49">
        <v>12</v>
      </c>
      <c r="W27" s="49">
        <v>3</v>
      </c>
      <c r="X27" s="49">
        <v>0</v>
      </c>
      <c r="Y27" s="49">
        <v>4</v>
      </c>
      <c r="Z27" s="49">
        <v>5</v>
      </c>
      <c r="AA27" s="49">
        <v>4</v>
      </c>
      <c r="AB27" s="49">
        <v>1</v>
      </c>
      <c r="AC27" s="49">
        <v>1</v>
      </c>
      <c r="AD27" s="49">
        <v>0</v>
      </c>
      <c r="AE27" s="49">
        <v>1</v>
      </c>
      <c r="AF27" s="49">
        <v>0</v>
      </c>
      <c r="AG27" s="49">
        <v>0</v>
      </c>
      <c r="AH27" s="49">
        <v>0</v>
      </c>
      <c r="AN27" s="41" t="s">
        <v>9</v>
      </c>
    </row>
    <row r="28" spans="2:44" s="16" customFormat="1" ht="18.75" customHeight="1" thickBot="1" x14ac:dyDescent="0.25">
      <c r="B28" s="152" t="s">
        <v>10</v>
      </c>
      <c r="C28" s="130">
        <f>IFERROR(INDEX(年齢階層×在院期間区分F00F01＿寛解・院内寛解[#All],MATCH($AN12,年齢階層×在院期間区分F00F01＿寛解・院内寛解[[#All],[行ラベル]],0),MATCH($AO$3,年齢階層×在院期間区分F00F01＿寛解・院内寛解[#Headers],0)),0)+IFERROR(INDEX(年齢階層×在院期間区分F00F01＿寛解・院内寛解[#All],MATCH($AN12,年齢階層×在院期間区分F00F01＿寛解・院内寛解[[#All],[行ラベル]],0),MATCH($AP$3,年齢階層×在院期間区分F00F01＿寛解・院内寛解[#Headers],0)),0)+IFERROR(INDEX(年齢階層×在院期間区分F00F01＿寛解・院内寛解[#All],MATCH($AN12,年齢階層×在院期間区分F00F01＿寛解・院内寛解[[#All],[行ラベル]],0),MATCH($AQ$3,年齢階層×在院期間区分F00F01＿寛解・院内寛解[#Headers],0)),0)+IFERROR(INDEX(年齢階層×在院期間区分F00F01＿寛解・院内寛解[#All],MATCH($AN12,年齢階層×在院期間区分F00F01＿寛解・院内寛解[[#All],[行ラベル]],0),MATCH($AR$3,年齢階層×在院期間区分F00F01＿寛解・院内寛解[#Headers],0)),0)</f>
        <v>18</v>
      </c>
      <c r="D28" s="132">
        <f t="shared" si="7"/>
        <v>0.18181818181818182</v>
      </c>
      <c r="E28" s="130">
        <f>IFERROR(INDEX(年齢階層×在院期間区分F00F01＿寛解・院内寛解[#All],MATCH($AN12,年齢階層×在院期間区分F00F01＿寛解・院内寛解[[#All],[行ラベル]],0),MATCH($AS$3,年齢階層×在院期間区分F00F01＿寛解・院内寛解[#Headers],0)),0)+IFERROR(INDEX(年齢階層×在院期間区分F00F01＿寛解・院内寛解[#All],MATCH($AN12,年齢階層×在院期間区分F00F01＿寛解・院内寛解[[#All],[行ラベル]],0),MATCH($AT$3,年齢階層×在院期間区分F00F01＿寛解・院内寛解[#Headers],0)),0)+IFERROR(INDEX(年齢階層×在院期間区分F00F01＿寛解・院内寛解[#All],MATCH($AN12,年齢階層×在院期間区分F00F01＿寛解・院内寛解[[#All],[行ラベル]],0),MATCH($AU$3,年齢階層×在院期間区分F00F01＿寛解・院内寛解[#Headers],0)),0)+IFERROR(INDEX(年齢階層×在院期間区分F00F01＿寛解・院内寛解[#All],MATCH($AN12,年齢階層×在院期間区分F00F01＿寛解・院内寛解[[#All],[行ラベル]],0),MATCH($AV$3,年齢階層×在院期間区分F00F01＿寛解・院内寛解[#Headers],0)),0)+IFERROR(INDEX(年齢階層×在院期間区分F00F01＿寛解・院内寛解[#All],MATCH($AN12,年齢階層×在院期間区分F00F01＿寛解・院内寛解[[#All],[行ラベル]],0),MATCH($AW$3,年齢階層×在院期間区分F00F01＿寛解・院内寛解[#Headers],0)),0)</f>
        <v>7</v>
      </c>
      <c r="F28" s="132">
        <f t="shared" si="8"/>
        <v>0.21875</v>
      </c>
      <c r="G28" s="153">
        <f>IFERROR(INDEX(年齢階層×在院期間区分F00F01＿寛解・院内寛解[#All],MATCH($AN12,年齢階層×在院期間区分F00F01＿寛解・院内寛解[[#All],[行ラベル]],0),MATCH($AX$3,年齢階層×在院期間区分F00F01＿寛解・院内寛解[#Headers],0)),0)+IFERROR(INDEX(年齢階層×在院期間区分F00F01＿寛解・院内寛解[#All],MATCH($AN12,年齢階層×在院期間区分F00F01＿寛解・院内寛解[[#All],[行ラベル]],0),MATCH($AY$3,年齢階層×在院期間区分F00F01＿寛解・院内寛解[#Headers],0)),0)+IFERROR(INDEX(年齢階層×在院期間区分F00F01＿寛解・院内寛解[#All],MATCH($AN12,年齢階層×在院期間区分F00F01＿寛解・院内寛解[[#All],[行ラベル]],0),MATCH($AZ$3,年齢階層×在院期間区分F00F01＿寛解・院内寛解[#Headers],0)),0)+IFERROR(INDEX(年齢階層×在院期間区分F00F01＿寛解・院内寛解[#All],MATCH($AN12,年齢階層×在院期間区分F00F01＿寛解・院内寛解[[#All],[行ラベル]],0),MATCH($BA$3,年齢階層×在院期間区分F00F01＿寛解・院内寛解[#Headers],0)),0)+IFERROR(INDEX(年齢階層×在院期間区分F00F01＿寛解・院内寛解[#All],MATCH($AN12,年齢階層×在院期間区分F00F01＿寛解・院内寛解[[#All],[行ラベル]],0),MATCH($BB$3,年齢階層×在院期間区分F00F01＿寛解・院内寛解[#Headers],0)),0)</f>
        <v>1</v>
      </c>
      <c r="H28" s="132">
        <f t="shared" si="9"/>
        <v>0.14285714285714285</v>
      </c>
      <c r="I28" s="153">
        <f>IFERROR(INDEX(年齢階層×在院期間区分F00F01＿寛解・院内寛解[#All],MATCH($AN12,年齢階層×在院期間区分F00F01＿寛解・院内寛解[[#All],[行ラベル]],0),MATCH($BC$3,年齢階層×在院期間区分F00F01＿寛解・院内寛解[#Headers],0)),0)+IFERROR(INDEX(年齢階層×在院期間区分F00F01＿寛解・院内寛解[#All],MATCH($AN12,年齢階層×在院期間区分F00F01＿寛解・院内寛解[[#All],[行ラベル]],0),MATCH($BD$3,年齢階層×在院期間区分F00F01＿寛解・院内寛解[#Headers],0)),0)</f>
        <v>0</v>
      </c>
      <c r="J28" s="132" t="str">
        <f t="shared" si="10"/>
        <v>-</v>
      </c>
      <c r="K28" s="130">
        <f t="shared" si="11"/>
        <v>26</v>
      </c>
      <c r="L28" s="132">
        <f t="shared" si="12"/>
        <v>0.18840579710144928</v>
      </c>
      <c r="M28" s="51"/>
      <c r="R28" s="41" t="s">
        <v>10</v>
      </c>
      <c r="S28" s="49">
        <v>6</v>
      </c>
      <c r="T28" s="49">
        <v>4</v>
      </c>
      <c r="U28" s="49">
        <v>6</v>
      </c>
      <c r="V28" s="49">
        <v>2</v>
      </c>
      <c r="W28" s="49">
        <v>6</v>
      </c>
      <c r="X28" s="49">
        <v>0</v>
      </c>
      <c r="Y28" s="49">
        <v>1</v>
      </c>
      <c r="Z28" s="49">
        <v>0</v>
      </c>
      <c r="AA28" s="49">
        <v>0</v>
      </c>
      <c r="AB28" s="49">
        <v>0</v>
      </c>
      <c r="AC28" s="49">
        <v>1</v>
      </c>
      <c r="AD28" s="49">
        <v>0</v>
      </c>
      <c r="AE28" s="49">
        <v>0</v>
      </c>
      <c r="AF28" s="49">
        <v>0</v>
      </c>
      <c r="AG28" s="49">
        <v>0</v>
      </c>
      <c r="AH28" s="49">
        <v>0</v>
      </c>
      <c r="AN28" s="41" t="s">
        <v>10</v>
      </c>
    </row>
    <row r="29" spans="2:44" s="16" customFormat="1" ht="18.75" customHeight="1" thickTop="1" thickBot="1" x14ac:dyDescent="0.25">
      <c r="B29" s="154" t="s">
        <v>149</v>
      </c>
      <c r="C29" s="155">
        <f t="shared" ref="C29:L29" si="13">SUM(C20:C28)</f>
        <v>99</v>
      </c>
      <c r="D29" s="162">
        <f t="shared" si="13"/>
        <v>1</v>
      </c>
      <c r="E29" s="155">
        <f t="shared" si="13"/>
        <v>32</v>
      </c>
      <c r="F29" s="162">
        <f t="shared" si="13"/>
        <v>1</v>
      </c>
      <c r="G29" s="155">
        <f t="shared" si="13"/>
        <v>7</v>
      </c>
      <c r="H29" s="162">
        <f t="shared" si="13"/>
        <v>1</v>
      </c>
      <c r="I29" s="155">
        <f t="shared" si="13"/>
        <v>0</v>
      </c>
      <c r="J29" s="162">
        <f t="shared" si="13"/>
        <v>0</v>
      </c>
      <c r="K29" s="155">
        <f t="shared" si="13"/>
        <v>138</v>
      </c>
      <c r="L29" s="162">
        <f t="shared" si="13"/>
        <v>1</v>
      </c>
      <c r="R29" s="798" t="s">
        <v>727</v>
      </c>
      <c r="S29" s="306" t="s">
        <v>677</v>
      </c>
      <c r="T29" s="306" t="s">
        <v>678</v>
      </c>
      <c r="U29" s="306" t="s">
        <v>679</v>
      </c>
      <c r="V29" s="306" t="s">
        <v>680</v>
      </c>
      <c r="W29" s="306" t="s">
        <v>681</v>
      </c>
      <c r="X29" s="306" t="s">
        <v>682</v>
      </c>
      <c r="Y29" s="306" t="s">
        <v>683</v>
      </c>
      <c r="Z29" s="306" t="s">
        <v>340</v>
      </c>
      <c r="AA29" s="306" t="s">
        <v>684</v>
      </c>
      <c r="AB29" s="306" t="s">
        <v>685</v>
      </c>
      <c r="AC29" s="306" t="s">
        <v>686</v>
      </c>
      <c r="AD29" s="306" t="s">
        <v>687</v>
      </c>
      <c r="AE29" s="306" t="s">
        <v>688</v>
      </c>
      <c r="AF29" s="306" t="s">
        <v>689</v>
      </c>
      <c r="AG29" s="306" t="s">
        <v>690</v>
      </c>
      <c r="AH29" s="43" t="s">
        <v>691</v>
      </c>
      <c r="AR29" s="45"/>
    </row>
    <row r="30" spans="2:44" s="16" customFormat="1" ht="18.75" customHeight="1" thickTop="1" x14ac:dyDescent="0.2">
      <c r="B30" s="157" t="s">
        <v>85</v>
      </c>
      <c r="C30" s="158">
        <f>IFERROR(INDEX(年齢階層×在院期間区分F00F01_65歳未満以上＿寛解・院内寛解[#All],MATCH($AN30,年齢階層×在院期間区分F00F01_65歳未満以上＿寛解・院内寛解[[#All],[列1]],0),MATCH($AO$3,年齢階層×在院期間区分F00F01_65歳未満以上＿寛解・院内寛解[#Headers],0)),0)+IFERROR(INDEX(年齢階層×在院期間区分F00F01_65歳未満以上＿寛解・院内寛解[#All],MATCH($AN30,年齢階層×在院期間区分F00F01_65歳未満以上＿寛解・院内寛解[[#All],[列1]],0),MATCH($AP$3,年齢階層×在院期間区分F00F01_65歳未満以上＿寛解・院内寛解[#Headers],0)),0)+IFERROR(INDEX(年齢階層×在院期間区分F00F01_65歳未満以上＿寛解・院内寛解[#All],MATCH($AN30,年齢階層×在院期間区分F00F01_65歳未満以上＿寛解・院内寛解[[#All],[列1]],0),MATCH($AQ$3,年齢階層×在院期間区分F00F01_65歳未満以上＿寛解・院内寛解[#Headers],0)),0)+IFERROR(INDEX(年齢階層×在院期間区分F00F01_65歳未満以上＿寛解・院内寛解[#All],MATCH($AN30,年齢階層×在院期間区分F00F01_65歳未満以上＿寛解・院内寛解[[#All],[列1]],0),MATCH($AR$3,年齢階層×在院期間区分F00F01_65歳未満以上＿寛解・院内寛解[#Headers],0)),0)</f>
        <v>1</v>
      </c>
      <c r="D30" s="143">
        <f>IFERROR(C30/$C$29,"-")</f>
        <v>1.0101010101010102E-2</v>
      </c>
      <c r="E30" s="158">
        <f>IFERROR(INDEX(年齢階層×在院期間区分F00F01_65歳未満以上＿寛解・院内寛解[#All],MATCH($AN30,年齢階層×在院期間区分F00F01_65歳未満以上＿寛解・院内寛解[[#All],[列1]],0),MATCH($AS$3,年齢階層×在院期間区分F00F01_65歳未満以上＿寛解・院内寛解[#Headers],0)),0)+IFERROR(INDEX(年齢階層×在院期間区分F00F01_65歳未満以上＿寛解・院内寛解[#All],MATCH($AN30,年齢階層×在院期間区分F00F01_65歳未満以上＿寛解・院内寛解[[#All],[列1]],0),MATCH($AT$3,年齢階層×在院期間区分F00F01_65歳未満以上＿寛解・院内寛解[#Headers],0)),0)+IFERROR(INDEX(年齢階層×在院期間区分F00F01_65歳未満以上＿寛解・院内寛解[#All],MATCH($AN30,年齢階層×在院期間区分F00F01_65歳未満以上＿寛解・院内寛解[[#All],[列1]],0),MATCH($AU$3,年齢階層×在院期間区分F00F01_65歳未満以上＿寛解・院内寛解[#Headers],0)),0)+IFERROR(INDEX(年齢階層×在院期間区分F00F01_65歳未満以上＿寛解・院内寛解[#All],MATCH($AN30,年齢階層×在院期間区分F00F01_65歳未満以上＿寛解・院内寛解[[#All],[列1]],0),MATCH($AV$3,年齢階層×在院期間区分F00F01_65歳未満以上＿寛解・院内寛解[#Headers],0)),0)+IFERROR(INDEX(年齢階層×在院期間区分F00F01_65歳未満以上＿寛解・院内寛解[#All],MATCH($AN30,年齢階層×在院期間区分F00F01_65歳未満以上＿寛解・院内寛解[[#All],[列1]],0),MATCH($AW$3,年齢階層×在院期間区分F00F01_65歳未満以上＿寛解・院内寛解[#Headers],0)),0)</f>
        <v>0</v>
      </c>
      <c r="F30" s="143">
        <f>IFERROR(E30/$E$29,"-")</f>
        <v>0</v>
      </c>
      <c r="G30" s="158">
        <f>IFERROR(INDEX(年齢階層×在院期間区分F00F01_65歳未満以上＿寛解・院内寛解[#All],MATCH($AN30,年齢階層×在院期間区分F00F01_65歳未満以上＿寛解・院内寛解[[#All],[列1]],0),MATCH($AX$3,年齢階層×在院期間区分F00F01_65歳未満以上＿寛解・院内寛解[#Headers],0)),0)+IFERROR(INDEX(年齢階層×在院期間区分F00F01_65歳未満以上＿寛解・院内寛解[#All],MATCH($AN30,年齢階層×在院期間区分F00F01_65歳未満以上＿寛解・院内寛解[[#All],[列1]],0),MATCH($AY$3,年齢階層×在院期間区分F00F01_65歳未満以上＿寛解・院内寛解[#Headers],0)),0)+IFERROR(INDEX(年齢階層×在院期間区分F00F01_65歳未満以上＿寛解・院内寛解[#All],MATCH($AN30,年齢階層×在院期間区分F00F01_65歳未満以上＿寛解・院内寛解[[#All],[列1]],0),MATCH($AZ$3,年齢階層×在院期間区分F00F01_65歳未満以上＿寛解・院内寛解[#Headers],0)),0)+IFERROR(INDEX(年齢階層×在院期間区分F00F01_65歳未満以上＿寛解・院内寛解[#All],MATCH($AN30,年齢階層×在院期間区分F00F01_65歳未満以上＿寛解・院内寛解[[#All],[列1]],0),MATCH($BA$3,年齢階層×在院期間区分F00F01_65歳未満以上＿寛解・院内寛解[#Headers],0)),0)+IFERROR(INDEX(年齢階層×在院期間区分F00F01_65歳未満以上＿寛解・院内寛解[#All],MATCH($AN30,年齢階層×在院期間区分F00F01_65歳未満以上＿寛解・院内寛解[[#All],[列1]],0),MATCH($BB$3,年齢階層×在院期間区分F00F01_65歳未満以上＿寛解・院内寛解[#Headers],0)),0)</f>
        <v>2</v>
      </c>
      <c r="H30" s="143">
        <f>IFERROR(G30/$G$29,"-")</f>
        <v>0.2857142857142857</v>
      </c>
      <c r="I30" s="158">
        <f>IFERROR(INDEX(年齢階層×在院期間区分F00F01_65歳未満以上＿寛解・院内寛解[#All],MATCH($AN30,年齢階層×在院期間区分F00F01_65歳未満以上＿寛解・院内寛解[[#All],[列1]],0),MATCH($BC$3,年齢階層×在院期間区分F00F01_65歳未満以上＿寛解・院内寛解[#Headers],0)),0)+IFERROR(INDEX(年齢階層×在院期間区分F00F01_65歳未満以上＿寛解・院内寛解[#All],MATCH($AN30,年齢階層×在院期間区分F00F01_65歳未満以上＿寛解・院内寛解[[#All],[列1]],0),MATCH($BD$3,年齢階層×在院期間区分F00F01_65歳未満以上＿寛解・院内寛解[#Headers],0)),0)</f>
        <v>0</v>
      </c>
      <c r="J30" s="143" t="str">
        <f>IFERROR(I30/$I$29,"-")</f>
        <v>-</v>
      </c>
      <c r="K30" s="158">
        <f>C30+E30+G30+I30</f>
        <v>3</v>
      </c>
      <c r="L30" s="143">
        <f>IFERROR(K30/$K$29,"-")</f>
        <v>2.1739130434782608E-2</v>
      </c>
      <c r="R30" s="41" t="s">
        <v>284</v>
      </c>
      <c r="S30" s="49">
        <v>0</v>
      </c>
      <c r="T30" s="49">
        <v>0</v>
      </c>
      <c r="U30" s="49">
        <v>0</v>
      </c>
      <c r="V30" s="49">
        <v>1</v>
      </c>
      <c r="W30" s="49">
        <v>0</v>
      </c>
      <c r="X30" s="49">
        <v>0</v>
      </c>
      <c r="Y30" s="49">
        <v>0</v>
      </c>
      <c r="Z30" s="49">
        <v>0</v>
      </c>
      <c r="AA30" s="49">
        <v>0</v>
      </c>
      <c r="AB30" s="49">
        <v>0</v>
      </c>
      <c r="AC30" s="49">
        <v>0</v>
      </c>
      <c r="AD30" s="49">
        <v>2</v>
      </c>
      <c r="AE30" s="49">
        <v>0</v>
      </c>
      <c r="AF30" s="49">
        <v>0</v>
      </c>
      <c r="AG30" s="49">
        <v>0</v>
      </c>
      <c r="AH30" s="49">
        <v>0</v>
      </c>
      <c r="AN30" s="55" t="s">
        <v>145</v>
      </c>
    </row>
    <row r="31" spans="2:44" ht="18.75" customHeight="1" x14ac:dyDescent="0.2">
      <c r="B31" s="159" t="s">
        <v>82</v>
      </c>
      <c r="C31" s="158">
        <f>IFERROR(INDEX(年齢階層×在院期間区分F00F01_65歳未満以上＿寛解・院内寛解[#All],MATCH($AN31,年齢階層×在院期間区分F00F01_65歳未満以上＿寛解・院内寛解[[#All],[列1]],0),MATCH($AO$3,年齢階層×在院期間区分F00F01_65歳未満以上＿寛解・院内寛解[#Headers],0)),0)+IFERROR(INDEX(年齢階層×在院期間区分F00F01_65歳未満以上＿寛解・院内寛解[#All],MATCH($AN31,年齢階層×在院期間区分F00F01_65歳未満以上＿寛解・院内寛解[[#All],[列1]],0),MATCH($AP$3,年齢階層×在院期間区分F00F01_65歳未満以上＿寛解・院内寛解[#Headers],0)),0)+IFERROR(INDEX(年齢階層×在院期間区分F00F01_65歳未満以上＿寛解・院内寛解[#All],MATCH($AN31,年齢階層×在院期間区分F00F01_65歳未満以上＿寛解・院内寛解[[#All],[列1]],0),MATCH($AQ$3,年齢階層×在院期間区分F00F01_65歳未満以上＿寛解・院内寛解[#Headers],0)),0)+IFERROR(INDEX(年齢階層×在院期間区分F00F01_65歳未満以上＿寛解・院内寛解[#All],MATCH($AN31,年齢階層×在院期間区分F00F01_65歳未満以上＿寛解・院内寛解[[#All],[列1]],0),MATCH($AR$3,年齢階層×在院期間区分F00F01_65歳未満以上＿寛解・院内寛解[#Headers],0)),0)</f>
        <v>98</v>
      </c>
      <c r="D31" s="160">
        <f>IFERROR(C31/$C$29,"-")</f>
        <v>0.98989898989898994</v>
      </c>
      <c r="E31" s="158">
        <f>IFERROR(INDEX(年齢階層×在院期間区分F00F01_65歳未満以上＿寛解・院内寛解[#All],MATCH($AN31,年齢階層×在院期間区分F00F01_65歳未満以上＿寛解・院内寛解[[#All],[列1]],0),MATCH($AS$3,年齢階層×在院期間区分F00F01_65歳未満以上＿寛解・院内寛解[#Headers],0)),0)+IFERROR(INDEX(年齢階層×在院期間区分F00F01_65歳未満以上＿寛解・院内寛解[#All],MATCH($AN31,年齢階層×在院期間区分F00F01_65歳未満以上＿寛解・院内寛解[[#All],[列1]],0),MATCH($AT$3,年齢階層×在院期間区分F00F01_65歳未満以上＿寛解・院内寛解[#Headers],0)),0)+IFERROR(INDEX(年齢階層×在院期間区分F00F01_65歳未満以上＿寛解・院内寛解[#All],MATCH($AN31,年齢階層×在院期間区分F00F01_65歳未満以上＿寛解・院内寛解[[#All],[列1]],0),MATCH($AU$3,年齢階層×在院期間区分F00F01_65歳未満以上＿寛解・院内寛解[#Headers],0)),0)+IFERROR(INDEX(年齢階層×在院期間区分F00F01_65歳未満以上＿寛解・院内寛解[#All],MATCH($AN31,年齢階層×在院期間区分F00F01_65歳未満以上＿寛解・院内寛解[[#All],[列1]],0),MATCH($AV$3,年齢階層×在院期間区分F00F01_65歳未満以上＿寛解・院内寛解[#Headers],0)),0)+IFERROR(INDEX(年齢階層×在院期間区分F00F01_65歳未満以上＿寛解・院内寛解[#All],MATCH($AN31,年齢階層×在院期間区分F00F01_65歳未満以上＿寛解・院内寛解[[#All],[列1]],0),MATCH($AW$3,年齢階層×在院期間区分F00F01_65歳未満以上＿寛解・院内寛解[#Headers],0)),0)</f>
        <v>32</v>
      </c>
      <c r="F31" s="160">
        <f>IFERROR(E31/$E$29,"-")</f>
        <v>1</v>
      </c>
      <c r="G31" s="158">
        <f>IFERROR(INDEX(年齢階層×在院期間区分F00F01_65歳未満以上＿寛解・院内寛解[#All],MATCH($AN31,年齢階層×在院期間区分F00F01_65歳未満以上＿寛解・院内寛解[[#All],[列1]],0),MATCH($AX$3,年齢階層×在院期間区分F00F01_65歳未満以上＿寛解・院内寛解[#Headers],0)),0)+IFERROR(INDEX(年齢階層×在院期間区分F00F01_65歳未満以上＿寛解・院内寛解[#All],MATCH($AN31,年齢階層×在院期間区分F00F01_65歳未満以上＿寛解・院内寛解[[#All],[列1]],0),MATCH($AY$3,年齢階層×在院期間区分F00F01_65歳未満以上＿寛解・院内寛解[#Headers],0)),0)+IFERROR(INDEX(年齢階層×在院期間区分F00F01_65歳未満以上＿寛解・院内寛解[#All],MATCH($AN31,年齢階層×在院期間区分F00F01_65歳未満以上＿寛解・院内寛解[[#All],[列1]],0),MATCH($AZ$3,年齢階層×在院期間区分F00F01_65歳未満以上＿寛解・院内寛解[#Headers],0)),0)+IFERROR(INDEX(年齢階層×在院期間区分F00F01_65歳未満以上＿寛解・院内寛解[#All],MATCH($AN31,年齢階層×在院期間区分F00F01_65歳未満以上＿寛解・院内寛解[[#All],[列1]],0),MATCH($BA$3,年齢階層×在院期間区分F00F01_65歳未満以上＿寛解・院内寛解[#Headers],0)),0)+IFERROR(INDEX(年齢階層×在院期間区分F00F01_65歳未満以上＿寛解・院内寛解[#All],MATCH($AN31,年齢階層×在院期間区分F00F01_65歳未満以上＿寛解・院内寛解[[#All],[列1]],0),MATCH($BB$3,年齢階層×在院期間区分F00F01_65歳未満以上＿寛解・院内寛解[#Headers],0)),0)</f>
        <v>5</v>
      </c>
      <c r="H31" s="160">
        <f>IFERROR(G31/$G$29,"-")</f>
        <v>0.7142857142857143</v>
      </c>
      <c r="I31" s="158">
        <f>IFERROR(INDEX(年齢階層×在院期間区分F00F01_65歳未満以上＿寛解・院内寛解[#All],MATCH($AN31,年齢階層×在院期間区分F00F01_65歳未満以上＿寛解・院内寛解[[#All],[列1]],0),MATCH($BC$3,年齢階層×在院期間区分F00F01_65歳未満以上＿寛解・院内寛解[#Headers],0)),0)+IFERROR(INDEX(年齢階層×在院期間区分F00F01_65歳未満以上＿寛解・院内寛解[#All],MATCH($AN31,年齢階層×在院期間区分F00F01_65歳未満以上＿寛解・院内寛解[[#All],[列1]],0),MATCH($BD$3,年齢階層×在院期間区分F00F01_65歳未満以上＿寛解・院内寛解[#Headers],0)),0)</f>
        <v>0</v>
      </c>
      <c r="J31" s="160" t="str">
        <f>IFERROR(I31/$I$29,"-")</f>
        <v>-</v>
      </c>
      <c r="K31" s="158">
        <f>C31+E31+G31+I31</f>
        <v>135</v>
      </c>
      <c r="L31" s="160">
        <f>IFERROR(K31/$K$29,"-")</f>
        <v>0.97826086956521741</v>
      </c>
      <c r="R31" s="55" t="s">
        <v>285</v>
      </c>
      <c r="S31" s="49">
        <v>21</v>
      </c>
      <c r="T31" s="49">
        <v>30</v>
      </c>
      <c r="U31" s="49">
        <v>26</v>
      </c>
      <c r="V31" s="49">
        <v>21</v>
      </c>
      <c r="W31" s="49">
        <v>10</v>
      </c>
      <c r="X31" s="49">
        <v>3</v>
      </c>
      <c r="Y31" s="49">
        <v>6</v>
      </c>
      <c r="Z31" s="49">
        <v>8</v>
      </c>
      <c r="AA31" s="49">
        <v>5</v>
      </c>
      <c r="AB31" s="49">
        <v>2</v>
      </c>
      <c r="AC31" s="49">
        <v>2</v>
      </c>
      <c r="AD31" s="49">
        <v>0</v>
      </c>
      <c r="AE31" s="49">
        <v>1</v>
      </c>
      <c r="AF31" s="49">
        <v>0</v>
      </c>
      <c r="AG31" s="49">
        <v>0</v>
      </c>
      <c r="AH31" s="49">
        <v>0</v>
      </c>
      <c r="AN31" s="55" t="s">
        <v>81</v>
      </c>
    </row>
    <row r="32" spans="2:44" ht="18.75" customHeight="1" x14ac:dyDescent="0.2">
      <c r="F32" s="50"/>
      <c r="H32" s="50"/>
      <c r="J32" s="50"/>
      <c r="K32" s="32"/>
    </row>
    <row r="33" spans="2:52" ht="18.75" customHeight="1" x14ac:dyDescent="0.2"/>
    <row r="34" spans="2:52" ht="18.75" customHeight="1" x14ac:dyDescent="0.2">
      <c r="C34" s="40"/>
      <c r="D34" s="48"/>
      <c r="E34" s="48"/>
      <c r="F34" s="48"/>
      <c r="G34" s="48"/>
      <c r="H34" s="48"/>
      <c r="I34" s="48"/>
      <c r="J34" s="48"/>
      <c r="K34" s="48"/>
      <c r="L34" s="48"/>
      <c r="M34" s="48"/>
      <c r="N34" s="48"/>
      <c r="O34" s="48"/>
      <c r="P34" s="48"/>
      <c r="Q34" s="48"/>
      <c r="R34" s="48"/>
      <c r="S34" s="48"/>
      <c r="T34" s="48"/>
      <c r="U34" s="56"/>
    </row>
    <row r="35" spans="2:52" x14ac:dyDescent="0.2">
      <c r="B35" s="25"/>
      <c r="C35" s="17"/>
      <c r="D35" s="17"/>
      <c r="E35" s="17"/>
      <c r="F35" s="17"/>
      <c r="G35" s="17"/>
      <c r="H35" s="17"/>
      <c r="I35" s="17"/>
      <c r="J35" s="17"/>
      <c r="K35" s="17"/>
      <c r="L35" s="17"/>
      <c r="M35" s="17"/>
      <c r="N35" s="17"/>
      <c r="O35" s="17"/>
      <c r="P35" s="17"/>
      <c r="Q35" s="17"/>
      <c r="R35" s="17"/>
      <c r="S35" s="17"/>
      <c r="T35" s="17"/>
      <c r="U35" s="17"/>
      <c r="V35" s="17"/>
    </row>
    <row r="36" spans="2:52" x14ac:dyDescent="0.2">
      <c r="B36" s="25"/>
      <c r="C36" s="17"/>
      <c r="D36" s="17"/>
      <c r="E36" s="17"/>
      <c r="F36" s="17"/>
      <c r="G36" s="17"/>
      <c r="H36" s="17"/>
      <c r="I36" s="17"/>
      <c r="J36" s="17"/>
      <c r="K36" s="17"/>
      <c r="L36" s="17"/>
      <c r="M36" s="17"/>
      <c r="N36" s="17"/>
      <c r="O36" s="17"/>
      <c r="P36" s="17"/>
      <c r="Q36" s="17"/>
      <c r="R36" s="17"/>
      <c r="S36" s="17"/>
      <c r="T36" s="17"/>
      <c r="U36" s="17"/>
      <c r="V36" s="17"/>
    </row>
    <row r="37" spans="2:52" x14ac:dyDescent="0.2">
      <c r="B37" s="37"/>
      <c r="C37" s="57"/>
      <c r="D37" s="57"/>
      <c r="E37" s="57"/>
      <c r="F37" s="57"/>
      <c r="G37" s="57"/>
      <c r="H37" s="57"/>
      <c r="I37" s="57"/>
      <c r="J37" s="57"/>
      <c r="K37" s="57"/>
      <c r="L37" s="57"/>
      <c r="M37" s="57"/>
      <c r="N37" s="57"/>
      <c r="O37" s="57"/>
      <c r="P37" s="57"/>
      <c r="Q37" s="57"/>
      <c r="R37" s="57"/>
      <c r="S37" s="57"/>
      <c r="T37" s="57"/>
      <c r="U37" s="57"/>
      <c r="V37" s="57"/>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row>
    <row r="38" spans="2:52" ht="35.25" customHeight="1" x14ac:dyDescent="0.2">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row>
    <row r="39" spans="2:52" x14ac:dyDescent="0.2">
      <c r="B39" s="7"/>
      <c r="C39" s="58"/>
      <c r="D39" s="58"/>
      <c r="E39" s="58"/>
      <c r="F39" s="58"/>
      <c r="G39" s="58"/>
      <c r="H39" s="58"/>
      <c r="I39" s="58"/>
      <c r="J39" s="58"/>
      <c r="K39" s="58"/>
      <c r="L39" s="58"/>
      <c r="M39" s="58"/>
      <c r="N39" s="58"/>
      <c r="O39" s="58"/>
      <c r="P39" s="58"/>
      <c r="Q39" s="58"/>
      <c r="R39" s="58"/>
      <c r="S39" s="58"/>
      <c r="T39" s="58"/>
      <c r="U39" s="58"/>
      <c r="V39" s="58"/>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row>
    <row r="40" spans="2:52" x14ac:dyDescent="0.2">
      <c r="B40" s="7"/>
      <c r="C40" s="58"/>
      <c r="D40" s="58"/>
      <c r="E40" s="58"/>
      <c r="F40" s="58"/>
      <c r="G40" s="58"/>
      <c r="H40" s="58"/>
      <c r="I40" s="58"/>
      <c r="J40" s="58"/>
      <c r="K40" s="58"/>
      <c r="L40" s="58"/>
      <c r="M40" s="58"/>
      <c r="N40" s="58"/>
      <c r="O40" s="58"/>
      <c r="P40" s="58"/>
      <c r="Q40" s="58"/>
      <c r="R40" s="58"/>
      <c r="S40" s="58"/>
      <c r="T40" s="58"/>
      <c r="U40" s="58"/>
      <c r="V40" s="58"/>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row>
    <row r="41" spans="2:52" x14ac:dyDescent="0.2">
      <c r="B41" s="7"/>
      <c r="C41" s="58"/>
      <c r="D41" s="58"/>
      <c r="E41" s="58"/>
      <c r="F41" s="58"/>
      <c r="G41" s="58"/>
      <c r="H41" s="58"/>
      <c r="I41" s="58"/>
      <c r="J41" s="58"/>
      <c r="K41" s="58"/>
      <c r="L41" s="58"/>
      <c r="M41" s="58"/>
      <c r="N41" s="58"/>
      <c r="O41" s="58"/>
      <c r="P41" s="58"/>
      <c r="Q41" s="58"/>
      <c r="R41" s="58"/>
      <c r="S41" s="58"/>
      <c r="T41" s="58"/>
      <c r="U41" s="58"/>
      <c r="V41" s="58"/>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row>
    <row r="42" spans="2:52" x14ac:dyDescent="0.2">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row>
    <row r="43" spans="2:52" x14ac:dyDescent="0.2">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row>
    <row r="44" spans="2:52" x14ac:dyDescent="0.2">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row>
    <row r="45" spans="2:52" x14ac:dyDescent="0.2">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row>
    <row r="46" spans="2:52" x14ac:dyDescent="0.2">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row>
    <row r="47" spans="2:52" x14ac:dyDescent="0.2">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row>
    <row r="48" spans="2:52" x14ac:dyDescent="0.2">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row>
    <row r="49" spans="2:52" x14ac:dyDescent="0.2">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row>
    <row r="50" spans="2:52" x14ac:dyDescent="0.2">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row>
    <row r="51" spans="2:52" x14ac:dyDescent="0.2">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row>
    <row r="52" spans="2:52" x14ac:dyDescent="0.2">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row>
    <row r="53" spans="2:52" x14ac:dyDescent="0.2">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row>
    <row r="54" spans="2:52" x14ac:dyDescent="0.2">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row>
    <row r="55" spans="2:52" x14ac:dyDescent="0.2">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row>
    <row r="56" spans="2:52" x14ac:dyDescent="0.2">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row>
    <row r="57" spans="2:52" x14ac:dyDescent="0.2">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row>
    <row r="58" spans="2:52" x14ac:dyDescent="0.2">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row>
    <row r="59" spans="2:52" x14ac:dyDescent="0.2">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row>
    <row r="60" spans="2:52" x14ac:dyDescent="0.2">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row>
    <row r="61" spans="2:52" x14ac:dyDescent="0.2">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row>
    <row r="62" spans="2:52" x14ac:dyDescent="0.2">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row>
    <row r="63" spans="2:52" x14ac:dyDescent="0.2">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row>
    <row r="64" spans="2:52" x14ac:dyDescent="0.2">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row>
    <row r="65" spans="2:52" x14ac:dyDescent="0.2">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row>
    <row r="66" spans="2:52" x14ac:dyDescent="0.2">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row>
    <row r="67" spans="2:52" x14ac:dyDescent="0.2">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row>
    <row r="68" spans="2:52" x14ac:dyDescent="0.2">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row>
    <row r="69" spans="2:52" x14ac:dyDescent="0.2">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row>
    <row r="70" spans="2:52" x14ac:dyDescent="0.2">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row>
    <row r="71" spans="2:52" x14ac:dyDescent="0.2">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row>
    <row r="72" spans="2:52" x14ac:dyDescent="0.2">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row>
    <row r="73" spans="2:52" x14ac:dyDescent="0.2">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row>
    <row r="74" spans="2:52" x14ac:dyDescent="0.2">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row>
    <row r="75" spans="2:52" x14ac:dyDescent="0.2">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row>
    <row r="76" spans="2:52" x14ac:dyDescent="0.2">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row>
    <row r="77" spans="2:52" x14ac:dyDescent="0.2">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row>
    <row r="78" spans="2:52" x14ac:dyDescent="0.2">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row>
    <row r="79" spans="2:52" x14ac:dyDescent="0.2">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row>
    <row r="80" spans="2:52" x14ac:dyDescent="0.2">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row>
    <row r="81" spans="2:52" x14ac:dyDescent="0.2">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row>
    <row r="82" spans="2:52" x14ac:dyDescent="0.2">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row>
    <row r="83" spans="2:52" x14ac:dyDescent="0.2">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row>
    <row r="84" spans="2:52" x14ac:dyDescent="0.2">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row>
    <row r="85" spans="2:52" x14ac:dyDescent="0.2">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row>
    <row r="86" spans="2:52" x14ac:dyDescent="0.2">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row>
    <row r="87" spans="2:52" x14ac:dyDescent="0.2">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row>
    <row r="88" spans="2:52" x14ac:dyDescent="0.2">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row>
    <row r="89" spans="2:52" x14ac:dyDescent="0.2">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row>
    <row r="90" spans="2:52" x14ac:dyDescent="0.2">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row>
    <row r="91" spans="2:52" x14ac:dyDescent="0.2">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row>
    <row r="92" spans="2:52" x14ac:dyDescent="0.2">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row>
    <row r="93" spans="2:52" x14ac:dyDescent="0.2">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row>
    <row r="94" spans="2:52" x14ac:dyDescent="0.2">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row>
    <row r="95" spans="2:52" x14ac:dyDescent="0.2">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row>
    <row r="96" spans="2:52" x14ac:dyDescent="0.2">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row>
    <row r="97" spans="2:52" x14ac:dyDescent="0.2">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row>
    <row r="98" spans="2:52" x14ac:dyDescent="0.2">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row>
    <row r="99" spans="2:52" x14ac:dyDescent="0.2">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row>
    <row r="100" spans="2:52" x14ac:dyDescent="0.2">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row>
    <row r="101" spans="2:52" x14ac:dyDescent="0.2">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row>
    <row r="102" spans="2:52" x14ac:dyDescent="0.2">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row>
    <row r="103" spans="2:52" x14ac:dyDescent="0.2">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row>
    <row r="104" spans="2:52" x14ac:dyDescent="0.2">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row>
    <row r="105" spans="2:52" x14ac:dyDescent="0.2">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row>
    <row r="106" spans="2:52" x14ac:dyDescent="0.2">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row>
    <row r="107" spans="2:52" x14ac:dyDescent="0.2">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row>
    <row r="108" spans="2:52" x14ac:dyDescent="0.2">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row>
    <row r="109" spans="2:52" x14ac:dyDescent="0.2">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row>
    <row r="110" spans="2:52" x14ac:dyDescent="0.2">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row>
    <row r="111" spans="2:52" x14ac:dyDescent="0.2">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row>
    <row r="112" spans="2:52" x14ac:dyDescent="0.2">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row>
    <row r="113" spans="2:52" x14ac:dyDescent="0.2">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row>
    <row r="114" spans="2:52" x14ac:dyDescent="0.2">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row>
    <row r="115" spans="2:52" x14ac:dyDescent="0.2">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row>
    <row r="116" spans="2:52" x14ac:dyDescent="0.2">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row>
    <row r="117" spans="2:52" x14ac:dyDescent="0.2">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row>
    <row r="118" spans="2:52" x14ac:dyDescent="0.2">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row>
    <row r="119" spans="2:52" x14ac:dyDescent="0.2">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row>
    <row r="120" spans="2:52" x14ac:dyDescent="0.2">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row>
    <row r="121" spans="2:52" x14ac:dyDescent="0.2">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row>
    <row r="122" spans="2:52" x14ac:dyDescent="0.2">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row>
    <row r="123" spans="2:52" x14ac:dyDescent="0.2">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row>
    <row r="124" spans="2:52" x14ac:dyDescent="0.2">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row>
    <row r="125" spans="2:52" x14ac:dyDescent="0.2">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row>
    <row r="126" spans="2:52" x14ac:dyDescent="0.2">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row>
    <row r="127" spans="2:52" x14ac:dyDescent="0.2">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row>
    <row r="128" spans="2:52" x14ac:dyDescent="0.2">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row>
    <row r="129" spans="2:52" x14ac:dyDescent="0.2">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row>
    <row r="130" spans="2:52" x14ac:dyDescent="0.2">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row>
    <row r="131" spans="2:52" x14ac:dyDescent="0.2">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row>
    <row r="132" spans="2:52" x14ac:dyDescent="0.2">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row>
    <row r="133" spans="2:52" x14ac:dyDescent="0.2">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row>
    <row r="134" spans="2:52" x14ac:dyDescent="0.2">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row>
    <row r="135" spans="2:52" x14ac:dyDescent="0.2">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row>
    <row r="136" spans="2:52" x14ac:dyDescent="0.2">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row>
    <row r="137" spans="2:52" x14ac:dyDescent="0.2">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row>
    <row r="138" spans="2:52" x14ac:dyDescent="0.2">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row>
    <row r="139" spans="2:52" x14ac:dyDescent="0.2">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row>
    <row r="140" spans="2:52" x14ac:dyDescent="0.2">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row>
    <row r="141" spans="2:52" x14ac:dyDescent="0.2">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row>
    <row r="142" spans="2:52" x14ac:dyDescent="0.2">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row>
    <row r="143" spans="2:52" x14ac:dyDescent="0.2">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row>
    <row r="144" spans="2:52" x14ac:dyDescent="0.2">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row>
    <row r="145" spans="2:52" x14ac:dyDescent="0.2">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row>
    <row r="146" spans="2:52" x14ac:dyDescent="0.2">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row>
    <row r="147" spans="2:52" x14ac:dyDescent="0.2">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row>
    <row r="148" spans="2:52" x14ac:dyDescent="0.2">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row>
    <row r="149" spans="2:52" x14ac:dyDescent="0.2">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row>
    <row r="150" spans="2:52" x14ac:dyDescent="0.2">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row>
    <row r="151" spans="2:52" x14ac:dyDescent="0.2">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row>
    <row r="152" spans="2:52" x14ac:dyDescent="0.2">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row>
    <row r="153" spans="2:52" x14ac:dyDescent="0.2">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row>
    <row r="154" spans="2:52" x14ac:dyDescent="0.2">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row>
    <row r="155" spans="2:52" x14ac:dyDescent="0.2">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row>
    <row r="156" spans="2:52" x14ac:dyDescent="0.2">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row>
    <row r="157" spans="2:52" x14ac:dyDescent="0.2">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row>
    <row r="158" spans="2:52" x14ac:dyDescent="0.2">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row>
    <row r="159" spans="2:52" x14ac:dyDescent="0.2">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row>
    <row r="160" spans="2:52" x14ac:dyDescent="0.2">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row>
    <row r="161" spans="2:52" x14ac:dyDescent="0.2">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row>
    <row r="162" spans="2:52" x14ac:dyDescent="0.2">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row>
    <row r="163" spans="2:52" x14ac:dyDescent="0.2">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row>
    <row r="164" spans="2:52" x14ac:dyDescent="0.2">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row>
    <row r="165" spans="2:52" x14ac:dyDescent="0.2">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row>
    <row r="166" spans="2:52" x14ac:dyDescent="0.2">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row>
    <row r="167" spans="2:52" x14ac:dyDescent="0.2">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row>
    <row r="168" spans="2:52" x14ac:dyDescent="0.2">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row>
    <row r="169" spans="2:52" x14ac:dyDescent="0.2">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row>
    <row r="170" spans="2:52" x14ac:dyDescent="0.2">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row>
    <row r="171" spans="2:52" x14ac:dyDescent="0.2">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row>
    <row r="172" spans="2:52" x14ac:dyDescent="0.2">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row>
    <row r="173" spans="2:52" x14ac:dyDescent="0.2">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row>
    <row r="174" spans="2:52" x14ac:dyDescent="0.2">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row>
    <row r="175" spans="2:52" x14ac:dyDescent="0.2">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row>
    <row r="176" spans="2:52" x14ac:dyDescent="0.2">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row>
    <row r="177" spans="2:52" x14ac:dyDescent="0.2">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row>
    <row r="178" spans="2:52" x14ac:dyDescent="0.2">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row>
    <row r="179" spans="2:52" x14ac:dyDescent="0.2">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row>
    <row r="180" spans="2:52" x14ac:dyDescent="0.2">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row>
    <row r="181" spans="2:52" x14ac:dyDescent="0.2">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row>
    <row r="182" spans="2:52" x14ac:dyDescent="0.2">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row>
    <row r="183" spans="2:52" x14ac:dyDescent="0.2">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row>
    <row r="184" spans="2:52" x14ac:dyDescent="0.2">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row>
    <row r="185" spans="2:52" x14ac:dyDescent="0.2">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row>
    <row r="186" spans="2:52" x14ac:dyDescent="0.2">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row>
    <row r="187" spans="2:52" x14ac:dyDescent="0.2">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row>
    <row r="188" spans="2:52" x14ac:dyDescent="0.2">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row>
    <row r="189" spans="2:52" x14ac:dyDescent="0.2">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row>
    <row r="190" spans="2:52" x14ac:dyDescent="0.2">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row>
    <row r="191" spans="2:52" x14ac:dyDescent="0.2">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row>
    <row r="192" spans="2:52" x14ac:dyDescent="0.2">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row>
    <row r="193" spans="2:52" x14ac:dyDescent="0.2">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row>
    <row r="194" spans="2:52" x14ac:dyDescent="0.2">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row>
    <row r="195" spans="2:52" x14ac:dyDescent="0.2">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row>
    <row r="196" spans="2:52" x14ac:dyDescent="0.2">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row>
    <row r="197" spans="2:52" x14ac:dyDescent="0.2">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row>
    <row r="198" spans="2:52" x14ac:dyDescent="0.2">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row>
    <row r="199" spans="2:52" x14ac:dyDescent="0.2">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row>
    <row r="200" spans="2:52" x14ac:dyDescent="0.2">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row>
    <row r="201" spans="2:52" x14ac:dyDescent="0.2">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row>
    <row r="202" spans="2:52" x14ac:dyDescent="0.2">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row>
    <row r="203" spans="2:52" x14ac:dyDescent="0.2">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row>
    <row r="204" spans="2:52" x14ac:dyDescent="0.2">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row>
    <row r="205" spans="2:52" x14ac:dyDescent="0.2">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row>
    <row r="206" spans="2:52" x14ac:dyDescent="0.2">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row>
    <row r="207" spans="2:52" x14ac:dyDescent="0.2">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row>
    <row r="208" spans="2:52" x14ac:dyDescent="0.2">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row>
    <row r="209" spans="2:52" x14ac:dyDescent="0.2">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row>
    <row r="210" spans="2:52" x14ac:dyDescent="0.2">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row>
    <row r="211" spans="2:52" x14ac:dyDescent="0.2">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row>
    <row r="212" spans="2:52" x14ac:dyDescent="0.2">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row>
    <row r="213" spans="2:52" x14ac:dyDescent="0.2">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row>
    <row r="214" spans="2:52" x14ac:dyDescent="0.2">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row>
    <row r="215" spans="2:52" x14ac:dyDescent="0.2">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row>
    <row r="216" spans="2:52" x14ac:dyDescent="0.2">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row>
    <row r="217" spans="2:52" x14ac:dyDescent="0.2">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row>
    <row r="218" spans="2:52" x14ac:dyDescent="0.2">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row>
    <row r="219" spans="2:52" x14ac:dyDescent="0.2">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row>
    <row r="220" spans="2:52" x14ac:dyDescent="0.2">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row>
    <row r="221" spans="2:52" x14ac:dyDescent="0.2">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row>
    <row r="222" spans="2:52" x14ac:dyDescent="0.2">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row>
    <row r="223" spans="2:52" x14ac:dyDescent="0.2">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row>
    <row r="224" spans="2:52" x14ac:dyDescent="0.2">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row>
    <row r="225" spans="2:52" x14ac:dyDescent="0.2">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row>
    <row r="226" spans="2:52" x14ac:dyDescent="0.2">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row>
    <row r="227" spans="2:52" x14ac:dyDescent="0.2">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row>
    <row r="228" spans="2:52" x14ac:dyDescent="0.2">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row>
    <row r="229" spans="2:52" x14ac:dyDescent="0.2">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row>
    <row r="230" spans="2:52" x14ac:dyDescent="0.2">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row>
  </sheetData>
  <mergeCells count="14">
    <mergeCell ref="B2:B3"/>
    <mergeCell ref="C2:L2"/>
    <mergeCell ref="C3:D3"/>
    <mergeCell ref="E3:F3"/>
    <mergeCell ref="G3:H3"/>
    <mergeCell ref="I3:J3"/>
    <mergeCell ref="K3:L3"/>
    <mergeCell ref="B18:B19"/>
    <mergeCell ref="C18:L18"/>
    <mergeCell ref="C19:D19"/>
    <mergeCell ref="E19:F19"/>
    <mergeCell ref="G19:H19"/>
    <mergeCell ref="I19:J19"/>
    <mergeCell ref="K19:L19"/>
  </mergeCells>
  <phoneticPr fontId="2"/>
  <printOptions horizontalCentered="1"/>
  <pageMargins left="0.70866141732283472" right="0.70866141732283472" top="0.74803149606299213" bottom="0.74803149606299213" header="0.31496062992125984" footer="0.31496062992125984"/>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データ削除22">
                <anchor moveWithCells="1" sizeWithCells="1">
                  <from>
                    <xdr:col>13</xdr:col>
                    <xdr:colOff>502920</xdr:colOff>
                    <xdr:row>1</xdr:row>
                    <xdr:rowOff>137160</xdr:rowOff>
                  </from>
                  <to>
                    <xdr:col>15</xdr:col>
                    <xdr:colOff>563880</xdr:colOff>
                    <xdr:row>3</xdr:row>
                    <xdr:rowOff>198120</xdr:rowOff>
                  </to>
                </anchor>
              </controlPr>
            </control>
          </mc:Choice>
        </mc:AlternateContent>
      </controls>
    </mc:Choice>
  </mc:AlternateContent>
  <tableParts count="4">
    <tablePart r:id="rId5"/>
    <tablePart r:id="rId6"/>
    <tablePart r:id="rId7"/>
    <tablePart r:id="rId8"/>
  </tablePart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FF0000"/>
    <pageSetUpPr fitToPage="1"/>
  </sheetPr>
  <dimension ref="A1:BD231"/>
  <sheetViews>
    <sheetView showGridLines="0" view="pageBreakPreview" topLeftCell="B1" zoomScale="80" zoomScaleNormal="100" zoomScaleSheetLayoutView="80" workbookViewId="0">
      <selection activeCell="B1" sqref="B1"/>
    </sheetView>
  </sheetViews>
  <sheetFormatPr defaultColWidth="9" defaultRowHeight="17.399999999999999" x14ac:dyDescent="0.2"/>
  <cols>
    <col min="1" max="1" width="4" style="1" hidden="1" customWidth="1"/>
    <col min="2" max="2" width="12.44140625" style="1" customWidth="1"/>
    <col min="3" max="11" width="8.77734375" style="1" customWidth="1"/>
    <col min="12" max="12" width="25.33203125" style="1" customWidth="1"/>
    <col min="13" max="13" width="10.44140625" style="676" hidden="1" customWidth="1"/>
    <col min="14" max="15" width="10.5546875" style="676" hidden="1" customWidth="1"/>
    <col min="16" max="17" width="10.5546875" style="1" hidden="1" customWidth="1"/>
    <col min="18" max="18" width="17.77734375" style="1" hidden="1" customWidth="1"/>
    <col min="19" max="34" width="11.109375" style="1" hidden="1" customWidth="1"/>
    <col min="35" max="36" width="9" style="1" hidden="1" customWidth="1"/>
    <col min="37" max="39" width="9" style="1" customWidth="1"/>
    <col min="40" max="56" width="9" style="1" hidden="1" customWidth="1"/>
    <col min="57" max="57" width="9" style="1" customWidth="1"/>
    <col min="58" max="16384" width="9" style="1"/>
  </cols>
  <sheetData>
    <row r="1" spans="2:56" ht="19.5" customHeight="1" x14ac:dyDescent="0.2">
      <c r="B1" s="257" t="s">
        <v>153</v>
      </c>
      <c r="C1" s="257"/>
      <c r="D1" s="257"/>
      <c r="E1" s="257"/>
      <c r="F1" s="257"/>
      <c r="G1" s="257"/>
      <c r="H1" s="257"/>
      <c r="I1" s="257"/>
      <c r="J1" s="257"/>
      <c r="K1" s="257"/>
      <c r="L1" s="257"/>
      <c r="M1" s="257"/>
      <c r="N1" s="257"/>
      <c r="O1" s="257"/>
    </row>
    <row r="2" spans="2:56" ht="19.5" customHeight="1" thickBot="1" x14ac:dyDescent="0.25">
      <c r="B2" s="256" t="s">
        <v>288</v>
      </c>
      <c r="C2" s="255"/>
      <c r="D2" s="255"/>
      <c r="E2" s="255"/>
      <c r="F2" s="255"/>
      <c r="G2" s="255"/>
      <c r="H2" s="255"/>
      <c r="I2" s="255"/>
      <c r="J2" s="255"/>
      <c r="K2" s="255"/>
      <c r="L2" s="255"/>
      <c r="M2" s="255"/>
      <c r="N2" s="255"/>
      <c r="O2" s="255"/>
      <c r="R2" s="21" t="s">
        <v>62</v>
      </c>
    </row>
    <row r="3" spans="2:56" ht="18.75" customHeight="1" thickTop="1" thickBot="1" x14ac:dyDescent="0.25">
      <c r="B3" s="1055" t="s">
        <v>64</v>
      </c>
      <c r="C3" s="1057" t="s">
        <v>63</v>
      </c>
      <c r="D3" s="1058"/>
      <c r="E3" s="1058"/>
      <c r="F3" s="1058"/>
      <c r="G3" s="1058"/>
      <c r="H3" s="1058"/>
      <c r="I3" s="1058"/>
      <c r="J3" s="1058"/>
      <c r="K3" s="1058"/>
      <c r="L3" s="1059"/>
      <c r="M3" s="772"/>
      <c r="N3" s="772"/>
      <c r="O3" s="772"/>
      <c r="R3" s="266" t="s">
        <v>655</v>
      </c>
      <c r="S3" s="306" t="s">
        <v>677</v>
      </c>
      <c r="T3" s="306" t="s">
        <v>678</v>
      </c>
      <c r="U3" s="306" t="s">
        <v>679</v>
      </c>
      <c r="V3" s="306" t="s">
        <v>680</v>
      </c>
      <c r="W3" s="306" t="s">
        <v>681</v>
      </c>
      <c r="X3" s="306" t="s">
        <v>682</v>
      </c>
      <c r="Y3" s="306" t="s">
        <v>683</v>
      </c>
      <c r="Z3" s="306" t="s">
        <v>340</v>
      </c>
      <c r="AA3" s="306" t="s">
        <v>684</v>
      </c>
      <c r="AB3" s="306" t="s">
        <v>685</v>
      </c>
      <c r="AC3" s="306" t="s">
        <v>686</v>
      </c>
      <c r="AD3" s="306" t="s">
        <v>687</v>
      </c>
      <c r="AE3" s="306" t="s">
        <v>688</v>
      </c>
      <c r="AF3" s="306" t="s">
        <v>689</v>
      </c>
      <c r="AG3" s="306" t="s">
        <v>690</v>
      </c>
      <c r="AH3" s="43" t="s">
        <v>691</v>
      </c>
    </row>
    <row r="4" spans="2:56" ht="18.75" customHeight="1" thickTop="1" x14ac:dyDescent="0.2">
      <c r="B4" s="1056"/>
      <c r="C4" s="1060" t="s">
        <v>68</v>
      </c>
      <c r="D4" s="1061"/>
      <c r="E4" s="1060" t="s">
        <v>69</v>
      </c>
      <c r="F4" s="1061"/>
      <c r="G4" s="1060" t="s">
        <v>70</v>
      </c>
      <c r="H4" s="1061"/>
      <c r="I4" s="1060" t="s">
        <v>71</v>
      </c>
      <c r="J4" s="1061"/>
      <c r="K4" s="1060" t="s">
        <v>61</v>
      </c>
      <c r="L4" s="1061"/>
      <c r="M4" s="773"/>
      <c r="N4" s="773"/>
      <c r="O4" s="773"/>
      <c r="R4" s="41" t="s">
        <v>2</v>
      </c>
      <c r="S4" s="49">
        <v>0</v>
      </c>
      <c r="T4" s="49">
        <v>0</v>
      </c>
      <c r="U4" s="49">
        <v>1</v>
      </c>
      <c r="V4" s="49">
        <v>0</v>
      </c>
      <c r="W4" s="49">
        <v>0</v>
      </c>
      <c r="X4" s="49">
        <v>0</v>
      </c>
      <c r="Y4" s="49">
        <v>0</v>
      </c>
      <c r="Z4" s="49">
        <v>0</v>
      </c>
      <c r="AA4" s="49">
        <v>0</v>
      </c>
      <c r="AB4" s="49">
        <v>0</v>
      </c>
      <c r="AC4" s="49">
        <v>0</v>
      </c>
      <c r="AD4" s="49">
        <v>0</v>
      </c>
      <c r="AE4" s="49">
        <v>0</v>
      </c>
      <c r="AF4" s="49">
        <v>0</v>
      </c>
      <c r="AG4" s="49">
        <v>0</v>
      </c>
      <c r="AH4" s="49">
        <v>0</v>
      </c>
      <c r="AO4" s="295" t="s">
        <v>170</v>
      </c>
      <c r="AP4" s="296" t="s">
        <v>171</v>
      </c>
      <c r="AQ4" s="296" t="s">
        <v>172</v>
      </c>
      <c r="AR4" s="296" t="s">
        <v>173</v>
      </c>
      <c r="AS4" s="296" t="s">
        <v>174</v>
      </c>
      <c r="AT4" s="296" t="s">
        <v>175</v>
      </c>
      <c r="AU4" s="296" t="s">
        <v>176</v>
      </c>
      <c r="AV4" s="296" t="s">
        <v>340</v>
      </c>
      <c r="AW4" s="296" t="s">
        <v>178</v>
      </c>
      <c r="AX4" s="296" t="s">
        <v>179</v>
      </c>
      <c r="AY4" s="296" t="s">
        <v>180</v>
      </c>
      <c r="AZ4" s="296" t="s">
        <v>181</v>
      </c>
      <c r="BA4" s="296" t="s">
        <v>182</v>
      </c>
      <c r="BB4" s="296" t="s">
        <v>183</v>
      </c>
      <c r="BC4" s="296" t="s">
        <v>184</v>
      </c>
      <c r="BD4" s="295" t="s">
        <v>185</v>
      </c>
    </row>
    <row r="5" spans="2:56" s="16" customFormat="1" ht="18.75" customHeight="1" x14ac:dyDescent="0.2">
      <c r="B5" s="147" t="s">
        <v>2</v>
      </c>
      <c r="C5" s="148">
        <f>IFERROR(INDEX(年齢階層×在院期間区分F02F09[#All],MATCH($AN5,年齢階層×在院期間区分F02F09[[#All],[行ラベル]],0),MATCH($AO$4,年齢階層×在院期間区分F02F09[#Headers],0)),0)+IFERROR(INDEX(年齢階層×在院期間区分F02F09[#All],MATCH($AN5,年齢階層×在院期間区分F02F09[[#All],[行ラベル]],0),MATCH($AP$4,年齢階層×在院期間区分F02F09[#Headers],0)),0)+IFERROR(INDEX(年齢階層×在院期間区分F02F09[#All],MATCH($AN5,年齢階層×在院期間区分F02F09[[#All],[行ラベル]],0),MATCH($AQ$4,年齢階層×在院期間区分F02F09[#Headers],0)),0)+IFERROR(INDEX(年齢階層×在院期間区分F02F09[#All],MATCH($AN5,年齢階層×在院期間区分F02F09[[#All],[行ラベル]],0),MATCH($AR$4,年齢階層×在院期間区分F02F09[#Headers],0)),0)</f>
        <v>1</v>
      </c>
      <c r="D5" s="143">
        <f t="shared" ref="D5:D16" si="0">IFERROR(C5/$C$14,"-")</f>
        <v>1.0482180293501049E-3</v>
      </c>
      <c r="E5" s="148">
        <f>IFERROR(INDEX(年齢階層×在院期間区分F02F09[#All],MATCH($AN5,年齢階層×在院期間区分F02F09[[#All],[行ラベル]],0),MATCH($AS$4,年齢階層×在院期間区分F02F09[#Headers],0)),0)+IFERROR(INDEX(年齢階層×在院期間区分F02F09[#All],MATCH($AN5,年齢階層×在院期間区分F02F09[[#All],[行ラベル]],0),MATCH($AT$4,年齢階層×在院期間区分F02F09[#Headers],0)),0)+IFERROR(INDEX(年齢階層×在院期間区分F02F09[#All],MATCH($AN5,年齢階層×在院期間区分F02F09[[#All],[行ラベル]],0),MATCH($AU$4,年齢階層×在院期間区分F02F09[#Headers],0)),0)+IFERROR(INDEX(年齢階層×在院期間区分F02F09[#All],MATCH($AN5,年齢階層×在院期間区分F02F09[[#All],[行ラベル]],0),MATCH($AV$4,年齢階層×在院期間区分F02F09[#Headers],0)),0)+IFERROR(INDEX(年齢階層×在院期間区分F02F09[#All],MATCH($AN5,年齢階層×在院期間区分F02F09[[#All],[行ラベル]],0),MATCH($AW$4,年齢階層×在院期間区分F02F09[#Headers],0)),0)</f>
        <v>0</v>
      </c>
      <c r="F5" s="143">
        <f t="shared" ref="F5:F16" si="1">IFERROR(E5/$E$14,"-")</f>
        <v>0</v>
      </c>
      <c r="G5" s="148">
        <f>IFERROR(INDEX(年齢階層×在院期間区分F02F09[#All],MATCH($AN5,年齢階層×在院期間区分F02F09[[#All],[行ラベル]],0),MATCH($AX$4,年齢階層×在院期間区分F02F09[#Headers],0)),0)+IFERROR(INDEX(年齢階層×在院期間区分F02F09[#All],MATCH($AN5,年齢階層×在院期間区分F02F09[[#All],[行ラベル]],0),MATCH($AY$4,年齢階層×在院期間区分F02F09[#Headers],0)),0)+IFERROR(INDEX(年齢階層×在院期間区分F02F09[#All],MATCH($AN5,年齢階層×在院期間区分F02F09[[#All],[行ラベル]],0),MATCH($AZ$4,年齢階層×在院期間区分F02F09[#Headers],0)),0)+IFERROR(INDEX(年齢階層×在院期間区分F02F09[#All],MATCH($AN5,年齢階層×在院期間区分F02F09[[#All],[行ラベル]],0),MATCH($BA$4,年齢階層×在院期間区分F02F09[#Headers],0)),0)+IFERROR(INDEX(年齢階層×在院期間区分F02F09[#All],MATCH($AN5,年齢階層×在院期間区分F02F09[[#All],[行ラベル]],0),MATCH($BB$4,年齢階層×在院期間区分F02F09[#Headers],0)),0)</f>
        <v>0</v>
      </c>
      <c r="H5" s="143">
        <f t="shared" ref="H5:H16" si="2">IFERROR(G5/$G$14,"-")</f>
        <v>0</v>
      </c>
      <c r="I5" s="142">
        <f>IFERROR(INDEX(年齢階層×在院期間区分F02F09[#All],MATCH($AN5,年齢階層×在院期間区分F02F09[[#All],[行ラベル]],0),MATCH($BC$4,年齢階層×在院期間区分F02F09[#Headers],0)),0)+IFERROR(INDEX(年齢階層×在院期間区分F02F09[#All],MATCH($AN5,年齢階層×在院期間区分F02F09[[#All],[行ラベル]],0),MATCH($BD$4,年齢階層×在院期間区分F02F09[#Headers],0)),0)</f>
        <v>0</v>
      </c>
      <c r="J5" s="143">
        <f t="shared" ref="J5:J16" si="3">IFERROR(I5/$I$14,"-")</f>
        <v>0</v>
      </c>
      <c r="K5" s="142">
        <f t="shared" ref="K5:K13" si="4">SUM(C5,E5,G5,I5)</f>
        <v>1</v>
      </c>
      <c r="L5" s="143">
        <f t="shared" ref="L5:L16" si="5">IFERROR(K5/$K$14,"-")</f>
        <v>5.8038305281485781E-4</v>
      </c>
      <c r="M5" s="745"/>
      <c r="N5" s="745"/>
      <c r="O5" s="745"/>
      <c r="R5" s="41" t="s">
        <v>3</v>
      </c>
      <c r="S5" s="49">
        <v>1</v>
      </c>
      <c r="T5" s="49">
        <v>0</v>
      </c>
      <c r="U5" s="49">
        <v>0</v>
      </c>
      <c r="V5" s="49">
        <v>0</v>
      </c>
      <c r="W5" s="49">
        <v>0</v>
      </c>
      <c r="X5" s="49">
        <v>0</v>
      </c>
      <c r="Y5" s="49">
        <v>0</v>
      </c>
      <c r="Z5" s="49">
        <v>0</v>
      </c>
      <c r="AA5" s="49">
        <v>0</v>
      </c>
      <c r="AB5" s="49">
        <v>0</v>
      </c>
      <c r="AC5" s="49">
        <v>0</v>
      </c>
      <c r="AD5" s="49">
        <v>0</v>
      </c>
      <c r="AE5" s="49">
        <v>0</v>
      </c>
      <c r="AF5" s="49">
        <v>0</v>
      </c>
      <c r="AG5" s="49">
        <v>0</v>
      </c>
      <c r="AH5" s="49">
        <v>0</v>
      </c>
      <c r="AN5" s="41" t="s">
        <v>2</v>
      </c>
      <c r="AO5" s="50"/>
      <c r="AR5" s="54"/>
    </row>
    <row r="6" spans="2:56" s="16" customFormat="1" ht="18.75" customHeight="1" x14ac:dyDescent="0.2">
      <c r="B6" s="149" t="s">
        <v>3</v>
      </c>
      <c r="C6" s="150">
        <f>IFERROR(INDEX(年齢階層×在院期間区分F02F09[#All],MATCH($AN6,年齢階層×在院期間区分F02F09[[#All],[行ラベル]],0),MATCH($AO$4,年齢階層×在院期間区分F02F09[#Headers],0)),0)+IFERROR(INDEX(年齢階層×在院期間区分F02F09[#All],MATCH($AN6,年齢階層×在院期間区分F02F09[[#All],[行ラベル]],0),MATCH($AP$4,年齢階層×在院期間区分F02F09[#Headers],0)),0)+IFERROR(INDEX(年齢階層×在院期間区分F02F09[#All],MATCH($AN6,年齢階層×在院期間区分F02F09[[#All],[行ラベル]],0),MATCH($AQ$4,年齢階層×在院期間区分F02F09[#Headers],0)),0)+IFERROR(INDEX(年齢階層×在院期間区分F02F09[#All],MATCH($AN6,年齢階層×在院期間区分F02F09[[#All],[行ラベル]],0),MATCH($AR$4,年齢階層×在院期間区分F02F09[#Headers],0)),0)</f>
        <v>1</v>
      </c>
      <c r="D6" s="144">
        <f t="shared" si="0"/>
        <v>1.0482180293501049E-3</v>
      </c>
      <c r="E6" s="127">
        <f>IFERROR(INDEX(年齢階層×在院期間区分F02F09[#All],MATCH($AN6,年齢階層×在院期間区分F02F09[[#All],[行ラベル]],0),MATCH($AS$4,年齢階層×在院期間区分F02F09[#Headers],0)),0)+IFERROR(INDEX(年齢階層×在院期間区分F02F09[#All],MATCH($AN6,年齢階層×在院期間区分F02F09[[#All],[行ラベル]],0),MATCH($AT$4,年齢階層×在院期間区分F02F09[#Headers],0)),0)+IFERROR(INDEX(年齢階層×在院期間区分F02F09[#All],MATCH($AN6,年齢階層×在院期間区分F02F09[[#All],[行ラベル]],0),MATCH($AU$4,年齢階層×在院期間区分F02F09[#Headers],0)),0)+IFERROR(INDEX(年齢階層×在院期間区分F02F09[#All],MATCH($AN6,年齢階層×在院期間区分F02F09[[#All],[行ラベル]],0),MATCH($AV$4,年齢階層×在院期間区分F02F09[#Headers],0)),0)+IFERROR(INDEX(年齢階層×在院期間区分F02F09[#All],MATCH($AN6,年齢階層×在院期間区分F02F09[[#All],[行ラベル]],0),MATCH($AW$4,年齢階層×在院期間区分F02F09[#Headers],0)),0)</f>
        <v>0</v>
      </c>
      <c r="F6" s="128">
        <f t="shared" si="1"/>
        <v>0</v>
      </c>
      <c r="G6" s="150">
        <f>IFERROR(INDEX(年齢階層×在院期間区分F02F09[#All],MATCH($AN6,年齢階層×在院期間区分F02F09[[#All],[行ラベル]],0),MATCH($AX$4,年齢階層×在院期間区分F02F09[#Headers],0)),0)+IFERROR(INDEX(年齢階層×在院期間区分F02F09[#All],MATCH($AN6,年齢階層×在院期間区分F02F09[[#All],[行ラベル]],0),MATCH($AY$4,年齢階層×在院期間区分F02F09[#Headers],0)),0)+IFERROR(INDEX(年齢階層×在院期間区分F02F09[#All],MATCH($AN6,年齢階層×在院期間区分F02F09[[#All],[行ラベル]],0),MATCH($AZ$4,年齢階層×在院期間区分F02F09[#Headers],0)),0)+IFERROR(INDEX(年齢階層×在院期間区分F02F09[#All],MATCH($AN6,年齢階層×在院期間区分F02F09[[#All],[行ラベル]],0),MATCH($BA$4,年齢階層×在院期間区分F02F09[#Headers],0)),0)+IFERROR(INDEX(年齢階層×在院期間区分F02F09[#All],MATCH($AN6,年齢階層×在院期間区分F02F09[[#All],[行ラベル]],0),MATCH($BB$4,年齢階層×在院期間区分F02F09[#Headers],0)),0)</f>
        <v>0</v>
      </c>
      <c r="H6" s="144">
        <f t="shared" si="2"/>
        <v>0</v>
      </c>
      <c r="I6" s="151">
        <f>IFERROR(INDEX(年齢階層×在院期間区分F02F09[#All],MATCH($AN6,年齢階層×在院期間区分F02F09[[#All],[行ラベル]],0),MATCH($BC$4,年齢階層×在院期間区分F02F09[#Headers],0)),0)+IFERROR(INDEX(年齢階層×在院期間区分F02F09[#All],MATCH($AN6,年齢階層×在院期間区分F02F09[[#All],[行ラベル]],0),MATCH($BD$4,年齢階層×在院期間区分F02F09[#Headers],0)),0)</f>
        <v>0</v>
      </c>
      <c r="J6" s="144">
        <f t="shared" si="3"/>
        <v>0</v>
      </c>
      <c r="K6" s="127">
        <f t="shared" si="4"/>
        <v>1</v>
      </c>
      <c r="L6" s="144">
        <f t="shared" si="5"/>
        <v>5.8038305281485781E-4</v>
      </c>
      <c r="M6" s="745"/>
      <c r="N6" s="745"/>
      <c r="O6" s="745"/>
      <c r="R6" s="41" t="s">
        <v>4</v>
      </c>
      <c r="S6" s="49">
        <v>1</v>
      </c>
      <c r="T6" s="49">
        <v>1</v>
      </c>
      <c r="U6" s="49">
        <v>1</v>
      </c>
      <c r="V6" s="49">
        <v>1</v>
      </c>
      <c r="W6" s="49">
        <v>0</v>
      </c>
      <c r="X6" s="49">
        <v>0</v>
      </c>
      <c r="Y6" s="49">
        <v>0</v>
      </c>
      <c r="Z6" s="49">
        <v>1</v>
      </c>
      <c r="AA6" s="49">
        <v>0</v>
      </c>
      <c r="AB6" s="49">
        <v>0</v>
      </c>
      <c r="AC6" s="49">
        <v>0</v>
      </c>
      <c r="AD6" s="49">
        <v>0</v>
      </c>
      <c r="AE6" s="49">
        <v>1</v>
      </c>
      <c r="AF6" s="49">
        <v>0</v>
      </c>
      <c r="AG6" s="49">
        <v>0</v>
      </c>
      <c r="AH6" s="49">
        <v>0</v>
      </c>
      <c r="AN6" s="41" t="s">
        <v>3</v>
      </c>
      <c r="AO6" s="50"/>
      <c r="AP6" s="50"/>
      <c r="AR6" s="54"/>
    </row>
    <row r="7" spans="2:56" s="16" customFormat="1" ht="18.75" customHeight="1" x14ac:dyDescent="0.2">
      <c r="B7" s="149" t="s">
        <v>4</v>
      </c>
      <c r="C7" s="150">
        <f>IFERROR(INDEX(年齢階層×在院期間区分F02F09[#All],MATCH($AN7,年齢階層×在院期間区分F02F09[[#All],[行ラベル]],0),MATCH($AO$4,年齢階層×在院期間区分F02F09[#Headers],0)),0)+IFERROR(INDEX(年齢階層×在院期間区分F02F09[#All],MATCH($AN7,年齢階層×在院期間区分F02F09[[#All],[行ラベル]],0),MATCH($AP$4,年齢階層×在院期間区分F02F09[#Headers],0)),0)+IFERROR(INDEX(年齢階層×在院期間区分F02F09[#All],MATCH($AN7,年齢階層×在院期間区分F02F09[[#All],[行ラベル]],0),MATCH($AQ$4,年齢階層×在院期間区分F02F09[#Headers],0)),0)+IFERROR(INDEX(年齢階層×在院期間区分F02F09[#All],MATCH($AN7,年齢階層×在院期間区分F02F09[[#All],[行ラベル]],0),MATCH($AR$4,年齢階層×在院期間区分F02F09[#Headers],0)),0)</f>
        <v>4</v>
      </c>
      <c r="D7" s="144">
        <f t="shared" si="0"/>
        <v>4.1928721174004195E-3</v>
      </c>
      <c r="E7" s="151">
        <f>IFERROR(INDEX(年齢階層×在院期間区分F02F09[#All],MATCH($AN7,年齢階層×在院期間区分F02F09[[#All],[行ラベル]],0),MATCH($AS$4,年齢階層×在院期間区分F02F09[#Headers],0)),0)+IFERROR(INDEX(年齢階層×在院期間区分F02F09[#All],MATCH($AN7,年齢階層×在院期間区分F02F09[[#All],[行ラベル]],0),MATCH($AT$4,年齢階層×在院期間区分F02F09[#Headers],0)),0)+IFERROR(INDEX(年齢階層×在院期間区分F02F09[#All],MATCH($AN7,年齢階層×在院期間区分F02F09[[#All],[行ラベル]],0),MATCH($AU$4,年齢階層×在院期間区分F02F09[#Headers],0)),0)+IFERROR(INDEX(年齢階層×在院期間区分F02F09[#All],MATCH($AN7,年齢階層×在院期間区分F02F09[[#All],[行ラベル]],0),MATCH($AV$4,年齢階層×在院期間区分F02F09[#Headers],0)),0)+IFERROR(INDEX(年齢階層×在院期間区分F02F09[#All],MATCH($AN7,年齢階層×在院期間区分F02F09[[#All],[行ラベル]],0),MATCH($AW$4,年齢階層×在院期間区分F02F09[#Headers],0)),0)</f>
        <v>1</v>
      </c>
      <c r="F7" s="128">
        <f t="shared" si="1"/>
        <v>1.9011406844106464E-3</v>
      </c>
      <c r="G7" s="150">
        <f>IFERROR(INDEX(年齢階層×在院期間区分F02F09[#All],MATCH($AN7,年齢階層×在院期間区分F02F09[[#All],[行ラベル]],0),MATCH($AX$4,年齢階層×在院期間区分F02F09[#Headers],0)),0)+IFERROR(INDEX(年齢階層×在院期間区分F02F09[#All],MATCH($AN7,年齢階層×在院期間区分F02F09[[#All],[行ラベル]],0),MATCH($AY$4,年齢階層×在院期間区分F02F09[#Headers],0)),0)+IFERROR(INDEX(年齢階層×在院期間区分F02F09[#All],MATCH($AN7,年齢階層×在院期間区分F02F09[[#All],[行ラベル]],0),MATCH($AZ$4,年齢階層×在院期間区分F02F09[#Headers],0)),0)+IFERROR(INDEX(年齢階層×在院期間区分F02F09[#All],MATCH($AN7,年齢階層×在院期間区分F02F09[[#All],[行ラベル]],0),MATCH($BA$4,年齢階層×在院期間区分F02F09[#Headers],0)),0)+IFERROR(INDEX(年齢階層×在院期間区分F02F09[#All],MATCH($AN7,年齢階層×在院期間区分F02F09[[#All],[行ラベル]],0),MATCH($BB$4,年齢階層×在院期間区分F02F09[#Headers],0)),0)</f>
        <v>1</v>
      </c>
      <c r="H7" s="128">
        <f t="shared" si="2"/>
        <v>6.024096385542169E-3</v>
      </c>
      <c r="I7" s="127">
        <f>IFERROR(INDEX(年齢階層×在院期間区分F02F09[#All],MATCH($AN7,年齢階層×在院期間区分F02F09[[#All],[行ラベル]],0),MATCH($BC$4,年齢階層×在院期間区分F02F09[#Headers],0)),0)+IFERROR(INDEX(年齢階層×在院期間区分F02F09[#All],MATCH($AN7,年齢階層×在院期間区分F02F09[[#All],[行ラベル]],0),MATCH($BD$4,年齢階層×在院期間区分F02F09[#Headers],0)),0)</f>
        <v>0</v>
      </c>
      <c r="J7" s="144">
        <f t="shared" si="3"/>
        <v>0</v>
      </c>
      <c r="K7" s="127">
        <f t="shared" si="4"/>
        <v>6</v>
      </c>
      <c r="L7" s="144">
        <f t="shared" si="5"/>
        <v>3.4822983168891469E-3</v>
      </c>
      <c r="M7" s="745"/>
      <c r="N7" s="745"/>
      <c r="O7" s="745"/>
      <c r="R7" s="41" t="s">
        <v>5</v>
      </c>
      <c r="S7" s="49">
        <v>3</v>
      </c>
      <c r="T7" s="49">
        <v>1</v>
      </c>
      <c r="U7" s="49">
        <v>4</v>
      </c>
      <c r="V7" s="49">
        <v>4</v>
      </c>
      <c r="W7" s="49">
        <v>1</v>
      </c>
      <c r="X7" s="49">
        <v>2</v>
      </c>
      <c r="Y7" s="49">
        <v>1</v>
      </c>
      <c r="Z7" s="49">
        <v>0</v>
      </c>
      <c r="AA7" s="49">
        <v>0</v>
      </c>
      <c r="AB7" s="49">
        <v>0</v>
      </c>
      <c r="AC7" s="49">
        <v>1</v>
      </c>
      <c r="AD7" s="49">
        <v>2</v>
      </c>
      <c r="AE7" s="49">
        <v>1</v>
      </c>
      <c r="AF7" s="49">
        <v>0</v>
      </c>
      <c r="AG7" s="49">
        <v>4</v>
      </c>
      <c r="AH7" s="49">
        <v>0</v>
      </c>
      <c r="AN7" s="41" t="s">
        <v>4</v>
      </c>
      <c r="AO7" s="50"/>
      <c r="AP7" s="50"/>
      <c r="AR7" s="54"/>
    </row>
    <row r="8" spans="2:56" s="16" customFormat="1" ht="18.75" customHeight="1" x14ac:dyDescent="0.2">
      <c r="B8" s="149" t="s">
        <v>5</v>
      </c>
      <c r="C8" s="127">
        <f>IFERROR(INDEX(年齢階層×在院期間区分F02F09[#All],MATCH($AN8,年齢階層×在院期間区分F02F09[[#All],[行ラベル]],0),MATCH($AO$4,年齢階層×在院期間区分F02F09[#Headers],0)),0)+IFERROR(INDEX(年齢階層×在院期間区分F02F09[#All],MATCH($AN8,年齢階層×在院期間区分F02F09[[#All],[行ラベル]],0),MATCH($AP$4,年齢階層×在院期間区分F02F09[#Headers],0)),0)+IFERROR(INDEX(年齢階層×在院期間区分F02F09[#All],MATCH($AN8,年齢階層×在院期間区分F02F09[[#All],[行ラベル]],0),MATCH($AQ$4,年齢階層×在院期間区分F02F09[#Headers],0)),0)+IFERROR(INDEX(年齢階層×在院期間区分F02F09[#All],MATCH($AN8,年齢階層×在院期間区分F02F09[[#All],[行ラベル]],0),MATCH($AR$4,年齢階層×在院期間区分F02F09[#Headers],0)),0)</f>
        <v>12</v>
      </c>
      <c r="D8" s="144">
        <f t="shared" si="0"/>
        <v>1.2578616352201259E-2</v>
      </c>
      <c r="E8" s="127">
        <f>IFERROR(INDEX(年齢階層×在院期間区分F02F09[#All],MATCH($AN8,年齢階層×在院期間区分F02F09[[#All],[行ラベル]],0),MATCH($AS$4,年齢階層×在院期間区分F02F09[#Headers],0)),0)+IFERROR(INDEX(年齢階層×在院期間区分F02F09[#All],MATCH($AN8,年齢階層×在院期間区分F02F09[[#All],[行ラベル]],0),MATCH($AT$4,年齢階層×在院期間区分F02F09[#Headers],0)),0)+IFERROR(INDEX(年齢階層×在院期間区分F02F09[#All],MATCH($AN8,年齢階層×在院期間区分F02F09[[#All],[行ラベル]],0),MATCH($AU$4,年齢階層×在院期間区分F02F09[#Headers],0)),0)+IFERROR(INDEX(年齢階層×在院期間区分F02F09[#All],MATCH($AN8,年齢階層×在院期間区分F02F09[[#All],[行ラベル]],0),MATCH($AV$4,年齢階層×在院期間区分F02F09[#Headers],0)),0)+IFERROR(INDEX(年齢階層×在院期間区分F02F09[#All],MATCH($AN8,年齢階層×在院期間区分F02F09[[#All],[行ラベル]],0),MATCH($AW$4,年齢階層×在院期間区分F02F09[#Headers],0)),0)</f>
        <v>4</v>
      </c>
      <c r="F8" s="128">
        <f t="shared" si="1"/>
        <v>7.6045627376425855E-3</v>
      </c>
      <c r="G8" s="150">
        <f>IFERROR(INDEX(年齢階層×在院期間区分F02F09[#All],MATCH($AN8,年齢階層×在院期間区分F02F09[[#All],[行ラベル]],0),MATCH($AX$4,年齢階層×在院期間区分F02F09[#Headers],0)),0)+IFERROR(INDEX(年齢階層×在院期間区分F02F09[#All],MATCH($AN8,年齢階層×在院期間区分F02F09[[#All],[行ラベル]],0),MATCH($AY$4,年齢階層×在院期間区分F02F09[#Headers],0)),0)+IFERROR(INDEX(年齢階層×在院期間区分F02F09[#All],MATCH($AN8,年齢階層×在院期間区分F02F09[[#All],[行ラベル]],0),MATCH($AZ$4,年齢階層×在院期間区分F02F09[#Headers],0)),0)+IFERROR(INDEX(年齢階層×在院期間区分F02F09[#All],MATCH($AN8,年齢階層×在院期間区分F02F09[[#All],[行ラベル]],0),MATCH($BA$4,年齢階層×在院期間区分F02F09[#Headers],0)),0)+IFERROR(INDEX(年齢階層×在院期間区分F02F09[#All],MATCH($AN8,年齢階層×在院期間区分F02F09[[#All],[行ラベル]],0),MATCH($BB$4,年齢階層×在院期間区分F02F09[#Headers],0)),0)</f>
        <v>4</v>
      </c>
      <c r="H8" s="129">
        <f t="shared" si="2"/>
        <v>2.4096385542168676E-2</v>
      </c>
      <c r="I8" s="151">
        <f>IFERROR(INDEX(年齢階層×在院期間区分F02F09[#All],MATCH($AN8,年齢階層×在院期間区分F02F09[[#All],[行ラベル]],0),MATCH($BC$4,年齢階層×在院期間区分F02F09[#Headers],0)),0)+IFERROR(INDEX(年齢階層×在院期間区分F02F09[#All],MATCH($AN8,年齢階層×在院期間区分F02F09[[#All],[行ラベル]],0),MATCH($BD$4,年齢階層×在院期間区分F02F09[#Headers],0)),0)</f>
        <v>4</v>
      </c>
      <c r="J8" s="144">
        <f t="shared" si="3"/>
        <v>5.1948051948051951E-2</v>
      </c>
      <c r="K8" s="127">
        <f t="shared" si="4"/>
        <v>24</v>
      </c>
      <c r="L8" s="144">
        <f t="shared" si="5"/>
        <v>1.3929193267556587E-2</v>
      </c>
      <c r="M8" s="745"/>
      <c r="N8" s="745"/>
      <c r="O8" s="745"/>
      <c r="R8" s="41" t="s">
        <v>6</v>
      </c>
      <c r="S8" s="49">
        <v>9</v>
      </c>
      <c r="T8" s="49">
        <v>13</v>
      </c>
      <c r="U8" s="49">
        <v>14</v>
      </c>
      <c r="V8" s="49">
        <v>7</v>
      </c>
      <c r="W8" s="49">
        <v>5</v>
      </c>
      <c r="X8" s="49">
        <v>6</v>
      </c>
      <c r="Y8" s="49">
        <v>11</v>
      </c>
      <c r="Z8" s="49">
        <v>3</v>
      </c>
      <c r="AA8" s="49">
        <v>2</v>
      </c>
      <c r="AB8" s="49">
        <v>7</v>
      </c>
      <c r="AC8" s="49">
        <v>5</v>
      </c>
      <c r="AD8" s="49">
        <v>1</v>
      </c>
      <c r="AE8" s="49">
        <v>4</v>
      </c>
      <c r="AF8" s="49">
        <v>1</v>
      </c>
      <c r="AG8" s="49">
        <v>6</v>
      </c>
      <c r="AH8" s="49">
        <v>2</v>
      </c>
      <c r="AN8" s="41" t="s">
        <v>5</v>
      </c>
      <c r="AO8" s="50"/>
      <c r="AP8" s="50"/>
      <c r="AR8" s="54"/>
    </row>
    <row r="9" spans="2:56" s="16" customFormat="1" ht="18.75" customHeight="1" x14ac:dyDescent="0.2">
      <c r="B9" s="149" t="s">
        <v>6</v>
      </c>
      <c r="C9" s="127">
        <f>IFERROR(INDEX(年齢階層×在院期間区分F02F09[#All],MATCH($AN9,年齢階層×在院期間区分F02F09[[#All],[行ラベル]],0),MATCH($AO$4,年齢階層×在院期間区分F02F09[#Headers],0)),0)+IFERROR(INDEX(年齢階層×在院期間区分F02F09[#All],MATCH($AN9,年齢階層×在院期間区分F02F09[[#All],[行ラベル]],0),MATCH($AP$4,年齢階層×在院期間区分F02F09[#Headers],0)),0)+IFERROR(INDEX(年齢階層×在院期間区分F02F09[#All],MATCH($AN9,年齢階層×在院期間区分F02F09[[#All],[行ラベル]],0),MATCH($AQ$4,年齢階層×在院期間区分F02F09[#Headers],0)),0)+IFERROR(INDEX(年齢階層×在院期間区分F02F09[#All],MATCH($AN9,年齢階層×在院期間区分F02F09[[#All],[行ラベル]],0),MATCH($AR$4,年齢階層×在院期間区分F02F09[#Headers],0)),0)</f>
        <v>43</v>
      </c>
      <c r="D9" s="144">
        <f t="shared" si="0"/>
        <v>4.5073375262054509E-2</v>
      </c>
      <c r="E9" s="127">
        <f>IFERROR(INDEX(年齢階層×在院期間区分F02F09[#All],MATCH($AN9,年齢階層×在院期間区分F02F09[[#All],[行ラベル]],0),MATCH($AS$4,年齢階層×在院期間区分F02F09[#Headers],0)),0)+IFERROR(INDEX(年齢階層×在院期間区分F02F09[#All],MATCH($AN9,年齢階層×在院期間区分F02F09[[#All],[行ラベル]],0),MATCH($AT$4,年齢階層×在院期間区分F02F09[#Headers],0)),0)+IFERROR(INDEX(年齢階層×在院期間区分F02F09[#All],MATCH($AN9,年齢階層×在院期間区分F02F09[[#All],[行ラベル]],0),MATCH($AU$4,年齢階層×在院期間区分F02F09[#Headers],0)),0)+IFERROR(INDEX(年齢階層×在院期間区分F02F09[#All],MATCH($AN9,年齢階層×在院期間区分F02F09[[#All],[行ラベル]],0),MATCH($AV$4,年齢階層×在院期間区分F02F09[#Headers],0)),0)+IFERROR(INDEX(年齢階層×在院期間区分F02F09[#All],MATCH($AN9,年齢階層×在院期間区分F02F09[[#All],[行ラベル]],0),MATCH($AW$4,年齢階層×在院期間区分F02F09[#Headers],0)),0)</f>
        <v>27</v>
      </c>
      <c r="F9" s="129">
        <f t="shared" si="1"/>
        <v>5.1330798479087454E-2</v>
      </c>
      <c r="G9" s="150">
        <f>IFERROR(INDEX(年齢階層×在院期間区分F02F09[#All],MATCH($AN9,年齢階層×在院期間区分F02F09[[#All],[行ラベル]],0),MATCH($AX$4,年齢階層×在院期間区分F02F09[#Headers],0)),0)+IFERROR(INDEX(年齢階層×在院期間区分F02F09[#All],MATCH($AN9,年齢階層×在院期間区分F02F09[[#All],[行ラベル]],0),MATCH($AY$4,年齢階層×在院期間区分F02F09[#Headers],0)),0)+IFERROR(INDEX(年齢階層×在院期間区分F02F09[#All],MATCH($AN9,年齢階層×在院期間区分F02F09[[#All],[行ラベル]],0),MATCH($AZ$4,年齢階層×在院期間区分F02F09[#Headers],0)),0)+IFERROR(INDEX(年齢階層×在院期間区分F02F09[#All],MATCH($AN9,年齢階層×在院期間区分F02F09[[#All],[行ラベル]],0),MATCH($BA$4,年齢階層×在院期間区分F02F09[#Headers],0)),0)+IFERROR(INDEX(年齢階層×在院期間区分F02F09[#All],MATCH($AN9,年齢階層×在院期間区分F02F09[[#All],[行ラベル]],0),MATCH($BB$4,年齢階層×在院期間区分F02F09[#Headers],0)),0)</f>
        <v>18</v>
      </c>
      <c r="H9" s="128">
        <f t="shared" si="2"/>
        <v>0.10843373493975904</v>
      </c>
      <c r="I9" s="150">
        <f>IFERROR(INDEX(年齢階層×在院期間区分F02F09[#All],MATCH($AN9,年齢階層×在院期間区分F02F09[[#All],[行ラベル]],0),MATCH($BC$4,年齢階層×在院期間区分F02F09[#Headers],0)),0)+IFERROR(INDEX(年齢階層×在院期間区分F02F09[#All],MATCH($AN9,年齢階層×在院期間区分F02F09[[#All],[行ラベル]],0),MATCH($BD$4,年齢階層×在院期間区分F02F09[#Headers],0)),0)</f>
        <v>8</v>
      </c>
      <c r="J9" s="144">
        <f t="shared" si="3"/>
        <v>0.1038961038961039</v>
      </c>
      <c r="K9" s="127">
        <f t="shared" si="4"/>
        <v>96</v>
      </c>
      <c r="L9" s="128">
        <f t="shared" si="5"/>
        <v>5.571677307022635E-2</v>
      </c>
      <c r="M9" s="745"/>
      <c r="N9" s="745"/>
      <c r="O9" s="745"/>
      <c r="R9" s="41" t="s">
        <v>7</v>
      </c>
      <c r="S9" s="49">
        <v>14</v>
      </c>
      <c r="T9" s="49">
        <v>25</v>
      </c>
      <c r="U9" s="49">
        <v>14</v>
      </c>
      <c r="V9" s="49">
        <v>24</v>
      </c>
      <c r="W9" s="49">
        <v>18</v>
      </c>
      <c r="X9" s="49">
        <v>8</v>
      </c>
      <c r="Y9" s="49">
        <v>15</v>
      </c>
      <c r="Z9" s="49">
        <v>11</v>
      </c>
      <c r="AA9" s="49">
        <v>6</v>
      </c>
      <c r="AB9" s="49">
        <v>10</v>
      </c>
      <c r="AC9" s="49">
        <v>1</v>
      </c>
      <c r="AD9" s="49">
        <v>4</v>
      </c>
      <c r="AE9" s="49">
        <v>5</v>
      </c>
      <c r="AF9" s="49">
        <v>2</v>
      </c>
      <c r="AG9" s="49">
        <v>12</v>
      </c>
      <c r="AH9" s="49">
        <v>6</v>
      </c>
      <c r="AN9" s="41" t="s">
        <v>6</v>
      </c>
      <c r="AO9" s="50"/>
      <c r="AP9" s="50"/>
      <c r="AR9" s="54"/>
    </row>
    <row r="10" spans="2:56" s="16" customFormat="1" ht="18.75" customHeight="1" x14ac:dyDescent="0.2">
      <c r="B10" s="149" t="s">
        <v>7</v>
      </c>
      <c r="C10" s="127">
        <f>IFERROR(INDEX(年齢階層×在院期間区分F02F09[#All],MATCH($AN10,年齢階層×在院期間区分F02F09[[#All],[行ラベル]],0),MATCH($AO$4,年齢階層×在院期間区分F02F09[#Headers],0)),0)+IFERROR(INDEX(年齢階層×在院期間区分F02F09[#All],MATCH($AN10,年齢階層×在院期間区分F02F09[[#All],[行ラベル]],0),MATCH($AP$4,年齢階層×在院期間区分F02F09[#Headers],0)),0)+IFERROR(INDEX(年齢階層×在院期間区分F02F09[#All],MATCH($AN10,年齢階層×在院期間区分F02F09[[#All],[行ラベル]],0),MATCH($AQ$4,年齢階層×在院期間区分F02F09[#Headers],0)),0)+IFERROR(INDEX(年齢階層×在院期間区分F02F09[#All],MATCH($AN10,年齢階層×在院期間区分F02F09[[#All],[行ラベル]],0),MATCH($AR$4,年齢階層×在院期間区分F02F09[#Headers],0)),0)</f>
        <v>77</v>
      </c>
      <c r="D10" s="128">
        <f t="shared" si="0"/>
        <v>8.0712788259958076E-2</v>
      </c>
      <c r="E10" s="151">
        <f>IFERROR(INDEX(年齢階層×在院期間区分F02F09[#All],MATCH($AN10,年齢階層×在院期間区分F02F09[[#All],[行ラベル]],0),MATCH($AS$4,年齢階層×在院期間区分F02F09[#Headers],0)),0)+IFERROR(INDEX(年齢階層×在院期間区分F02F09[#All],MATCH($AN10,年齢階層×在院期間区分F02F09[[#All],[行ラベル]],0),MATCH($AT$4,年齢階層×在院期間区分F02F09[#Headers],0)),0)+IFERROR(INDEX(年齢階層×在院期間区分F02F09[#All],MATCH($AN10,年齢階層×在院期間区分F02F09[[#All],[行ラベル]],0),MATCH($AU$4,年齢階層×在院期間区分F02F09[#Headers],0)),0)+IFERROR(INDEX(年齢階層×在院期間区分F02F09[#All],MATCH($AN10,年齢階層×在院期間区分F02F09[[#All],[行ラベル]],0),MATCH($AV$4,年齢階層×在院期間区分F02F09[#Headers],0)),0)+IFERROR(INDEX(年齢階層×在院期間区分F02F09[#All],MATCH($AN10,年齢階層×在院期間区分F02F09[[#All],[行ラベル]],0),MATCH($AW$4,年齢階層×在院期間区分F02F09[#Headers],0)),0)</f>
        <v>58</v>
      </c>
      <c r="F10" s="144">
        <f t="shared" si="1"/>
        <v>0.11026615969581749</v>
      </c>
      <c r="G10" s="150">
        <f>IFERROR(INDEX(年齢階層×在院期間区分F02F09[#All],MATCH($AN10,年齢階層×在院期間区分F02F09[[#All],[行ラベル]],0),MATCH($AX$4,年齢階層×在院期間区分F02F09[#Headers],0)),0)+IFERROR(INDEX(年齢階層×在院期間区分F02F09[#All],MATCH($AN10,年齢階層×在院期間区分F02F09[[#All],[行ラベル]],0),MATCH($AY$4,年齢階層×在院期間区分F02F09[#Headers],0)),0)+IFERROR(INDEX(年齢階層×在院期間区分F02F09[#All],MATCH($AN10,年齢階層×在院期間区分F02F09[[#All],[行ラベル]],0),MATCH($AZ$4,年齢階層×在院期間区分F02F09[#Headers],0)),0)+IFERROR(INDEX(年齢階層×在院期間区分F02F09[#All],MATCH($AN10,年齢階層×在院期間区分F02F09[[#All],[行ラベル]],0),MATCH($BA$4,年齢階層×在院期間区分F02F09[#Headers],0)),0)+IFERROR(INDEX(年齢階層×在院期間区分F02F09[#All],MATCH($AN10,年齢階層×在院期間区分F02F09[[#All],[行ラベル]],0),MATCH($BB$4,年齢階層×在院期間区分F02F09[#Headers],0)),0)</f>
        <v>22</v>
      </c>
      <c r="H10" s="129">
        <f t="shared" si="2"/>
        <v>0.13253012048192772</v>
      </c>
      <c r="I10" s="127">
        <f>IFERROR(INDEX(年齢階層×在院期間区分F02F09[#All],MATCH($AN10,年齢階層×在院期間区分F02F09[[#All],[行ラベル]],0),MATCH($BC$4,年齢階層×在院期間区分F02F09[#Headers],0)),0)+IFERROR(INDEX(年齢階層×在院期間区分F02F09[#All],MATCH($AN10,年齢階層×在院期間区分F02F09[[#All],[行ラベル]],0),MATCH($BD$4,年齢階層×在院期間区分F02F09[#Headers],0)),0)</f>
        <v>18</v>
      </c>
      <c r="J10" s="128">
        <f t="shared" si="3"/>
        <v>0.23376623376623376</v>
      </c>
      <c r="K10" s="127">
        <f t="shared" si="4"/>
        <v>175</v>
      </c>
      <c r="L10" s="128">
        <f t="shared" si="5"/>
        <v>0.10156703424260012</v>
      </c>
      <c r="M10" s="745"/>
      <c r="N10" s="745"/>
      <c r="O10" s="745"/>
      <c r="R10" s="41" t="s">
        <v>8</v>
      </c>
      <c r="S10" s="49">
        <v>51</v>
      </c>
      <c r="T10" s="49">
        <v>95</v>
      </c>
      <c r="U10" s="49">
        <v>64</v>
      </c>
      <c r="V10" s="49">
        <v>63</v>
      </c>
      <c r="W10" s="49">
        <v>45</v>
      </c>
      <c r="X10" s="49">
        <v>19</v>
      </c>
      <c r="Y10" s="49">
        <v>33</v>
      </c>
      <c r="Z10" s="49">
        <v>19</v>
      </c>
      <c r="AA10" s="49">
        <v>17</v>
      </c>
      <c r="AB10" s="49">
        <v>15</v>
      </c>
      <c r="AC10" s="49">
        <v>6</v>
      </c>
      <c r="AD10" s="49">
        <v>10</v>
      </c>
      <c r="AE10" s="49">
        <v>7</v>
      </c>
      <c r="AF10" s="49">
        <v>3</v>
      </c>
      <c r="AG10" s="49">
        <v>7</v>
      </c>
      <c r="AH10" s="49">
        <v>12</v>
      </c>
      <c r="AN10" s="41" t="s">
        <v>7</v>
      </c>
      <c r="AO10" s="50"/>
      <c r="AP10" s="50"/>
      <c r="AR10" s="54"/>
    </row>
    <row r="11" spans="2:56" s="16" customFormat="1" ht="18.75" customHeight="1" x14ac:dyDescent="0.2">
      <c r="B11" s="149" t="s">
        <v>8</v>
      </c>
      <c r="C11" s="151">
        <f>IFERROR(INDEX(年齢階層×在院期間区分F02F09[#All],MATCH($AN11,年齢階層×在院期間区分F02F09[[#All],[行ラベル]],0),MATCH($AO$4,年齢階層×在院期間区分F02F09[#Headers],0)),0)+IFERROR(INDEX(年齢階層×在院期間区分F02F09[#All],MATCH($AN11,年齢階層×在院期間区分F02F09[[#All],[行ラベル]],0),MATCH($AP$4,年齢階層×在院期間区分F02F09[#Headers],0)),0)+IFERROR(INDEX(年齢階層×在院期間区分F02F09[#All],MATCH($AN11,年齢階層×在院期間区分F02F09[[#All],[行ラベル]],0),MATCH($AQ$4,年齢階層×在院期間区分F02F09[#Headers],0)),0)+IFERROR(INDEX(年齢階層×在院期間区分F02F09[#All],MATCH($AN11,年齢階層×在院期間区分F02F09[[#All],[行ラベル]],0),MATCH($AR$4,年齢階層×在院期間区分F02F09[#Headers],0)),0)</f>
        <v>273</v>
      </c>
      <c r="D11" s="129">
        <f t="shared" si="0"/>
        <v>0.28616352201257861</v>
      </c>
      <c r="E11" s="150">
        <f>IFERROR(INDEX(年齢階層×在院期間区分F02F09[#All],MATCH($AN11,年齢階層×在院期間区分F02F09[[#All],[行ラベル]],0),MATCH($AS$4,年齢階層×在院期間区分F02F09[#Headers],0)),0)+IFERROR(INDEX(年齢階層×在院期間区分F02F09[#All],MATCH($AN11,年齢階層×在院期間区分F02F09[[#All],[行ラベル]],0),MATCH($AT$4,年齢階層×在院期間区分F02F09[#Headers],0)),0)+IFERROR(INDEX(年齢階層×在院期間区分F02F09[#All],MATCH($AN11,年齢階層×在院期間区分F02F09[[#All],[行ラベル]],0),MATCH($AU$4,年齢階層×在院期間区分F02F09[#Headers],0)),0)+IFERROR(INDEX(年齢階層×在院期間区分F02F09[#All],MATCH($AN11,年齢階層×在院期間区分F02F09[[#All],[行ラベル]],0),MATCH($AV$4,年齢階層×在院期間区分F02F09[#Headers],0)),0)+IFERROR(INDEX(年齢階層×在院期間区分F02F09[#All],MATCH($AN11,年齢階層×在院期間区分F02F09[[#All],[行ラベル]],0),MATCH($AW$4,年齢階層×在院期間区分F02F09[#Headers],0)),0)</f>
        <v>133</v>
      </c>
      <c r="F11" s="128">
        <f t="shared" si="1"/>
        <v>0.25285171102661597</v>
      </c>
      <c r="G11" s="150">
        <f>IFERROR(INDEX(年齢階層×在院期間区分F02F09[#All],MATCH($AN11,年齢階層×在院期間区分F02F09[[#All],[行ラベル]],0),MATCH($AX$4,年齢階層×在院期間区分F02F09[#Headers],0)),0)+IFERROR(INDEX(年齢階層×在院期間区分F02F09[#All],MATCH($AN11,年齢階層×在院期間区分F02F09[[#All],[行ラベル]],0),MATCH($AY$4,年齢階層×在院期間区分F02F09[#Headers],0)),0)+IFERROR(INDEX(年齢階層×在院期間区分F02F09[#All],MATCH($AN11,年齢階層×在院期間区分F02F09[[#All],[行ラベル]],0),MATCH($AZ$4,年齢階層×在院期間区分F02F09[#Headers],0)),0)+IFERROR(INDEX(年齢階層×在院期間区分F02F09[#All],MATCH($AN11,年齢階層×在院期間区分F02F09[[#All],[行ラベル]],0),MATCH($BA$4,年齢階層×在院期間区分F02F09[#Headers],0)),0)+IFERROR(INDEX(年齢階層×在院期間区分F02F09[#All],MATCH($AN11,年齢階層×在院期間区分F02F09[[#All],[行ラベル]],0),MATCH($BB$4,年齢階層×在院期間区分F02F09[#Headers],0)),0)</f>
        <v>41</v>
      </c>
      <c r="H11" s="128">
        <f t="shared" si="2"/>
        <v>0.24698795180722891</v>
      </c>
      <c r="I11" s="127">
        <f>IFERROR(INDEX(年齢階層×在院期間区分F02F09[#All],MATCH($AN11,年齢階層×在院期間区分F02F09[[#All],[行ラベル]],0),MATCH($BC$4,年齢階層×在院期間区分F02F09[#Headers],0)),0)+IFERROR(INDEX(年齢階層×在院期間区分F02F09[#All],MATCH($AN11,年齢階層×在院期間区分F02F09[[#All],[行ラベル]],0),MATCH($BD$4,年齢階層×在院期間区分F02F09[#Headers],0)),0)</f>
        <v>19</v>
      </c>
      <c r="J11" s="128">
        <f t="shared" si="3"/>
        <v>0.24675324675324675</v>
      </c>
      <c r="K11" s="127">
        <f t="shared" si="4"/>
        <v>466</v>
      </c>
      <c r="L11" s="128">
        <f t="shared" si="5"/>
        <v>0.27045850261172372</v>
      </c>
      <c r="M11" s="745"/>
      <c r="N11" s="745"/>
      <c r="O11" s="745"/>
      <c r="R11" s="41" t="s">
        <v>9</v>
      </c>
      <c r="S11" s="49">
        <v>96</v>
      </c>
      <c r="T11" s="49">
        <v>145</v>
      </c>
      <c r="U11" s="49">
        <v>92</v>
      </c>
      <c r="V11" s="49">
        <v>115</v>
      </c>
      <c r="W11" s="49">
        <v>66</v>
      </c>
      <c r="X11" s="49">
        <v>51</v>
      </c>
      <c r="Y11" s="49">
        <v>58</v>
      </c>
      <c r="Z11" s="49">
        <v>35</v>
      </c>
      <c r="AA11" s="49">
        <v>18</v>
      </c>
      <c r="AB11" s="49">
        <v>26</v>
      </c>
      <c r="AC11" s="49">
        <v>12</v>
      </c>
      <c r="AD11" s="49">
        <v>8</v>
      </c>
      <c r="AE11" s="49">
        <v>5</v>
      </c>
      <c r="AF11" s="49">
        <v>7</v>
      </c>
      <c r="AG11" s="49">
        <v>15</v>
      </c>
      <c r="AH11" s="49">
        <v>4</v>
      </c>
      <c r="AN11" s="41" t="s">
        <v>8</v>
      </c>
      <c r="AO11" s="50"/>
      <c r="AP11" s="50"/>
      <c r="AR11" s="54"/>
    </row>
    <row r="12" spans="2:56" s="16" customFormat="1" ht="18.75" customHeight="1" thickBot="1" x14ac:dyDescent="0.25">
      <c r="B12" s="149" t="s">
        <v>9</v>
      </c>
      <c r="C12" s="127">
        <f>IFERROR(INDEX(年齢階層×在院期間区分F02F09[#All],MATCH($AN12,年齢階層×在院期間区分F02F09[[#All],[行ラベル]],0),MATCH($AO$4,年齢階層×在院期間区分F02F09[#Headers],0)),0)+IFERROR(INDEX(年齢階層×在院期間区分F02F09[#All],MATCH($AN12,年齢階層×在院期間区分F02F09[[#All],[行ラベル]],0),MATCH($AP$4,年齢階層×在院期間区分F02F09[#Headers],0)),0)+IFERROR(INDEX(年齢階層×在院期間区分F02F09[#All],MATCH($AN12,年齢階層×在院期間区分F02F09[[#All],[行ラベル]],0),MATCH($AQ$4,年齢階層×在院期間区分F02F09[#Headers],0)),0)+IFERROR(INDEX(年齢階層×在院期間区分F02F09[#All],MATCH($AN12,年齢階層×在院期間区分F02F09[[#All],[行ラベル]],0),MATCH($AR$4,年齢階層×在院期間区分F02F09[#Headers],0)),0)</f>
        <v>448</v>
      </c>
      <c r="D12" s="128">
        <f t="shared" si="0"/>
        <v>0.46960167714884699</v>
      </c>
      <c r="E12" s="150">
        <f>IFERROR(INDEX(年齢階層×在院期間区分F02F09[#All],MATCH($AN12,年齢階層×在院期間区分F02F09[[#All],[行ラベル]],0),MATCH($AS$4,年齢階層×在院期間区分F02F09[#Headers],0)),0)+IFERROR(INDEX(年齢階層×在院期間区分F02F09[#All],MATCH($AN12,年齢階層×在院期間区分F02F09[[#All],[行ラベル]],0),MATCH($AT$4,年齢階層×在院期間区分F02F09[#Headers],0)),0)+IFERROR(INDEX(年齢階層×在院期間区分F02F09[#All],MATCH($AN12,年齢階層×在院期間区分F02F09[[#All],[行ラベル]],0),MATCH($AU$4,年齢階層×在院期間区分F02F09[#Headers],0)),0)+IFERROR(INDEX(年齢階層×在院期間区分F02F09[#All],MATCH($AN12,年齢階層×在院期間区分F02F09[[#All],[行ラベル]],0),MATCH($AV$4,年齢階層×在院期間区分F02F09[#Headers],0)),0)+IFERROR(INDEX(年齢階層×在院期間区分F02F09[#All],MATCH($AN12,年齢階層×在院期間区分F02F09[[#All],[行ラベル]],0),MATCH($AW$4,年齢階層×在院期間区分F02F09[#Headers],0)),0)</f>
        <v>228</v>
      </c>
      <c r="F12" s="129">
        <f t="shared" si="1"/>
        <v>0.43346007604562736</v>
      </c>
      <c r="G12" s="150">
        <f>IFERROR(INDEX(年齢階層×在院期間区分F02F09[#All],MATCH($AN12,年齢階層×在院期間区分F02F09[[#All],[行ラベル]],0),MATCH($AX$4,年齢階層×在院期間区分F02F09[#Headers],0)),0)+IFERROR(INDEX(年齢階層×在院期間区分F02F09[#All],MATCH($AN12,年齢階層×在院期間区分F02F09[[#All],[行ラベル]],0),MATCH($AY$4,年齢階層×在院期間区分F02F09[#Headers],0)),0)+IFERROR(INDEX(年齢階層×在院期間区分F02F09[#All],MATCH($AN12,年齢階層×在院期間区分F02F09[[#All],[行ラベル]],0),MATCH($AZ$4,年齢階層×在院期間区分F02F09[#Headers],0)),0)+IFERROR(INDEX(年齢階層×在院期間区分F02F09[#All],MATCH($AN12,年齢階層×在院期間区分F02F09[[#All],[行ラベル]],0),MATCH($BA$4,年齢階層×在院期間区分F02F09[#Headers],0)),0)+IFERROR(INDEX(年齢階層×在院期間区分F02F09[#All],MATCH($AN12,年齢階層×在院期間区分F02F09[[#All],[行ラベル]],0),MATCH($BB$4,年齢階層×在院期間区分F02F09[#Headers],0)),0)</f>
        <v>58</v>
      </c>
      <c r="H12" s="129">
        <f t="shared" si="2"/>
        <v>0.3493975903614458</v>
      </c>
      <c r="I12" s="151">
        <f>IFERROR(INDEX(年齢階層×在院期間区分F02F09[#All],MATCH($AN12,年齢階層×在院期間区分F02F09[[#All],[行ラベル]],0),MATCH($BC$4,年齢階層×在院期間区分F02F09[#Headers],0)),0)+IFERROR(INDEX(年齢階層×在院期間区分F02F09[#All],MATCH($AN12,年齢階層×在院期間区分F02F09[[#All],[行ラベル]],0),MATCH($BD$4,年齢階層×在院期間区分F02F09[#Headers],0)),0)</f>
        <v>19</v>
      </c>
      <c r="J12" s="128">
        <f t="shared" si="3"/>
        <v>0.24675324675324675</v>
      </c>
      <c r="K12" s="127">
        <f t="shared" si="4"/>
        <v>753</v>
      </c>
      <c r="L12" s="128">
        <f t="shared" si="5"/>
        <v>0.43702843876958791</v>
      </c>
      <c r="M12" s="745"/>
      <c r="N12" s="745"/>
      <c r="O12" s="745"/>
      <c r="R12" s="41" t="s">
        <v>10</v>
      </c>
      <c r="S12" s="49">
        <v>22</v>
      </c>
      <c r="T12" s="49">
        <v>32</v>
      </c>
      <c r="U12" s="49">
        <v>18</v>
      </c>
      <c r="V12" s="49">
        <v>23</v>
      </c>
      <c r="W12" s="49">
        <v>16</v>
      </c>
      <c r="X12" s="49">
        <v>13</v>
      </c>
      <c r="Y12" s="49">
        <v>23</v>
      </c>
      <c r="Z12" s="49">
        <v>14</v>
      </c>
      <c r="AA12" s="49">
        <v>9</v>
      </c>
      <c r="AB12" s="49">
        <v>8</v>
      </c>
      <c r="AC12" s="49">
        <v>6</v>
      </c>
      <c r="AD12" s="49">
        <v>5</v>
      </c>
      <c r="AE12" s="49">
        <v>2</v>
      </c>
      <c r="AF12" s="49">
        <v>1</v>
      </c>
      <c r="AG12" s="49">
        <v>8</v>
      </c>
      <c r="AH12" s="49">
        <v>1</v>
      </c>
      <c r="AN12" s="41" t="s">
        <v>9</v>
      </c>
      <c r="AO12" s="50"/>
      <c r="AP12" s="50"/>
      <c r="AR12" s="54"/>
    </row>
    <row r="13" spans="2:56" s="16" customFormat="1" ht="18.75" customHeight="1" thickTop="1" thickBot="1" x14ac:dyDescent="0.25">
      <c r="B13" s="152" t="s">
        <v>10</v>
      </c>
      <c r="C13" s="153">
        <f>IFERROR(INDEX(年齢階層×在院期間区分F02F09[#All],MATCH($AN13,年齢階層×在院期間区分F02F09[[#All],[行ラベル]],0),MATCH($AO$4,年齢階層×在院期間区分F02F09[#Headers],0)),0)+IFERROR(INDEX(年齢階層×在院期間区分F02F09[#All],MATCH($AN13,年齢階層×在院期間区分F02F09[[#All],[行ラベル]],0),MATCH($AP$4,年齢階層×在院期間区分F02F09[#Headers],0)),0)+IFERROR(INDEX(年齢階層×在院期間区分F02F09[#All],MATCH($AN13,年齢階層×在院期間区分F02F09[[#All],[行ラベル]],0),MATCH($AQ$4,年齢階層×在院期間区分F02F09[#Headers],0)),0)+IFERROR(INDEX(年齢階層×在院期間区分F02F09[#All],MATCH($AN13,年齢階層×在院期間区分F02F09[[#All],[行ラベル]],0),MATCH($AR$4,年齢階層×在院期間区分F02F09[#Headers],0)),0)</f>
        <v>95</v>
      </c>
      <c r="D13" s="131">
        <f t="shared" si="0"/>
        <v>9.9580712788259959E-2</v>
      </c>
      <c r="E13" s="130">
        <f>IFERROR(INDEX(年齢階層×在院期間区分F02F09[#All],MATCH($AN13,年齢階層×在院期間区分F02F09[[#All],[行ラベル]],0),MATCH($AS$4,年齢階層×在院期間区分F02F09[#Headers],0)),0)+IFERROR(INDEX(年齢階層×在院期間区分F02F09[#All],MATCH($AN13,年齢階層×在院期間区分F02F09[[#All],[行ラベル]],0),MATCH($AT$4,年齢階層×在院期間区分F02F09[#Headers],0)),0)+IFERROR(INDEX(年齢階層×在院期間区分F02F09[#All],MATCH($AN13,年齢階層×在院期間区分F02F09[[#All],[行ラベル]],0),MATCH($AU$4,年齢階層×在院期間区分F02F09[#Headers],0)),0)+IFERROR(INDEX(年齢階層×在院期間区分F02F09[#All],MATCH($AN13,年齢階層×在院期間区分F02F09[[#All],[行ラベル]],0),MATCH($AV$4,年齢階層×在院期間区分F02F09[#Headers],0)),0)+IFERROR(INDEX(年齢階層×在院期間区分F02F09[#All],MATCH($AN13,年齢階層×在院期間区分F02F09[[#All],[行ラベル]],0),MATCH($AW$4,年齢階層×在院期間区分F02F09[#Headers],0)),0)</f>
        <v>75</v>
      </c>
      <c r="F13" s="132">
        <f t="shared" si="1"/>
        <v>0.14258555133079848</v>
      </c>
      <c r="G13" s="130">
        <f>IFERROR(INDEX(年齢階層×在院期間区分F02F09[#All],MATCH($AN13,年齢階層×在院期間区分F02F09[[#All],[行ラベル]],0),MATCH($AX$4,年齢階層×在院期間区分F02F09[#Headers],0)),0)+IFERROR(INDEX(年齢階層×在院期間区分F02F09[#All],MATCH($AN13,年齢階層×在院期間区分F02F09[[#All],[行ラベル]],0),MATCH($AY$4,年齢階層×在院期間区分F02F09[#Headers],0)),0)+IFERROR(INDEX(年齢階層×在院期間区分F02F09[#All],MATCH($AN13,年齢階層×在院期間区分F02F09[[#All],[行ラベル]],0),MATCH($AZ$4,年齢階層×在院期間区分F02F09[#Headers],0)),0)+IFERROR(INDEX(年齢階層×在院期間区分F02F09[#All],MATCH($AN13,年齢階層×在院期間区分F02F09[[#All],[行ラベル]],0),MATCH($BA$4,年齢階層×在院期間区分F02F09[#Headers],0)),0)+IFERROR(INDEX(年齢階層×在院期間区分F02F09[#All],MATCH($AN13,年齢階層×在院期間区分F02F09[[#All],[行ラベル]],0),MATCH($BB$4,年齢階層×在院期間区分F02F09[#Headers],0)),0)</f>
        <v>22</v>
      </c>
      <c r="H13" s="132">
        <f t="shared" si="2"/>
        <v>0.13253012048192772</v>
      </c>
      <c r="I13" s="130">
        <f>IFERROR(INDEX(年齢階層×在院期間区分F02F09[#All],MATCH($AN13,年齢階層×在院期間区分F02F09[[#All],[行ラベル]],0),MATCH($BC$4,年齢階層×在院期間区分F02F09[#Headers],0)),0)+IFERROR(INDEX(年齢階層×在院期間区分F02F09[#All],MATCH($AN13,年齢階層×在院期間区分F02F09[[#All],[行ラベル]],0),MATCH($BD$4,年齢階層×在院期間区分F02F09[#Headers],0)),0)</f>
        <v>9</v>
      </c>
      <c r="J13" s="131">
        <f t="shared" si="3"/>
        <v>0.11688311688311688</v>
      </c>
      <c r="K13" s="130">
        <f t="shared" si="4"/>
        <v>201</v>
      </c>
      <c r="L13" s="131">
        <f t="shared" si="5"/>
        <v>0.11665699361578642</v>
      </c>
      <c r="M13" s="745"/>
      <c r="N13" s="745"/>
      <c r="O13" s="745"/>
      <c r="R13" s="798" t="s">
        <v>727</v>
      </c>
      <c r="S13" s="306" t="s">
        <v>677</v>
      </c>
      <c r="T13" s="306" t="s">
        <v>678</v>
      </c>
      <c r="U13" s="306" t="s">
        <v>679</v>
      </c>
      <c r="V13" s="306" t="s">
        <v>680</v>
      </c>
      <c r="W13" s="306" t="s">
        <v>681</v>
      </c>
      <c r="X13" s="306" t="s">
        <v>682</v>
      </c>
      <c r="Y13" s="306" t="s">
        <v>683</v>
      </c>
      <c r="Z13" s="306" t="s">
        <v>340</v>
      </c>
      <c r="AA13" s="306" t="s">
        <v>684</v>
      </c>
      <c r="AB13" s="306" t="s">
        <v>685</v>
      </c>
      <c r="AC13" s="306" t="s">
        <v>686</v>
      </c>
      <c r="AD13" s="306" t="s">
        <v>687</v>
      </c>
      <c r="AE13" s="306" t="s">
        <v>688</v>
      </c>
      <c r="AF13" s="306" t="s">
        <v>689</v>
      </c>
      <c r="AG13" s="306" t="s">
        <v>690</v>
      </c>
      <c r="AH13" s="43" t="s">
        <v>691</v>
      </c>
      <c r="AN13" s="41" t="s">
        <v>10</v>
      </c>
      <c r="AO13" s="50"/>
      <c r="AP13" s="50"/>
      <c r="AR13" s="54"/>
    </row>
    <row r="14" spans="2:56" s="16" customFormat="1" ht="18.75" customHeight="1" thickTop="1" x14ac:dyDescent="0.2">
      <c r="B14" s="154" t="s">
        <v>149</v>
      </c>
      <c r="C14" s="155">
        <f>SUM(C5:C13)</f>
        <v>954</v>
      </c>
      <c r="D14" s="163">
        <f t="shared" si="0"/>
        <v>1</v>
      </c>
      <c r="E14" s="155">
        <f>SUM(E5:E13)</f>
        <v>526</v>
      </c>
      <c r="F14" s="163">
        <f t="shared" si="1"/>
        <v>1</v>
      </c>
      <c r="G14" s="155">
        <f>SUM(G5:G13)</f>
        <v>166</v>
      </c>
      <c r="H14" s="163">
        <f t="shared" si="2"/>
        <v>1</v>
      </c>
      <c r="I14" s="155">
        <f>SUM(I5:I13)</f>
        <v>77</v>
      </c>
      <c r="J14" s="163">
        <f t="shared" si="3"/>
        <v>1</v>
      </c>
      <c r="K14" s="155">
        <f>SUM(K5:K13)</f>
        <v>1723</v>
      </c>
      <c r="L14" s="163">
        <f t="shared" si="5"/>
        <v>1</v>
      </c>
      <c r="M14" s="765"/>
      <c r="N14" s="765"/>
      <c r="O14" s="765"/>
      <c r="R14" s="41" t="s">
        <v>284</v>
      </c>
      <c r="S14" s="49">
        <v>22</v>
      </c>
      <c r="T14" s="49">
        <v>27</v>
      </c>
      <c r="U14" s="49">
        <v>27</v>
      </c>
      <c r="V14" s="49">
        <v>25</v>
      </c>
      <c r="W14" s="49">
        <v>15</v>
      </c>
      <c r="X14" s="49">
        <v>13</v>
      </c>
      <c r="Y14" s="49">
        <v>22</v>
      </c>
      <c r="Z14" s="49">
        <v>11</v>
      </c>
      <c r="AA14" s="49">
        <v>4</v>
      </c>
      <c r="AB14" s="49">
        <v>15</v>
      </c>
      <c r="AC14" s="49">
        <v>6</v>
      </c>
      <c r="AD14" s="49">
        <v>5</v>
      </c>
      <c r="AE14" s="49">
        <v>8</v>
      </c>
      <c r="AF14" s="49">
        <v>2</v>
      </c>
      <c r="AG14" s="49">
        <v>17</v>
      </c>
      <c r="AH14" s="49">
        <v>7</v>
      </c>
      <c r="AN14" s="54"/>
      <c r="AO14" s="54"/>
      <c r="AR14" s="54"/>
    </row>
    <row r="15" spans="2:56" s="16" customFormat="1" ht="18.75" customHeight="1" x14ac:dyDescent="0.2">
      <c r="B15" s="157" t="s">
        <v>85</v>
      </c>
      <c r="C15" s="158">
        <f>IFERROR(INDEX(年齢階層×在院期間区分F02F09_65歳未満以上[#All],MATCH($AN15,年齢階層×在院期間区分F02F09_65歳未満以上[[#All],[列1]],0),MATCH($AO$4,年齢階層×在院期間区分F02F09_65歳未満以上[#Headers],0)),0)+IFERROR(INDEX(年齢階層×在院期間区分F02F09_65歳未満以上[#All],MATCH($AN15,年齢階層×在院期間区分F02F09_65歳未満以上[[#All],[列1]],0),MATCH($AP$4,年齢階層×在院期間区分F02F09_65歳未満以上[#Headers],0)),0)+IFERROR(INDEX(年齢階層×在院期間区分F02F09_65歳未満以上[#All],MATCH($AN15,年齢階層×在院期間区分F02F09_65歳未満以上[[#All],[列1]],0),MATCH($AQ$4,年齢階層×在院期間区分F02F09_65歳未満以上[#Headers],0)),0)+IFERROR(INDEX(年齢階層×在院期間区分F02F09_65歳未満以上[#All],MATCH($AN15,年齢階層×在院期間区分F02F09_65歳未満以上[[#All],[列1]],0),MATCH($AR$4,年齢階層×在院期間区分F02F09_65歳未満以上[#Headers],0)),0)</f>
        <v>101</v>
      </c>
      <c r="D15" s="161">
        <f t="shared" si="0"/>
        <v>0.10587002096436059</v>
      </c>
      <c r="E15" s="158">
        <f>IFERROR(INDEX(年齢階層×在院期間区分F02F09_65歳未満以上[#All],MATCH($AN15,年齢階層×在院期間区分F02F09_65歳未満以上[[#All],[列1]],0),MATCH($AS$4,年齢階層×在院期間区分F02F09_65歳未満以上[#Headers],0)),0)+IFERROR(INDEX(年齢階層×在院期間区分F02F09_65歳未満以上[#All],MATCH($AN15,年齢階層×在院期間区分F02F09_65歳未満以上[[#All],[列1]],0),MATCH($AT$4,年齢階層×在院期間区分F02F09_65歳未満以上[#Headers],0)),0)+IFERROR(INDEX(年齢階層×在院期間区分F02F09_65歳未満以上[#All],MATCH($AN15,年齢階層×在院期間区分F02F09_65歳未満以上[[#All],[列1]],0),MATCH($AU$4,年齢階層×在院期間区分F02F09_65歳未満以上[#Headers],0)),0)+IFERROR(INDEX(年齢階層×在院期間区分F02F09_65歳未満以上[#All],MATCH($AN15,年齢階層×在院期間区分F02F09_65歳未満以上[[#All],[列1]],0),MATCH($AV$4,年齢階層×在院期間区分F02F09_65歳未満以上[#Headers],0)),0)+IFERROR(INDEX(年齢階層×在院期間区分F02F09_65歳未満以上[#All],MATCH($AN15,年齢階層×在院期間区分F02F09_65歳未満以上[[#All],[列1]],0),MATCH($AW$4,年齢階層×在院期間区分F02F09_65歳未満以上[#Headers],0)),0)</f>
        <v>65</v>
      </c>
      <c r="F15" s="161">
        <f t="shared" si="1"/>
        <v>0.12357414448669202</v>
      </c>
      <c r="G15" s="158">
        <f>IFERROR(INDEX(年齢階層×在院期間区分F02F09_65歳未満以上[#All],MATCH($AN15,年齢階層×在院期間区分F02F09_65歳未満以上[[#All],[列1]],0),MATCH($AX$4,年齢階層×在院期間区分F02F09_65歳未満以上[#Headers],0)),0)+IFERROR(INDEX(年齢階層×在院期間区分F02F09_65歳未満以上[#All],MATCH($AN15,年齢階層×在院期間区分F02F09_65歳未満以上[[#All],[列1]],0),MATCH($AY$4,年齢階層×在院期間区分F02F09_65歳未満以上[#Headers],0)),0)+IFERROR(INDEX(年齢階層×在院期間区分F02F09_65歳未満以上[#All],MATCH($AN15,年齢階層×在院期間区分F02F09_65歳未満以上[[#All],[列1]],0),MATCH($AZ$4,年齢階層×在院期間区分F02F09_65歳未満以上[#Headers],0)),0)+IFERROR(INDEX(年齢階層×在院期間区分F02F09_65歳未満以上[#All],MATCH($AN15,年齢階層×在院期間区分F02F09_65歳未満以上[[#All],[列1]],0),MATCH($BA$4,年齢階層×在院期間区分F02F09_65歳未満以上[#Headers],0)),0)+IFERROR(INDEX(年齢階層×在院期間区分F02F09_65歳未満以上[#All],MATCH($AN15,年齢階層×在院期間区分F02F09_65歳未満以上[[#All],[列1]],0),MATCH($BB$4,年齢階層×在院期間区分F02F09_65歳未満以上[#Headers],0)),0)</f>
        <v>36</v>
      </c>
      <c r="H15" s="161">
        <f t="shared" si="2"/>
        <v>0.21686746987951808</v>
      </c>
      <c r="I15" s="158">
        <f>IFERROR(INDEX(年齢階層×在院期間区分F02F09_65歳未満以上[#All],MATCH($AN15,年齢階層×在院期間区分F02F09_65歳未満以上[[#All],[列1]],0),MATCH($BC$4,年齢階層×在院期間区分F02F09_65歳未満以上[#Headers],0)),0)+IFERROR(INDEX(年齢階層×在院期間区分F02F09_65歳未満以上[#All],MATCH($AN15,年齢階層×在院期間区分F02F09_65歳未満以上[[#All],[列1]],0),MATCH($BD$4,年齢階層×在院期間区分F02F09_65歳未満以上[#Headers],0)),0)</f>
        <v>24</v>
      </c>
      <c r="J15" s="161">
        <f t="shared" si="3"/>
        <v>0.31168831168831168</v>
      </c>
      <c r="K15" s="158">
        <f>C15+E15+G15+I15</f>
        <v>226</v>
      </c>
      <c r="L15" s="161">
        <f t="shared" si="5"/>
        <v>0.13116656993615786</v>
      </c>
      <c r="M15" s="745"/>
      <c r="N15" s="745"/>
      <c r="O15" s="745"/>
      <c r="R15" s="55" t="s">
        <v>285</v>
      </c>
      <c r="S15" s="49">
        <v>175</v>
      </c>
      <c r="T15" s="49">
        <v>285</v>
      </c>
      <c r="U15" s="49">
        <v>181</v>
      </c>
      <c r="V15" s="49">
        <v>212</v>
      </c>
      <c r="W15" s="49">
        <v>136</v>
      </c>
      <c r="X15" s="49">
        <v>86</v>
      </c>
      <c r="Y15" s="49">
        <v>119</v>
      </c>
      <c r="Z15" s="49">
        <v>72</v>
      </c>
      <c r="AA15" s="49">
        <v>48</v>
      </c>
      <c r="AB15" s="49">
        <v>51</v>
      </c>
      <c r="AC15" s="49">
        <v>25</v>
      </c>
      <c r="AD15" s="49">
        <v>25</v>
      </c>
      <c r="AE15" s="49">
        <v>17</v>
      </c>
      <c r="AF15" s="49">
        <v>12</v>
      </c>
      <c r="AG15" s="49">
        <v>35</v>
      </c>
      <c r="AH15" s="49">
        <v>18</v>
      </c>
      <c r="AN15" s="55" t="s">
        <v>145</v>
      </c>
    </row>
    <row r="16" spans="2:56" s="16" customFormat="1" ht="18.75" customHeight="1" x14ac:dyDescent="0.2">
      <c r="B16" s="159" t="s">
        <v>82</v>
      </c>
      <c r="C16" s="158">
        <f>IFERROR(INDEX(年齢階層×在院期間区分F02F09_65歳未満以上[#All],MATCH($AN16,年齢階層×在院期間区分F02F09_65歳未満以上[[#All],[列1]],0),MATCH($AO$4,年齢階層×在院期間区分F02F09_65歳未満以上[#Headers],0)),0)+IFERROR(INDEX(年齢階層×在院期間区分F02F09_65歳未満以上[#All],MATCH($AN16,年齢階層×在院期間区分F02F09_65歳未満以上[[#All],[列1]],0),MATCH($AP$4,年齢階層×在院期間区分F02F09_65歳未満以上[#Headers],0)),0)+IFERROR(INDEX(年齢階層×在院期間区分F02F09_65歳未満以上[#All],MATCH($AN16,年齢階層×在院期間区分F02F09_65歳未満以上[[#All],[列1]],0),MATCH($AQ$4,年齢階層×在院期間区分F02F09_65歳未満以上[#Headers],0)),0)+IFERROR(INDEX(年齢階層×在院期間区分F02F09_65歳未満以上[#All],MATCH($AN16,年齢階層×在院期間区分F02F09_65歳未満以上[[#All],[列1]],0),MATCH($AR$4,年齢階層×在院期間区分F02F09_65歳未満以上[#Headers],0)),0)</f>
        <v>853</v>
      </c>
      <c r="D16" s="160">
        <f t="shared" si="0"/>
        <v>0.8941299790356394</v>
      </c>
      <c r="E16" s="158">
        <f>IFERROR(INDEX(年齢階層×在院期間区分F02F09_65歳未満以上[#All],MATCH($AN16,年齢階層×在院期間区分F02F09_65歳未満以上[[#All],[列1]],0),MATCH($AS$4,年齢階層×在院期間区分F02F09_65歳未満以上[#Headers],0)),0)+IFERROR(INDEX(年齢階層×在院期間区分F02F09_65歳未満以上[#All],MATCH($AN16,年齢階層×在院期間区分F02F09_65歳未満以上[[#All],[列1]],0),MATCH($AT$4,年齢階層×在院期間区分F02F09_65歳未満以上[#Headers],0)),0)+IFERROR(INDEX(年齢階層×在院期間区分F02F09_65歳未満以上[#All],MATCH($AN16,年齢階層×在院期間区分F02F09_65歳未満以上[[#All],[列1]],0),MATCH($AU$4,年齢階層×在院期間区分F02F09_65歳未満以上[#Headers],0)),0)+IFERROR(INDEX(年齢階層×在院期間区分F02F09_65歳未満以上[#All],MATCH($AN16,年齢階層×在院期間区分F02F09_65歳未満以上[[#All],[列1]],0),MATCH($AV$4,年齢階層×在院期間区分F02F09_65歳未満以上[#Headers],0)),0)+IFERROR(INDEX(年齢階層×在院期間区分F02F09_65歳未満以上[#All],MATCH($AN16,年齢階層×在院期間区分F02F09_65歳未満以上[[#All],[列1]],0),MATCH($AW$4,年齢階層×在院期間区分F02F09_65歳未満以上[#Headers],0)),0)</f>
        <v>461</v>
      </c>
      <c r="F16" s="160">
        <f t="shared" si="1"/>
        <v>0.87642585551330798</v>
      </c>
      <c r="G16" s="158">
        <f>IFERROR(INDEX(年齢階層×在院期間区分F02F09_65歳未満以上[#All],MATCH($AN16,年齢階層×在院期間区分F02F09_65歳未満以上[[#All],[列1]],0),MATCH($AX$4,年齢階層×在院期間区分F02F09_65歳未満以上[#Headers],0)),0)+IFERROR(INDEX(年齢階層×在院期間区分F02F09_65歳未満以上[#All],MATCH($AN16,年齢階層×在院期間区分F02F09_65歳未満以上[[#All],[列1]],0),MATCH($AY$4,年齢階層×在院期間区分F02F09_65歳未満以上[#Headers],0)),0)+IFERROR(INDEX(年齢階層×在院期間区分F02F09_65歳未満以上[#All],MATCH($AN16,年齢階層×在院期間区分F02F09_65歳未満以上[[#All],[列1]],0),MATCH($AZ$4,年齢階層×在院期間区分F02F09_65歳未満以上[#Headers],0)),0)+IFERROR(INDEX(年齢階層×在院期間区分F02F09_65歳未満以上[#All],MATCH($AN16,年齢階層×在院期間区分F02F09_65歳未満以上[[#All],[列1]],0),MATCH($BA$4,年齢階層×在院期間区分F02F09_65歳未満以上[#Headers],0)),0)+IFERROR(INDEX(年齢階層×在院期間区分F02F09_65歳未満以上[#All],MATCH($AN16,年齢階層×在院期間区分F02F09_65歳未満以上[[#All],[列1]],0),MATCH($BB$4,年齢階層×在院期間区分F02F09_65歳未満以上[#Headers],0)),0)</f>
        <v>130</v>
      </c>
      <c r="H16" s="160">
        <f t="shared" si="2"/>
        <v>0.7831325301204819</v>
      </c>
      <c r="I16" s="158">
        <f>IFERROR(INDEX(年齢階層×在院期間区分F02F09_65歳未満以上[#All],MATCH($AN16,年齢階層×在院期間区分F02F09_65歳未満以上[[#All],[列1]],0),MATCH($BC$4,年齢階層×在院期間区分F02F09_65歳未満以上[#Headers],0)),0)+IFERROR(INDEX(年齢階層×在院期間区分F02F09_65歳未満以上[#All],MATCH($AN16,年齢階層×在院期間区分F02F09_65歳未満以上[[#All],[列1]],0),MATCH($BD$4,年齢階層×在院期間区分F02F09_65歳未満以上[#Headers],0)),0)</f>
        <v>53</v>
      </c>
      <c r="J16" s="160">
        <f t="shared" si="3"/>
        <v>0.68831168831168832</v>
      </c>
      <c r="K16" s="158">
        <f>C16+E16+G16+I16</f>
        <v>1497</v>
      </c>
      <c r="L16" s="160">
        <f t="shared" si="5"/>
        <v>0.86883343006384217</v>
      </c>
      <c r="M16" s="745"/>
      <c r="N16" s="745"/>
      <c r="O16" s="745"/>
      <c r="R16" s="1"/>
      <c r="S16" s="1"/>
      <c r="T16" s="1"/>
      <c r="U16" s="1"/>
      <c r="V16" s="1"/>
      <c r="W16" s="1"/>
      <c r="X16" s="1"/>
      <c r="Y16" s="1"/>
      <c r="Z16" s="1"/>
      <c r="AA16" s="1"/>
      <c r="AB16" s="1"/>
      <c r="AC16" s="1"/>
      <c r="AD16" s="1"/>
      <c r="AE16" s="1"/>
      <c r="AF16" s="1"/>
      <c r="AG16" s="1"/>
      <c r="AH16" s="1"/>
      <c r="AN16" s="55" t="s">
        <v>81</v>
      </c>
    </row>
    <row r="17" spans="2:44" ht="18.75" customHeight="1" x14ac:dyDescent="0.2"/>
    <row r="18" spans="2:44" ht="18.75" customHeight="1" thickBot="1" x14ac:dyDescent="0.25">
      <c r="B18" s="2" t="s">
        <v>153</v>
      </c>
      <c r="R18" s="1" t="s">
        <v>470</v>
      </c>
    </row>
    <row r="19" spans="2:44" ht="18.75" customHeight="1" thickTop="1" thickBot="1" x14ac:dyDescent="0.25">
      <c r="B19" s="4" t="s">
        <v>217</v>
      </c>
      <c r="R19" s="798" t="s">
        <v>655</v>
      </c>
      <c r="S19" s="306" t="s">
        <v>677</v>
      </c>
      <c r="T19" s="306" t="s">
        <v>678</v>
      </c>
      <c r="U19" s="306" t="s">
        <v>679</v>
      </c>
      <c r="V19" s="306" t="s">
        <v>680</v>
      </c>
      <c r="W19" s="306" t="s">
        <v>681</v>
      </c>
      <c r="X19" s="306" t="s">
        <v>682</v>
      </c>
      <c r="Y19" s="306" t="s">
        <v>683</v>
      </c>
      <c r="Z19" s="306" t="s">
        <v>340</v>
      </c>
      <c r="AA19" s="306" t="s">
        <v>684</v>
      </c>
      <c r="AB19" s="306" t="s">
        <v>685</v>
      </c>
      <c r="AC19" s="306" t="s">
        <v>686</v>
      </c>
      <c r="AD19" s="306" t="s">
        <v>687</v>
      </c>
      <c r="AE19" s="306" t="s">
        <v>688</v>
      </c>
      <c r="AF19" s="306" t="s">
        <v>689</v>
      </c>
      <c r="AG19" s="306" t="s">
        <v>690</v>
      </c>
      <c r="AH19" s="43" t="s">
        <v>691</v>
      </c>
    </row>
    <row r="20" spans="2:44" ht="18.75" customHeight="1" thickTop="1" x14ac:dyDescent="0.2">
      <c r="B20" s="1055" t="s">
        <v>64</v>
      </c>
      <c r="C20" s="1057" t="s">
        <v>63</v>
      </c>
      <c r="D20" s="1058"/>
      <c r="E20" s="1058"/>
      <c r="F20" s="1058"/>
      <c r="G20" s="1058"/>
      <c r="H20" s="1058"/>
      <c r="I20" s="1058"/>
      <c r="J20" s="1058"/>
      <c r="K20" s="1058"/>
      <c r="L20" s="1059"/>
      <c r="M20" s="772"/>
      <c r="N20" s="772"/>
      <c r="O20" s="772"/>
      <c r="R20" s="41" t="s">
        <v>2</v>
      </c>
      <c r="S20" s="49">
        <v>0</v>
      </c>
      <c r="T20" s="49">
        <v>0</v>
      </c>
      <c r="U20" s="49">
        <v>0</v>
      </c>
      <c r="V20" s="49">
        <v>0</v>
      </c>
      <c r="W20" s="49">
        <v>0</v>
      </c>
      <c r="X20" s="49">
        <v>0</v>
      </c>
      <c r="Y20" s="49">
        <v>0</v>
      </c>
      <c r="Z20" s="49">
        <v>0</v>
      </c>
      <c r="AA20" s="49">
        <v>0</v>
      </c>
      <c r="AB20" s="49">
        <v>0</v>
      </c>
      <c r="AC20" s="49">
        <v>0</v>
      </c>
      <c r="AD20" s="49">
        <v>0</v>
      </c>
      <c r="AE20" s="49">
        <v>0</v>
      </c>
      <c r="AF20" s="49">
        <v>0</v>
      </c>
      <c r="AG20" s="49">
        <v>0</v>
      </c>
      <c r="AH20" s="49">
        <v>0</v>
      </c>
    </row>
    <row r="21" spans="2:44" ht="18.75" customHeight="1" x14ac:dyDescent="0.2">
      <c r="B21" s="1056"/>
      <c r="C21" s="1060" t="s">
        <v>68</v>
      </c>
      <c r="D21" s="1061"/>
      <c r="E21" s="1060" t="s">
        <v>69</v>
      </c>
      <c r="F21" s="1061"/>
      <c r="G21" s="1060" t="s">
        <v>70</v>
      </c>
      <c r="H21" s="1061"/>
      <c r="I21" s="1060" t="s">
        <v>71</v>
      </c>
      <c r="J21" s="1061"/>
      <c r="K21" s="1060" t="s">
        <v>61</v>
      </c>
      <c r="L21" s="1061"/>
      <c r="M21" s="773"/>
      <c r="N21" s="773"/>
      <c r="O21" s="773"/>
      <c r="R21" s="41" t="s">
        <v>3</v>
      </c>
      <c r="S21" s="49">
        <v>0</v>
      </c>
      <c r="T21" s="49">
        <v>0</v>
      </c>
      <c r="U21" s="49">
        <v>0</v>
      </c>
      <c r="V21" s="49">
        <v>0</v>
      </c>
      <c r="W21" s="49">
        <v>0</v>
      </c>
      <c r="X21" s="49">
        <v>0</v>
      </c>
      <c r="Y21" s="49">
        <v>0</v>
      </c>
      <c r="Z21" s="49">
        <v>0</v>
      </c>
      <c r="AA21" s="49">
        <v>0</v>
      </c>
      <c r="AB21" s="49">
        <v>0</v>
      </c>
      <c r="AC21" s="49">
        <v>0</v>
      </c>
      <c r="AD21" s="49">
        <v>0</v>
      </c>
      <c r="AE21" s="49">
        <v>0</v>
      </c>
      <c r="AF21" s="49">
        <v>0</v>
      </c>
      <c r="AG21" s="49">
        <v>0</v>
      </c>
      <c r="AH21" s="49">
        <v>0</v>
      </c>
      <c r="AI21" s="16"/>
      <c r="AJ21" s="16"/>
    </row>
    <row r="22" spans="2:44" s="16" customFormat="1" ht="18.75" customHeight="1" x14ac:dyDescent="0.2">
      <c r="B22" s="147" t="s">
        <v>2</v>
      </c>
      <c r="C22" s="148">
        <f>IFERROR(INDEX(年齢階層×在院期間区分F02F09＿寛解・院内寛解[#All],MATCH($AN22,年齢階層×在院期間区分F02F09＿寛解・院内寛解[[#All],[行ラベル]],0),MATCH($AO$4,年齢階層×在院期間区分F02F09＿寛解・院内寛解[#Headers],0)),0)+IFERROR(INDEX(年齢階層×在院期間区分F02F09＿寛解・院内寛解[#All],MATCH($AN22,年齢階層×在院期間区分F02F09＿寛解・院内寛解[[#All],[行ラベル]],0),MATCH($AP$4,年齢階層×在院期間区分F02F09＿寛解・院内寛解[#Headers],0)),0)+IFERROR(INDEX(年齢階層×在院期間区分F02F09＿寛解・院内寛解[#All],MATCH($AN22,年齢階層×在院期間区分F02F09＿寛解・院内寛解[[#All],[行ラベル]],0),MATCH($AQ$4,年齢階層×在院期間区分F02F09＿寛解・院内寛解[#Headers],0)),0)+IFERROR(INDEX(年齢階層×在院期間区分F02F09＿寛解・院内寛解[#All],MATCH($AN22,年齢階層×在院期間区分F02F09＿寛解・院内寛解[[#All],[行ラベル]],0),MATCH($AR$4,年齢階層×在院期間区分F02F09＿寛解・院内寛解[#Headers],0)),0)</f>
        <v>0</v>
      </c>
      <c r="D22" s="161">
        <f t="shared" ref="D22:D33" si="6">IFERROR(C22/$C$31,"-")</f>
        <v>0</v>
      </c>
      <c r="E22" s="148">
        <f>IFERROR(INDEX(年齢階層×在院期間区分F02F09＿寛解・院内寛解[#All],MATCH($AN22,年齢階層×在院期間区分F02F09＿寛解・院内寛解[[#All],[行ラベル]],0),MATCH($AS$4,年齢階層×在院期間区分F02F09＿寛解・院内寛解[#Headers],0)),0)+IFERROR(INDEX(年齢階層×在院期間区分F02F09＿寛解・院内寛解[#All],MATCH($AN22,年齢階層×在院期間区分F02F09＿寛解・院内寛解[[#All],[行ラベル]],0),MATCH($AT$4,年齢階層×在院期間区分F02F09＿寛解・院内寛解[#Headers],0)),0)+IFERROR(INDEX(年齢階層×在院期間区分F02F09＿寛解・院内寛解[#All],MATCH($AN22,年齢階層×在院期間区分F02F09＿寛解・院内寛解[[#All],[行ラベル]],0),MATCH($AU$4,年齢階層×在院期間区分F02F09＿寛解・院内寛解[#Headers],0)),0)+IFERROR(INDEX(年齢階層×在院期間区分F02F09＿寛解・院内寛解[#All],MATCH($AN22,年齢階層×在院期間区分F02F09＿寛解・院内寛解[[#All],[行ラベル]],0),MATCH($AV$4,年齢階層×在院期間区分F02F09＿寛解・院内寛解[#Headers],0)),0)+IFERROR(INDEX(年齢階層×在院期間区分F02F09＿寛解・院内寛解[#All],MATCH($AN22,年齢階層×在院期間区分F02F09＿寛解・院内寛解[[#All],[行ラベル]],0),MATCH($AW$4,年齢階層×在院期間区分F02F09＿寛解・院内寛解[#Headers],0)),0)</f>
        <v>0</v>
      </c>
      <c r="F22" s="161">
        <f t="shared" ref="F22:F33" si="7">IFERROR(E22/$E$31,"-")</f>
        <v>0</v>
      </c>
      <c r="G22" s="142">
        <f>IFERROR(INDEX(年齢階層×在院期間区分F02F09＿寛解・院内寛解[#All],MATCH($AN22,年齢階層×在院期間区分F02F09＿寛解・院内寛解[[#All],[行ラベル]],0),MATCH($AX$4,年齢階層×在院期間区分F02F09＿寛解・院内寛解[#Headers],0)),0)+IFERROR(INDEX(年齢階層×在院期間区分F02F09＿寛解・院内寛解[#All],MATCH($AN22,年齢階層×在院期間区分F02F09＿寛解・院内寛解[[#All],[行ラベル]],0),MATCH($AY$4,年齢階層×在院期間区分F02F09＿寛解・院内寛解[#Headers],0)),0)+IFERROR(INDEX(年齢階層×在院期間区分F02F09＿寛解・院内寛解[#All],MATCH($AN22,年齢階層×在院期間区分F02F09＿寛解・院内寛解[[#All],[行ラベル]],0),MATCH($AZ$4,年齢階層×在院期間区分F02F09＿寛解・院内寛解[#Headers],0)),0)+IFERROR(INDEX(年齢階層×在院期間区分F02F09＿寛解・院内寛解[#All],MATCH($AN22,年齢階層×在院期間区分F02F09＿寛解・院内寛解[[#All],[行ラベル]],0),MATCH($BA$4,年齢階層×在院期間区分F02F09＿寛解・院内寛解[#Headers],0)),0)+IFERROR(INDEX(年齢階層×在院期間区分F02F09＿寛解・院内寛解[#All],MATCH($AN22,年齢階層×在院期間区分F02F09＿寛解・院内寛解[[#All],[行ラベル]],0),MATCH($BB$4,年齢階層×在院期間区分F02F09＿寛解・院内寛解[#Headers],0)),0)</f>
        <v>0</v>
      </c>
      <c r="H22" s="161">
        <f t="shared" ref="H22:H33" si="8">IFERROR(G22/$G$31,"-")</f>
        <v>0</v>
      </c>
      <c r="I22" s="148">
        <f>IFERROR(INDEX(年齢階層×在院期間区分F02F09＿寛解・院内寛解[#All],MATCH($AN22,年齢階層×在院期間区分F02F09＿寛解・院内寛解[[#All],[行ラベル]],0),MATCH($BC$4,年齢階層×在院期間区分F02F09＿寛解・院内寛解[#Headers],0)),0)+IFERROR(INDEX(年齢階層×在院期間区分F02F09＿寛解・院内寛解[#All],MATCH($AN22,年齢階層×在院期間区分F02F09＿寛解・院内寛解[[#All],[行ラベル]],0),MATCH($BD$4,年齢階層×在院期間区分F02F09＿寛解・院内寛解[#Headers],0)),0)</f>
        <v>0</v>
      </c>
      <c r="J22" s="161">
        <f t="shared" ref="J22:J33" si="9">IFERROR(I22/$I$31,"-")</f>
        <v>0</v>
      </c>
      <c r="K22" s="142">
        <f t="shared" ref="K22:K30" si="10">SUM(C22,E22,G22,I22)</f>
        <v>0</v>
      </c>
      <c r="L22" s="161">
        <f t="shared" ref="L22:L33" si="11">IFERROR(K22/$K$31,"-")</f>
        <v>0</v>
      </c>
      <c r="M22" s="745"/>
      <c r="N22" s="745"/>
      <c r="O22" s="745"/>
      <c r="R22" s="41" t="s">
        <v>4</v>
      </c>
      <c r="S22" s="49">
        <v>0</v>
      </c>
      <c r="T22" s="49">
        <v>0</v>
      </c>
      <c r="U22" s="49">
        <v>0</v>
      </c>
      <c r="V22" s="49">
        <v>1</v>
      </c>
      <c r="W22" s="49">
        <v>0</v>
      </c>
      <c r="X22" s="49">
        <v>0</v>
      </c>
      <c r="Y22" s="49">
        <v>0</v>
      </c>
      <c r="Z22" s="49">
        <v>0</v>
      </c>
      <c r="AA22" s="49">
        <v>0</v>
      </c>
      <c r="AB22" s="49">
        <v>0</v>
      </c>
      <c r="AC22" s="49">
        <v>0</v>
      </c>
      <c r="AD22" s="49">
        <v>0</v>
      </c>
      <c r="AE22" s="49">
        <v>0</v>
      </c>
      <c r="AF22" s="49">
        <v>0</v>
      </c>
      <c r="AG22" s="49">
        <v>0</v>
      </c>
      <c r="AH22" s="49">
        <v>0</v>
      </c>
      <c r="AN22" s="41" t="s">
        <v>2</v>
      </c>
    </row>
    <row r="23" spans="2:44" s="16" customFormat="1" ht="18.75" customHeight="1" x14ac:dyDescent="0.2">
      <c r="B23" s="149" t="s">
        <v>3</v>
      </c>
      <c r="C23" s="150">
        <f>IFERROR(INDEX(年齢階層×在院期間区分F02F09＿寛解・院内寛解[#All],MATCH($AN23,年齢階層×在院期間区分F02F09＿寛解・院内寛解[[#All],[行ラベル]],0),MATCH($AO$4,年齢階層×在院期間区分F02F09＿寛解・院内寛解[#Headers],0)),0)+IFERROR(INDEX(年齢階層×在院期間区分F02F09＿寛解・院内寛解[#All],MATCH($AN23,年齢階層×在院期間区分F02F09＿寛解・院内寛解[[#All],[行ラベル]],0),MATCH($AP$4,年齢階層×在院期間区分F02F09＿寛解・院内寛解[#Headers],0)),0)+IFERROR(INDEX(年齢階層×在院期間区分F02F09＿寛解・院内寛解[#All],MATCH($AN23,年齢階層×在院期間区分F02F09＿寛解・院内寛解[[#All],[行ラベル]],0),MATCH($AQ$4,年齢階層×在院期間区分F02F09＿寛解・院内寛解[#Headers],0)),0)+IFERROR(INDEX(年齢階層×在院期間区分F02F09＿寛解・院内寛解[#All],MATCH($AN23,年齢階層×在院期間区分F02F09＿寛解・院内寛解[[#All],[行ラベル]],0),MATCH($AR$4,年齢階層×在院期間区分F02F09＿寛解・院内寛解[#Headers],0)),0)</f>
        <v>0</v>
      </c>
      <c r="D23" s="128">
        <f t="shared" si="6"/>
        <v>0</v>
      </c>
      <c r="E23" s="150">
        <f>IFERROR(INDEX(年齢階層×在院期間区分F02F09＿寛解・院内寛解[#All],MATCH($AN23,年齢階層×在院期間区分F02F09＿寛解・院内寛解[[#All],[行ラベル]],0),MATCH($AS$4,年齢階層×在院期間区分F02F09＿寛解・院内寛解[#Headers],0)),0)+IFERROR(INDEX(年齢階層×在院期間区分F02F09＿寛解・院内寛解[#All],MATCH($AN23,年齢階層×在院期間区分F02F09＿寛解・院内寛解[[#All],[行ラベル]],0),MATCH($AT$4,年齢階層×在院期間区分F02F09＿寛解・院内寛解[#Headers],0)),0)+IFERROR(INDEX(年齢階層×在院期間区分F02F09＿寛解・院内寛解[#All],MATCH($AN23,年齢階層×在院期間区分F02F09＿寛解・院内寛解[[#All],[行ラベル]],0),MATCH($AU$4,年齢階層×在院期間区分F02F09＿寛解・院内寛解[#Headers],0)),0)+IFERROR(INDEX(年齢階層×在院期間区分F02F09＿寛解・院内寛解[#All],MATCH($AN23,年齢階層×在院期間区分F02F09＿寛解・院内寛解[[#All],[行ラベル]],0),MATCH($AV$4,年齢階層×在院期間区分F02F09＿寛解・院内寛解[#Headers],0)),0)+IFERROR(INDEX(年齢階層×在院期間区分F02F09＿寛解・院内寛解[#All],MATCH($AN23,年齢階層×在院期間区分F02F09＿寛解・院内寛解[[#All],[行ラベル]],0),MATCH($AW$4,年齢階層×在院期間区分F02F09＿寛解・院内寛解[#Headers],0)),0)</f>
        <v>0</v>
      </c>
      <c r="F23" s="128">
        <f t="shared" si="7"/>
        <v>0</v>
      </c>
      <c r="G23" s="127">
        <f>IFERROR(INDEX(年齢階層×在院期間区分F02F09＿寛解・院内寛解[#All],MATCH($AN23,年齢階層×在院期間区分F02F09＿寛解・院内寛解[[#All],[行ラベル]],0),MATCH($AX$4,年齢階層×在院期間区分F02F09＿寛解・院内寛解[#Headers],0)),0)+IFERROR(INDEX(年齢階層×在院期間区分F02F09＿寛解・院内寛解[#All],MATCH($AN23,年齢階層×在院期間区分F02F09＿寛解・院内寛解[[#All],[行ラベル]],0),MATCH($AY$4,年齢階層×在院期間区分F02F09＿寛解・院内寛解[#Headers],0)),0)+IFERROR(INDEX(年齢階層×在院期間区分F02F09＿寛解・院内寛解[#All],MATCH($AN23,年齢階層×在院期間区分F02F09＿寛解・院内寛解[[#All],[行ラベル]],0),MATCH($AZ$4,年齢階層×在院期間区分F02F09＿寛解・院内寛解[#Headers],0)),0)+IFERROR(INDEX(年齢階層×在院期間区分F02F09＿寛解・院内寛解[#All],MATCH($AN23,年齢階層×在院期間区分F02F09＿寛解・院内寛解[[#All],[行ラベル]],0),MATCH($BA$4,年齢階層×在院期間区分F02F09＿寛解・院内寛解[#Headers],0)),0)+IFERROR(INDEX(年齢階層×在院期間区分F02F09＿寛解・院内寛解[#All],MATCH($AN23,年齢階層×在院期間区分F02F09＿寛解・院内寛解[[#All],[行ラベル]],0),MATCH($BB$4,年齢階層×在院期間区分F02F09＿寛解・院内寛解[#Headers],0)),0)</f>
        <v>0</v>
      </c>
      <c r="H23" s="128">
        <f t="shared" si="8"/>
        <v>0</v>
      </c>
      <c r="I23" s="150">
        <f>IFERROR(INDEX(年齢階層×在院期間区分F02F09＿寛解・院内寛解[#All],MATCH($AN23,年齢階層×在院期間区分F02F09＿寛解・院内寛解[[#All],[行ラベル]],0),MATCH($BC$4,年齢階層×在院期間区分F02F09＿寛解・院内寛解[#Headers],0)),0)+IFERROR(INDEX(年齢階層×在院期間区分F02F09＿寛解・院内寛解[#All],MATCH($AN23,年齢階層×在院期間区分F02F09＿寛解・院内寛解[[#All],[行ラベル]],0),MATCH($BD$4,年齢階層×在院期間区分F02F09＿寛解・院内寛解[#Headers],0)),0)</f>
        <v>0</v>
      </c>
      <c r="J23" s="128">
        <f t="shared" si="9"/>
        <v>0</v>
      </c>
      <c r="K23" s="127">
        <f t="shared" si="10"/>
        <v>0</v>
      </c>
      <c r="L23" s="128">
        <f t="shared" si="11"/>
        <v>0</v>
      </c>
      <c r="M23" s="745"/>
      <c r="N23" s="745"/>
      <c r="O23" s="745"/>
      <c r="R23" s="41" t="s">
        <v>5</v>
      </c>
      <c r="S23" s="49">
        <v>0</v>
      </c>
      <c r="T23" s="49">
        <v>1</v>
      </c>
      <c r="U23" s="49">
        <v>0</v>
      </c>
      <c r="V23" s="49">
        <v>0</v>
      </c>
      <c r="W23" s="49">
        <v>0</v>
      </c>
      <c r="X23" s="49">
        <v>0</v>
      </c>
      <c r="Y23" s="49">
        <v>0</v>
      </c>
      <c r="Z23" s="49">
        <v>0</v>
      </c>
      <c r="AA23" s="49">
        <v>0</v>
      </c>
      <c r="AB23" s="49">
        <v>0</v>
      </c>
      <c r="AC23" s="49">
        <v>0</v>
      </c>
      <c r="AD23" s="49">
        <v>0</v>
      </c>
      <c r="AE23" s="49">
        <v>0</v>
      </c>
      <c r="AF23" s="49">
        <v>0</v>
      </c>
      <c r="AG23" s="49">
        <v>0</v>
      </c>
      <c r="AH23" s="49">
        <v>0</v>
      </c>
      <c r="AN23" s="41" t="s">
        <v>3</v>
      </c>
    </row>
    <row r="24" spans="2:44" s="16" customFormat="1" ht="18.75" customHeight="1" x14ac:dyDescent="0.2">
      <c r="B24" s="149" t="s">
        <v>4</v>
      </c>
      <c r="C24" s="127">
        <f>IFERROR(INDEX(年齢階層×在院期間区分F02F09＿寛解・院内寛解[#All],MATCH($AN24,年齢階層×在院期間区分F02F09＿寛解・院内寛解[[#All],[行ラベル]],0),MATCH($AO$4,年齢階層×在院期間区分F02F09＿寛解・院内寛解[#Headers],0)),0)+IFERROR(INDEX(年齢階層×在院期間区分F02F09＿寛解・院内寛解[#All],MATCH($AN24,年齢階層×在院期間区分F02F09＿寛解・院内寛解[[#All],[行ラベル]],0),MATCH($AP$4,年齢階層×在院期間区分F02F09＿寛解・院内寛解[#Headers],0)),0)+IFERROR(INDEX(年齢階層×在院期間区分F02F09＿寛解・院内寛解[#All],MATCH($AN24,年齢階層×在院期間区分F02F09＿寛解・院内寛解[[#All],[行ラベル]],0),MATCH($AQ$4,年齢階層×在院期間区分F02F09＿寛解・院内寛解[#Headers],0)),0)+IFERROR(INDEX(年齢階層×在院期間区分F02F09＿寛解・院内寛解[#All],MATCH($AN24,年齢階層×在院期間区分F02F09＿寛解・院内寛解[[#All],[行ラベル]],0),MATCH($AR$4,年齢階層×在院期間区分F02F09＿寛解・院内寛解[#Headers],0)),0)</f>
        <v>1</v>
      </c>
      <c r="D24" s="128">
        <f t="shared" si="6"/>
        <v>1.0309278350515464E-2</v>
      </c>
      <c r="E24" s="150">
        <f>IFERROR(INDEX(年齢階層×在院期間区分F02F09＿寛解・院内寛解[#All],MATCH($AN24,年齢階層×在院期間区分F02F09＿寛解・院内寛解[[#All],[行ラベル]],0),MATCH($AS$4,年齢階層×在院期間区分F02F09＿寛解・院内寛解[#Headers],0)),0)+IFERROR(INDEX(年齢階層×在院期間区分F02F09＿寛解・院内寛解[#All],MATCH($AN24,年齢階層×在院期間区分F02F09＿寛解・院内寛解[[#All],[行ラベル]],0),MATCH($AT$4,年齢階層×在院期間区分F02F09＿寛解・院内寛解[#Headers],0)),0)+IFERROR(INDEX(年齢階層×在院期間区分F02F09＿寛解・院内寛解[#All],MATCH($AN24,年齢階層×在院期間区分F02F09＿寛解・院内寛解[[#All],[行ラベル]],0),MATCH($AU$4,年齢階層×在院期間区分F02F09＿寛解・院内寛解[#Headers],0)),0)+IFERROR(INDEX(年齢階層×在院期間区分F02F09＿寛解・院内寛解[#All],MATCH($AN24,年齢階層×在院期間区分F02F09＿寛解・院内寛解[[#All],[行ラベル]],0),MATCH($AV$4,年齢階層×在院期間区分F02F09＿寛解・院内寛解[#Headers],0)),0)+IFERROR(INDEX(年齢階層×在院期間区分F02F09＿寛解・院内寛解[#All],MATCH($AN24,年齢階層×在院期間区分F02F09＿寛解・院内寛解[[#All],[行ラベル]],0),MATCH($AW$4,年齢階層×在院期間区分F02F09＿寛解・院内寛解[#Headers],0)),0)</f>
        <v>0</v>
      </c>
      <c r="F24" s="128">
        <f t="shared" si="7"/>
        <v>0</v>
      </c>
      <c r="G24" s="151">
        <f>IFERROR(INDEX(年齢階層×在院期間区分F02F09＿寛解・院内寛解[#All],MATCH($AN24,年齢階層×在院期間区分F02F09＿寛解・院内寛解[[#All],[行ラベル]],0),MATCH($AX$4,年齢階層×在院期間区分F02F09＿寛解・院内寛解[#Headers],0)),0)+IFERROR(INDEX(年齢階層×在院期間区分F02F09＿寛解・院内寛解[#All],MATCH($AN24,年齢階層×在院期間区分F02F09＿寛解・院内寛解[[#All],[行ラベル]],0),MATCH($AY$4,年齢階層×在院期間区分F02F09＿寛解・院内寛解[#Headers],0)),0)+IFERROR(INDEX(年齢階層×在院期間区分F02F09＿寛解・院内寛解[#All],MATCH($AN24,年齢階層×在院期間区分F02F09＿寛解・院内寛解[[#All],[行ラベル]],0),MATCH($AZ$4,年齢階層×在院期間区分F02F09＿寛解・院内寛解[#Headers],0)),0)+IFERROR(INDEX(年齢階層×在院期間区分F02F09＿寛解・院内寛解[#All],MATCH($AN24,年齢階層×在院期間区分F02F09＿寛解・院内寛解[[#All],[行ラベル]],0),MATCH($BA$4,年齢階層×在院期間区分F02F09＿寛解・院内寛解[#Headers],0)),0)+IFERROR(INDEX(年齢階層×在院期間区分F02F09＿寛解・院内寛解[#All],MATCH($AN24,年齢階層×在院期間区分F02F09＿寛解・院内寛解[[#All],[行ラベル]],0),MATCH($BB$4,年齢階層×在院期間区分F02F09＿寛解・院内寛解[#Headers],0)),0)</f>
        <v>0</v>
      </c>
      <c r="H24" s="128">
        <f t="shared" si="8"/>
        <v>0</v>
      </c>
      <c r="I24" s="127">
        <f>IFERROR(INDEX(年齢階層×在院期間区分F02F09＿寛解・院内寛解[#All],MATCH($AN24,年齢階層×在院期間区分F02F09＿寛解・院内寛解[[#All],[行ラベル]],0),MATCH($BC$4,年齢階層×在院期間区分F02F09＿寛解・院内寛解[#Headers],0)),0)+IFERROR(INDEX(年齢階層×在院期間区分F02F09＿寛解・院内寛解[#All],MATCH($AN24,年齢階層×在院期間区分F02F09＿寛解・院内寛解[[#All],[行ラベル]],0),MATCH($BD$4,年齢階層×在院期間区分F02F09＿寛解・院内寛解[#Headers],0)),0)</f>
        <v>0</v>
      </c>
      <c r="J24" s="128">
        <f t="shared" si="9"/>
        <v>0</v>
      </c>
      <c r="K24" s="127">
        <f t="shared" si="10"/>
        <v>1</v>
      </c>
      <c r="L24" s="128">
        <f t="shared" si="11"/>
        <v>6.9444444444444441E-3</v>
      </c>
      <c r="M24" s="745"/>
      <c r="N24" s="745"/>
      <c r="O24" s="745"/>
      <c r="R24" s="41" t="s">
        <v>6</v>
      </c>
      <c r="S24" s="49">
        <v>0</v>
      </c>
      <c r="T24" s="49">
        <v>2</v>
      </c>
      <c r="U24" s="49">
        <v>1</v>
      </c>
      <c r="V24" s="49">
        <v>0</v>
      </c>
      <c r="W24" s="49">
        <v>0</v>
      </c>
      <c r="X24" s="49">
        <v>0</v>
      </c>
      <c r="Y24" s="49">
        <v>0</v>
      </c>
      <c r="Z24" s="49">
        <v>0</v>
      </c>
      <c r="AA24" s="49">
        <v>0</v>
      </c>
      <c r="AB24" s="49">
        <v>0</v>
      </c>
      <c r="AC24" s="49">
        <v>0</v>
      </c>
      <c r="AD24" s="49">
        <v>0</v>
      </c>
      <c r="AE24" s="49">
        <v>2</v>
      </c>
      <c r="AF24" s="49">
        <v>0</v>
      </c>
      <c r="AG24" s="49">
        <v>1</v>
      </c>
      <c r="AH24" s="49">
        <v>0</v>
      </c>
      <c r="AN24" s="41" t="s">
        <v>4</v>
      </c>
    </row>
    <row r="25" spans="2:44" s="16" customFormat="1" ht="18.75" customHeight="1" x14ac:dyDescent="0.2">
      <c r="B25" s="149" t="s">
        <v>5</v>
      </c>
      <c r="C25" s="127">
        <f>IFERROR(INDEX(年齢階層×在院期間区分F02F09＿寛解・院内寛解[#All],MATCH($AN25,年齢階層×在院期間区分F02F09＿寛解・院内寛解[[#All],[行ラベル]],0),MATCH($AO$4,年齢階層×在院期間区分F02F09＿寛解・院内寛解[#Headers],0)),0)+IFERROR(INDEX(年齢階層×在院期間区分F02F09＿寛解・院内寛解[#All],MATCH($AN25,年齢階層×在院期間区分F02F09＿寛解・院内寛解[[#All],[行ラベル]],0),MATCH($AP$4,年齢階層×在院期間区分F02F09＿寛解・院内寛解[#Headers],0)),0)+IFERROR(INDEX(年齢階層×在院期間区分F02F09＿寛解・院内寛解[#All],MATCH($AN25,年齢階層×在院期間区分F02F09＿寛解・院内寛解[[#All],[行ラベル]],0),MATCH($AQ$4,年齢階層×在院期間区分F02F09＿寛解・院内寛解[#Headers],0)),0)+IFERROR(INDEX(年齢階層×在院期間区分F02F09＿寛解・院内寛解[#All],MATCH($AN25,年齢階層×在院期間区分F02F09＿寛解・院内寛解[[#All],[行ラベル]],0),MATCH($AR$4,年齢階層×在院期間区分F02F09＿寛解・院内寛解[#Headers],0)),0)</f>
        <v>1</v>
      </c>
      <c r="D25" s="128">
        <f t="shared" si="6"/>
        <v>1.0309278350515464E-2</v>
      </c>
      <c r="E25" s="127">
        <f>IFERROR(INDEX(年齢階層×在院期間区分F02F09＿寛解・院内寛解[#All],MATCH($AN25,年齢階層×在院期間区分F02F09＿寛解・院内寛解[[#All],[行ラベル]],0),MATCH($AS$4,年齢階層×在院期間区分F02F09＿寛解・院内寛解[#Headers],0)),0)+IFERROR(INDEX(年齢階層×在院期間区分F02F09＿寛解・院内寛解[#All],MATCH($AN25,年齢階層×在院期間区分F02F09＿寛解・院内寛解[[#All],[行ラベル]],0),MATCH($AT$4,年齢階層×在院期間区分F02F09＿寛解・院内寛解[#Headers],0)),0)+IFERROR(INDEX(年齢階層×在院期間区分F02F09＿寛解・院内寛解[#All],MATCH($AN25,年齢階層×在院期間区分F02F09＿寛解・院内寛解[[#All],[行ラベル]],0),MATCH($AU$4,年齢階層×在院期間区分F02F09＿寛解・院内寛解[#Headers],0)),0)+IFERROR(INDEX(年齢階層×在院期間区分F02F09＿寛解・院内寛解[#All],MATCH($AN25,年齢階層×在院期間区分F02F09＿寛解・院内寛解[[#All],[行ラベル]],0),MATCH($AV$4,年齢階層×在院期間区分F02F09＿寛解・院内寛解[#Headers],0)),0)+IFERROR(INDEX(年齢階層×在院期間区分F02F09＿寛解・院内寛解[#All],MATCH($AN25,年齢階層×在院期間区分F02F09＿寛解・院内寛解[[#All],[行ラベル]],0),MATCH($AW$4,年齢階層×在院期間区分F02F09＿寛解・院内寛解[#Headers],0)),0)</f>
        <v>0</v>
      </c>
      <c r="F25" s="128">
        <f t="shared" si="7"/>
        <v>0</v>
      </c>
      <c r="G25" s="127">
        <f>IFERROR(INDEX(年齢階層×在院期間区分F02F09＿寛解・院内寛解[#All],MATCH($AN25,年齢階層×在院期間区分F02F09＿寛解・院内寛解[[#All],[行ラベル]],0),MATCH($AX$4,年齢階層×在院期間区分F02F09＿寛解・院内寛解[#Headers],0)),0)+IFERROR(INDEX(年齢階層×在院期間区分F02F09＿寛解・院内寛解[#All],MATCH($AN25,年齢階層×在院期間区分F02F09＿寛解・院内寛解[[#All],[行ラベル]],0),MATCH($AY$4,年齢階層×在院期間区分F02F09＿寛解・院内寛解[#Headers],0)),0)+IFERROR(INDEX(年齢階層×在院期間区分F02F09＿寛解・院内寛解[#All],MATCH($AN25,年齢階層×在院期間区分F02F09＿寛解・院内寛解[[#All],[行ラベル]],0),MATCH($AZ$4,年齢階層×在院期間区分F02F09＿寛解・院内寛解[#Headers],0)),0)+IFERROR(INDEX(年齢階層×在院期間区分F02F09＿寛解・院内寛解[#All],MATCH($AN25,年齢階層×在院期間区分F02F09＿寛解・院内寛解[[#All],[行ラベル]],0),MATCH($BA$4,年齢階層×在院期間区分F02F09＿寛解・院内寛解[#Headers],0)),0)+IFERROR(INDEX(年齢階層×在院期間区分F02F09＿寛解・院内寛解[#All],MATCH($AN25,年齢階層×在院期間区分F02F09＿寛解・院内寛解[[#All],[行ラベル]],0),MATCH($BB$4,年齢階層×在院期間区分F02F09＿寛解・院内寛解[#Headers],0)),0)</f>
        <v>0</v>
      </c>
      <c r="H25" s="128">
        <f t="shared" si="8"/>
        <v>0</v>
      </c>
      <c r="I25" s="127">
        <f>IFERROR(INDEX(年齢階層×在院期間区分F02F09＿寛解・院内寛解[#All],MATCH($AN25,年齢階層×在院期間区分F02F09＿寛解・院内寛解[[#All],[行ラベル]],0),MATCH($BC$4,年齢階層×在院期間区分F02F09＿寛解・院内寛解[#Headers],0)),0)+IFERROR(INDEX(年齢階層×在院期間区分F02F09＿寛解・院内寛解[#All],MATCH($AN25,年齢階層×在院期間区分F02F09＿寛解・院内寛解[[#All],[行ラベル]],0),MATCH($BD$4,年齢階層×在院期間区分F02F09＿寛解・院内寛解[#Headers],0)),0)</f>
        <v>0</v>
      </c>
      <c r="J25" s="128">
        <f t="shared" si="9"/>
        <v>0</v>
      </c>
      <c r="K25" s="127">
        <f t="shared" si="10"/>
        <v>1</v>
      </c>
      <c r="L25" s="128">
        <f t="shared" si="11"/>
        <v>6.9444444444444441E-3</v>
      </c>
      <c r="M25" s="745"/>
      <c r="N25" s="745"/>
      <c r="O25" s="745"/>
      <c r="R25" s="41" t="s">
        <v>7</v>
      </c>
      <c r="S25" s="49">
        <v>2</v>
      </c>
      <c r="T25" s="49">
        <v>2</v>
      </c>
      <c r="U25" s="49">
        <v>4</v>
      </c>
      <c r="V25" s="49">
        <v>1</v>
      </c>
      <c r="W25" s="49">
        <v>2</v>
      </c>
      <c r="X25" s="49">
        <v>1</v>
      </c>
      <c r="Y25" s="49">
        <v>1</v>
      </c>
      <c r="Z25" s="49">
        <v>0</v>
      </c>
      <c r="AA25" s="49">
        <v>0</v>
      </c>
      <c r="AB25" s="49">
        <v>1</v>
      </c>
      <c r="AC25" s="49">
        <v>1</v>
      </c>
      <c r="AD25" s="49">
        <v>1</v>
      </c>
      <c r="AE25" s="49">
        <v>0</v>
      </c>
      <c r="AF25" s="49">
        <v>0</v>
      </c>
      <c r="AG25" s="49">
        <v>1</v>
      </c>
      <c r="AH25" s="49">
        <v>0</v>
      </c>
      <c r="AN25" s="41" t="s">
        <v>5</v>
      </c>
    </row>
    <row r="26" spans="2:44" s="16" customFormat="1" ht="18.75" customHeight="1" x14ac:dyDescent="0.2">
      <c r="B26" s="149" t="s">
        <v>6</v>
      </c>
      <c r="C26" s="151">
        <f>IFERROR(INDEX(年齢階層×在院期間区分F02F09＿寛解・院内寛解[#All],MATCH($AN26,年齢階層×在院期間区分F02F09＿寛解・院内寛解[[#All],[行ラベル]],0),MATCH($AO$4,年齢階層×在院期間区分F02F09＿寛解・院内寛解[#Headers],0)),0)+IFERROR(INDEX(年齢階層×在院期間区分F02F09＿寛解・院内寛解[#All],MATCH($AN26,年齢階層×在院期間区分F02F09＿寛解・院内寛解[[#All],[行ラベル]],0),MATCH($AP$4,年齢階層×在院期間区分F02F09＿寛解・院内寛解[#Headers],0)),0)+IFERROR(INDEX(年齢階層×在院期間区分F02F09＿寛解・院内寛解[#All],MATCH($AN26,年齢階層×在院期間区分F02F09＿寛解・院内寛解[[#All],[行ラベル]],0),MATCH($AQ$4,年齢階層×在院期間区分F02F09＿寛解・院内寛解[#Headers],0)),0)+IFERROR(INDEX(年齢階層×在院期間区分F02F09＿寛解・院内寛解[#All],MATCH($AN26,年齢階層×在院期間区分F02F09＿寛解・院内寛解[[#All],[行ラベル]],0),MATCH($AR$4,年齢階層×在院期間区分F02F09＿寛解・院内寛解[#Headers],0)),0)</f>
        <v>3</v>
      </c>
      <c r="D26" s="128">
        <f t="shared" si="6"/>
        <v>3.0927835051546393E-2</v>
      </c>
      <c r="E26" s="127">
        <f>IFERROR(INDEX(年齢階層×在院期間区分F02F09＿寛解・院内寛解[#All],MATCH($AN26,年齢階層×在院期間区分F02F09＿寛解・院内寛解[[#All],[行ラベル]],0),MATCH($AS$4,年齢階層×在院期間区分F02F09＿寛解・院内寛解[#Headers],0)),0)+IFERROR(INDEX(年齢階層×在院期間区分F02F09＿寛解・院内寛解[#All],MATCH($AN26,年齢階層×在院期間区分F02F09＿寛解・院内寛解[[#All],[行ラベル]],0),MATCH($AT$4,年齢階層×在院期間区分F02F09＿寛解・院内寛解[#Headers],0)),0)+IFERROR(INDEX(年齢階層×在院期間区分F02F09＿寛解・院内寛解[#All],MATCH($AN26,年齢階層×在院期間区分F02F09＿寛解・院内寛解[[#All],[行ラベル]],0),MATCH($AU$4,年齢階層×在院期間区分F02F09＿寛解・院内寛解[#Headers],0)),0)+IFERROR(INDEX(年齢階層×在院期間区分F02F09＿寛解・院内寛解[#All],MATCH($AN26,年齢階層×在院期間区分F02F09＿寛解・院内寛解[[#All],[行ラベル]],0),MATCH($AV$4,年齢階層×在院期間区分F02F09＿寛解・院内寛解[#Headers],0)),0)+IFERROR(INDEX(年齢階層×在院期間区分F02F09＿寛解・院内寛解[#All],MATCH($AN26,年齢階層×在院期間区分F02F09＿寛解・院内寛解[[#All],[行ラベル]],0),MATCH($AW$4,年齢階層×在院期間区分F02F09＿寛解・院内寛解[#Headers],0)),0)</f>
        <v>0</v>
      </c>
      <c r="F26" s="128">
        <f t="shared" si="7"/>
        <v>0</v>
      </c>
      <c r="G26" s="151">
        <f>IFERROR(INDEX(年齢階層×在院期間区分F02F09＿寛解・院内寛解[#All],MATCH($AN26,年齢階層×在院期間区分F02F09＿寛解・院内寛解[[#All],[行ラベル]],0),MATCH($AX$4,年齢階層×在院期間区分F02F09＿寛解・院内寛解[#Headers],0)),0)+IFERROR(INDEX(年齢階層×在院期間区分F02F09＿寛解・院内寛解[#All],MATCH($AN26,年齢階層×在院期間区分F02F09＿寛解・院内寛解[[#All],[行ラベル]],0),MATCH($AY$4,年齢階層×在院期間区分F02F09＿寛解・院内寛解[#Headers],0)),0)+IFERROR(INDEX(年齢階層×在院期間区分F02F09＿寛解・院内寛解[#All],MATCH($AN26,年齢階層×在院期間区分F02F09＿寛解・院内寛解[[#All],[行ラベル]],0),MATCH($AZ$4,年齢階層×在院期間区分F02F09＿寛解・院内寛解[#Headers],0)),0)+IFERROR(INDEX(年齢階層×在院期間区分F02F09＿寛解・院内寛解[#All],MATCH($AN26,年齢階層×在院期間区分F02F09＿寛解・院内寛解[[#All],[行ラベル]],0),MATCH($BA$4,年齢階層×在院期間区分F02F09＿寛解・院内寛解[#Headers],0)),0)+IFERROR(INDEX(年齢階層×在院期間区分F02F09＿寛解・院内寛解[#All],MATCH($AN26,年齢階層×在院期間区分F02F09＿寛解・院内寛解[[#All],[行ラベル]],0),MATCH($BB$4,年齢階層×在院期間区分F02F09＿寛解・院内寛解[#Headers],0)),0)</f>
        <v>2</v>
      </c>
      <c r="H26" s="128">
        <f t="shared" si="8"/>
        <v>0.13333333333333333</v>
      </c>
      <c r="I26" s="127">
        <f>IFERROR(INDEX(年齢階層×在院期間区分F02F09＿寛解・院内寛解[#All],MATCH($AN26,年齢階層×在院期間区分F02F09＿寛解・院内寛解[[#All],[行ラベル]],0),MATCH($BC$4,年齢階層×在院期間区分F02F09＿寛解・院内寛解[#Headers],0)),0)+IFERROR(INDEX(年齢階層×在院期間区分F02F09＿寛解・院内寛解[#All],MATCH($AN26,年齢階層×在院期間区分F02F09＿寛解・院内寛解[[#All],[行ラベル]],0),MATCH($BD$4,年齢階層×在院期間区分F02F09＿寛解・院内寛解[#Headers],0)),0)</f>
        <v>1</v>
      </c>
      <c r="J26" s="128">
        <f t="shared" si="9"/>
        <v>0.33333333333333331</v>
      </c>
      <c r="K26" s="127">
        <f t="shared" si="10"/>
        <v>6</v>
      </c>
      <c r="L26" s="128">
        <f t="shared" si="11"/>
        <v>4.1666666666666664E-2</v>
      </c>
      <c r="M26" s="745"/>
      <c r="N26" s="745"/>
      <c r="O26" s="745"/>
      <c r="R26" s="41" t="s">
        <v>8</v>
      </c>
      <c r="S26" s="49">
        <v>8</v>
      </c>
      <c r="T26" s="49">
        <v>11</v>
      </c>
      <c r="U26" s="49">
        <v>5</v>
      </c>
      <c r="V26" s="49">
        <v>5</v>
      </c>
      <c r="W26" s="49">
        <v>2</v>
      </c>
      <c r="X26" s="49">
        <v>2</v>
      </c>
      <c r="Y26" s="49">
        <v>2</v>
      </c>
      <c r="Z26" s="49">
        <v>2</v>
      </c>
      <c r="AA26" s="49">
        <v>0</v>
      </c>
      <c r="AB26" s="49">
        <v>0</v>
      </c>
      <c r="AC26" s="49">
        <v>3</v>
      </c>
      <c r="AD26" s="49">
        <v>1</v>
      </c>
      <c r="AE26" s="49">
        <v>1</v>
      </c>
      <c r="AF26" s="49">
        <v>0</v>
      </c>
      <c r="AG26" s="49">
        <v>0</v>
      </c>
      <c r="AH26" s="49">
        <v>1</v>
      </c>
      <c r="AN26" s="41" t="s">
        <v>6</v>
      </c>
    </row>
    <row r="27" spans="2:44" s="16" customFormat="1" ht="18.75" customHeight="1" x14ac:dyDescent="0.2">
      <c r="B27" s="149" t="s">
        <v>7</v>
      </c>
      <c r="C27" s="150">
        <f>IFERROR(INDEX(年齢階層×在院期間区分F02F09＿寛解・院内寛解[#All],MATCH($AN27,年齢階層×在院期間区分F02F09＿寛解・院内寛解[[#All],[行ラベル]],0),MATCH($AO$4,年齢階層×在院期間区分F02F09＿寛解・院内寛解[#Headers],0)),0)+IFERROR(INDEX(年齢階層×在院期間区分F02F09＿寛解・院内寛解[#All],MATCH($AN27,年齢階層×在院期間区分F02F09＿寛解・院内寛解[[#All],[行ラベル]],0),MATCH($AP$4,年齢階層×在院期間区分F02F09＿寛解・院内寛解[#Headers],0)),0)+IFERROR(INDEX(年齢階層×在院期間区分F02F09＿寛解・院内寛解[#All],MATCH($AN27,年齢階層×在院期間区分F02F09＿寛解・院内寛解[[#All],[行ラベル]],0),MATCH($AQ$4,年齢階層×在院期間区分F02F09＿寛解・院内寛解[#Headers],0)),0)+IFERROR(INDEX(年齢階層×在院期間区分F02F09＿寛解・院内寛解[#All],MATCH($AN27,年齢階層×在院期間区分F02F09＿寛解・院内寛解[[#All],[行ラベル]],0),MATCH($AR$4,年齢階層×在院期間区分F02F09＿寛解・院内寛解[#Headers],0)),0)</f>
        <v>9</v>
      </c>
      <c r="D27" s="128">
        <f t="shared" si="6"/>
        <v>9.2783505154639179E-2</v>
      </c>
      <c r="E27" s="127">
        <f>IFERROR(INDEX(年齢階層×在院期間区分F02F09＿寛解・院内寛解[#All],MATCH($AN27,年齢階層×在院期間区分F02F09＿寛解・院内寛解[[#All],[行ラベル]],0),MATCH($AS$4,年齢階層×在院期間区分F02F09＿寛解・院内寛解[#Headers],0)),0)+IFERROR(INDEX(年齢階層×在院期間区分F02F09＿寛解・院内寛解[#All],MATCH($AN27,年齢階層×在院期間区分F02F09＿寛解・院内寛解[[#All],[行ラベル]],0),MATCH($AT$4,年齢階層×在院期間区分F02F09＿寛解・院内寛解[#Headers],0)),0)+IFERROR(INDEX(年齢階層×在院期間区分F02F09＿寛解・院内寛解[#All],MATCH($AN27,年齢階層×在院期間区分F02F09＿寛解・院内寛解[[#All],[行ラベル]],0),MATCH($AU$4,年齢階層×在院期間区分F02F09＿寛解・院内寛解[#Headers],0)),0)+IFERROR(INDEX(年齢階層×在院期間区分F02F09＿寛解・院内寛解[#All],MATCH($AN27,年齢階層×在院期間区分F02F09＿寛解・院内寛解[[#All],[行ラベル]],0),MATCH($AV$4,年齢階層×在院期間区分F02F09＿寛解・院内寛解[#Headers],0)),0)+IFERROR(INDEX(年齢階層×在院期間区分F02F09＿寛解・院内寛解[#All],MATCH($AN27,年齢階層×在院期間区分F02F09＿寛解・院内寛解[[#All],[行ラベル]],0),MATCH($AW$4,年齢階層×在院期間区分F02F09＿寛解・院内寛解[#Headers],0)),0)</f>
        <v>4</v>
      </c>
      <c r="F27" s="128">
        <f t="shared" si="7"/>
        <v>0.13793103448275862</v>
      </c>
      <c r="G27" s="150">
        <f>IFERROR(INDEX(年齢階層×在院期間区分F02F09＿寛解・院内寛解[#All],MATCH($AN27,年齢階層×在院期間区分F02F09＿寛解・院内寛解[[#All],[行ラベル]],0),MATCH($AX$4,年齢階層×在院期間区分F02F09＿寛解・院内寛解[#Headers],0)),0)+IFERROR(INDEX(年齢階層×在院期間区分F02F09＿寛解・院内寛解[#All],MATCH($AN27,年齢階層×在院期間区分F02F09＿寛解・院内寛解[[#All],[行ラベル]],0),MATCH($AY$4,年齢階層×在院期間区分F02F09＿寛解・院内寛解[#Headers],0)),0)+IFERROR(INDEX(年齢階層×在院期間区分F02F09＿寛解・院内寛解[#All],MATCH($AN27,年齢階層×在院期間区分F02F09＿寛解・院内寛解[[#All],[行ラベル]],0),MATCH($AZ$4,年齢階層×在院期間区分F02F09＿寛解・院内寛解[#Headers],0)),0)+IFERROR(INDEX(年齢階層×在院期間区分F02F09＿寛解・院内寛解[#All],MATCH($AN27,年齢階層×在院期間区分F02F09＿寛解・院内寛解[[#All],[行ラベル]],0),MATCH($BA$4,年齢階層×在院期間区分F02F09＿寛解・院内寛解[#Headers],0)),0)+IFERROR(INDEX(年齢階層×在院期間区分F02F09＿寛解・院内寛解[#All],MATCH($AN27,年齢階層×在院期間区分F02F09＿寛解・院内寛解[[#All],[行ラベル]],0),MATCH($BB$4,年齢階層×在院期間区分F02F09＿寛解・院内寛解[#Headers],0)),0)</f>
        <v>3</v>
      </c>
      <c r="H27" s="128">
        <f t="shared" si="8"/>
        <v>0.2</v>
      </c>
      <c r="I27" s="127">
        <f>IFERROR(INDEX(年齢階層×在院期間区分F02F09＿寛解・院内寛解[#All],MATCH($AN27,年齢階層×在院期間区分F02F09＿寛解・院内寛解[[#All],[行ラベル]],0),MATCH($BC$4,年齢階層×在院期間区分F02F09＿寛解・院内寛解[#Headers],0)),0)+IFERROR(INDEX(年齢階層×在院期間区分F02F09＿寛解・院内寛解[#All],MATCH($AN27,年齢階層×在院期間区分F02F09＿寛解・院内寛解[[#All],[行ラベル]],0),MATCH($BD$4,年齢階層×在院期間区分F02F09＿寛解・院内寛解[#Headers],0)),0)</f>
        <v>1</v>
      </c>
      <c r="J27" s="128">
        <f t="shared" si="9"/>
        <v>0.33333333333333331</v>
      </c>
      <c r="K27" s="127">
        <f t="shared" si="10"/>
        <v>17</v>
      </c>
      <c r="L27" s="128">
        <f t="shared" si="11"/>
        <v>0.11805555555555555</v>
      </c>
      <c r="M27" s="745"/>
      <c r="N27" s="745"/>
      <c r="O27" s="745"/>
      <c r="R27" s="41" t="s">
        <v>9</v>
      </c>
      <c r="S27" s="49">
        <v>10</v>
      </c>
      <c r="T27" s="49">
        <v>13</v>
      </c>
      <c r="U27" s="49">
        <v>7</v>
      </c>
      <c r="V27" s="49">
        <v>11</v>
      </c>
      <c r="W27" s="49">
        <v>2</v>
      </c>
      <c r="X27" s="49">
        <v>3</v>
      </c>
      <c r="Y27" s="49">
        <v>4</v>
      </c>
      <c r="Z27" s="49">
        <v>3</v>
      </c>
      <c r="AA27" s="49">
        <v>0</v>
      </c>
      <c r="AB27" s="49">
        <v>2</v>
      </c>
      <c r="AC27" s="49">
        <v>0</v>
      </c>
      <c r="AD27" s="49">
        <v>0</v>
      </c>
      <c r="AE27" s="49">
        <v>1</v>
      </c>
      <c r="AF27" s="49">
        <v>1</v>
      </c>
      <c r="AG27" s="49">
        <v>0</v>
      </c>
      <c r="AH27" s="49">
        <v>0</v>
      </c>
      <c r="AN27" s="41" t="s">
        <v>7</v>
      </c>
    </row>
    <row r="28" spans="2:44" s="16" customFormat="1" ht="18.75" customHeight="1" thickBot="1" x14ac:dyDescent="0.25">
      <c r="B28" s="149" t="s">
        <v>8</v>
      </c>
      <c r="C28" s="127">
        <f>IFERROR(INDEX(年齢階層×在院期間区分F02F09＿寛解・院内寛解[#All],MATCH($AN28,年齢階層×在院期間区分F02F09＿寛解・院内寛解[[#All],[行ラベル]],0),MATCH($AO$4,年齢階層×在院期間区分F02F09＿寛解・院内寛解[#Headers],0)),0)+IFERROR(INDEX(年齢階層×在院期間区分F02F09＿寛解・院内寛解[#All],MATCH($AN28,年齢階層×在院期間区分F02F09＿寛解・院内寛解[[#All],[行ラベル]],0),MATCH($AP$4,年齢階層×在院期間区分F02F09＿寛解・院内寛解[#Headers],0)),0)+IFERROR(INDEX(年齢階層×在院期間区分F02F09＿寛解・院内寛解[#All],MATCH($AN28,年齢階層×在院期間区分F02F09＿寛解・院内寛解[[#All],[行ラベル]],0),MATCH($AQ$4,年齢階層×在院期間区分F02F09＿寛解・院内寛解[#Headers],0)),0)+IFERROR(INDEX(年齢階層×在院期間区分F02F09＿寛解・院内寛解[#All],MATCH($AN28,年齢階層×在院期間区分F02F09＿寛解・院内寛解[[#All],[行ラベル]],0),MATCH($AR$4,年齢階層×在院期間区分F02F09＿寛解・院内寛解[#Headers],0)),0)</f>
        <v>29</v>
      </c>
      <c r="D28" s="128">
        <f t="shared" si="6"/>
        <v>0.29896907216494845</v>
      </c>
      <c r="E28" s="127">
        <f>IFERROR(INDEX(年齢階層×在院期間区分F02F09＿寛解・院内寛解[#All],MATCH($AN28,年齢階層×在院期間区分F02F09＿寛解・院内寛解[[#All],[行ラベル]],0),MATCH($AS$4,年齢階層×在院期間区分F02F09＿寛解・院内寛解[#Headers],0)),0)+IFERROR(INDEX(年齢階層×在院期間区分F02F09＿寛解・院内寛解[#All],MATCH($AN28,年齢階層×在院期間区分F02F09＿寛解・院内寛解[[#All],[行ラベル]],0),MATCH($AT$4,年齢階層×在院期間区分F02F09＿寛解・院内寛解[#Headers],0)),0)+IFERROR(INDEX(年齢階層×在院期間区分F02F09＿寛解・院内寛解[#All],MATCH($AN28,年齢階層×在院期間区分F02F09＿寛解・院内寛解[[#All],[行ラベル]],0),MATCH($AU$4,年齢階層×在院期間区分F02F09＿寛解・院内寛解[#Headers],0)),0)+IFERROR(INDEX(年齢階層×在院期間区分F02F09＿寛解・院内寛解[#All],MATCH($AN28,年齢階層×在院期間区分F02F09＿寛解・院内寛解[[#All],[行ラベル]],0),MATCH($AV$4,年齢階層×在院期間区分F02F09＿寛解・院内寛解[#Headers],0)),0)+IFERROR(INDEX(年齢階層×在院期間区分F02F09＿寛解・院内寛解[#All],MATCH($AN28,年齢階層×在院期間区分F02F09＿寛解・院内寛解[[#All],[行ラベル]],0),MATCH($AW$4,年齢階層×在院期間区分F02F09＿寛解・院内寛解[#Headers],0)),0)</f>
        <v>8</v>
      </c>
      <c r="F28" s="128">
        <f t="shared" si="7"/>
        <v>0.27586206896551724</v>
      </c>
      <c r="G28" s="150">
        <f>IFERROR(INDEX(年齢階層×在院期間区分F02F09＿寛解・院内寛解[#All],MATCH($AN28,年齢階層×在院期間区分F02F09＿寛解・院内寛解[[#All],[行ラベル]],0),MATCH($AX$4,年齢階層×在院期間区分F02F09＿寛解・院内寛解[#Headers],0)),0)+IFERROR(INDEX(年齢階層×在院期間区分F02F09＿寛解・院内寛解[#All],MATCH($AN28,年齢階層×在院期間区分F02F09＿寛解・院内寛解[[#All],[行ラベル]],0),MATCH($AY$4,年齢階層×在院期間区分F02F09＿寛解・院内寛解[#Headers],0)),0)+IFERROR(INDEX(年齢階層×在院期間区分F02F09＿寛解・院内寛解[#All],MATCH($AN28,年齢階層×在院期間区分F02F09＿寛解・院内寛解[[#All],[行ラベル]],0),MATCH($AZ$4,年齢階層×在院期間区分F02F09＿寛解・院内寛解[#Headers],0)),0)+IFERROR(INDEX(年齢階層×在院期間区分F02F09＿寛解・院内寛解[#All],MATCH($AN28,年齢階層×在院期間区分F02F09＿寛解・院内寛解[[#All],[行ラベル]],0),MATCH($BA$4,年齢階層×在院期間区分F02F09＿寛解・院内寛解[#Headers],0)),0)+IFERROR(INDEX(年齢階層×在院期間区分F02F09＿寛解・院内寛解[#All],MATCH($AN28,年齢階層×在院期間区分F02F09＿寛解・院内寛解[[#All],[行ラベル]],0),MATCH($BB$4,年齢階層×在院期間区分F02F09＿寛解・院内寛解[#Headers],0)),0)</f>
        <v>5</v>
      </c>
      <c r="H28" s="128">
        <f t="shared" si="8"/>
        <v>0.33333333333333331</v>
      </c>
      <c r="I28" s="127">
        <f>IFERROR(INDEX(年齢階層×在院期間区分F02F09＿寛解・院内寛解[#All],MATCH($AN28,年齢階層×在院期間区分F02F09＿寛解・院内寛解[[#All],[行ラベル]],0),MATCH($BC$4,年齢階層×在院期間区分F02F09＿寛解・院内寛解[#Headers],0)),0)+IFERROR(INDEX(年齢階層×在院期間区分F02F09＿寛解・院内寛解[#All],MATCH($AN28,年齢階層×在院期間区分F02F09＿寛解・院内寛解[[#All],[行ラベル]],0),MATCH($BD$4,年齢階層×在院期間区分F02F09＿寛解・院内寛解[#Headers],0)),0)</f>
        <v>1</v>
      </c>
      <c r="J28" s="128">
        <f t="shared" si="9"/>
        <v>0.33333333333333331</v>
      </c>
      <c r="K28" s="127">
        <f t="shared" si="10"/>
        <v>43</v>
      </c>
      <c r="L28" s="128">
        <f t="shared" si="11"/>
        <v>0.2986111111111111</v>
      </c>
      <c r="M28" s="745"/>
      <c r="N28" s="745"/>
      <c r="O28" s="745"/>
      <c r="R28" s="41" t="s">
        <v>10</v>
      </c>
      <c r="S28" s="49">
        <v>4</v>
      </c>
      <c r="T28" s="49">
        <v>4</v>
      </c>
      <c r="U28" s="49">
        <v>4</v>
      </c>
      <c r="V28" s="49">
        <v>1</v>
      </c>
      <c r="W28" s="49">
        <v>0</v>
      </c>
      <c r="X28" s="49">
        <v>2</v>
      </c>
      <c r="Y28" s="49">
        <v>2</v>
      </c>
      <c r="Z28" s="49">
        <v>1</v>
      </c>
      <c r="AA28" s="49">
        <v>0</v>
      </c>
      <c r="AB28" s="49">
        <v>1</v>
      </c>
      <c r="AC28" s="49">
        <v>0</v>
      </c>
      <c r="AD28" s="49">
        <v>0</v>
      </c>
      <c r="AE28" s="49">
        <v>0</v>
      </c>
      <c r="AF28" s="49">
        <v>0</v>
      </c>
      <c r="AG28" s="49">
        <v>0</v>
      </c>
      <c r="AH28" s="49">
        <v>0</v>
      </c>
      <c r="AN28" s="41" t="s">
        <v>8</v>
      </c>
    </row>
    <row r="29" spans="2:44" s="16" customFormat="1" ht="18.75" customHeight="1" thickTop="1" thickBot="1" x14ac:dyDescent="0.25">
      <c r="B29" s="149" t="s">
        <v>9</v>
      </c>
      <c r="C29" s="151">
        <f>IFERROR(INDEX(年齢階層×在院期間区分F02F09＿寛解・院内寛解[#All],MATCH($AN29,年齢階層×在院期間区分F02F09＿寛解・院内寛解[[#All],[行ラベル]],0),MATCH($AO$4,年齢階層×在院期間区分F02F09＿寛解・院内寛解[#Headers],0)),0)+IFERROR(INDEX(年齢階層×在院期間区分F02F09＿寛解・院内寛解[#All],MATCH($AN29,年齢階層×在院期間区分F02F09＿寛解・院内寛解[[#All],[行ラベル]],0),MATCH($AP$4,年齢階層×在院期間区分F02F09＿寛解・院内寛解[#Headers],0)),0)+IFERROR(INDEX(年齢階層×在院期間区分F02F09＿寛解・院内寛解[#All],MATCH($AN29,年齢階層×在院期間区分F02F09＿寛解・院内寛解[[#All],[行ラベル]],0),MATCH($AQ$4,年齢階層×在院期間区分F02F09＿寛解・院内寛解[#Headers],0)),0)+IFERROR(INDEX(年齢階層×在院期間区分F02F09＿寛解・院内寛解[#All],MATCH($AN29,年齢階層×在院期間区分F02F09＿寛解・院内寛解[[#All],[行ラベル]],0),MATCH($AR$4,年齢階層×在院期間区分F02F09＿寛解・院内寛解[#Headers],0)),0)</f>
        <v>41</v>
      </c>
      <c r="D29" s="128">
        <f t="shared" si="6"/>
        <v>0.42268041237113402</v>
      </c>
      <c r="E29" s="151">
        <f>IFERROR(INDEX(年齢階層×在院期間区分F02F09＿寛解・院内寛解[#All],MATCH($AN29,年齢階層×在院期間区分F02F09＿寛解・院内寛解[[#All],[行ラベル]],0),MATCH($AS$4,年齢階層×在院期間区分F02F09＿寛解・院内寛解[#Headers],0)),0)+IFERROR(INDEX(年齢階層×在院期間区分F02F09＿寛解・院内寛解[#All],MATCH($AN29,年齢階層×在院期間区分F02F09＿寛解・院内寛解[[#All],[行ラベル]],0),MATCH($AT$4,年齢階層×在院期間区分F02F09＿寛解・院内寛解[#Headers],0)),0)+IFERROR(INDEX(年齢階層×在院期間区分F02F09＿寛解・院内寛解[#All],MATCH($AN29,年齢階層×在院期間区分F02F09＿寛解・院内寛解[[#All],[行ラベル]],0),MATCH($AU$4,年齢階層×在院期間区分F02F09＿寛解・院内寛解[#Headers],0)),0)+IFERROR(INDEX(年齢階層×在院期間区分F02F09＿寛解・院内寛解[#All],MATCH($AN29,年齢階層×在院期間区分F02F09＿寛解・院内寛解[[#All],[行ラベル]],0),MATCH($AV$4,年齢階層×在院期間区分F02F09＿寛解・院内寛解[#Headers],0)),0)+IFERROR(INDEX(年齢階層×在院期間区分F02F09＿寛解・院内寛解[#All],MATCH($AN29,年齢階層×在院期間区分F02F09＿寛解・院内寛解[[#All],[行ラベル]],0),MATCH($AW$4,年齢階層×在院期間区分F02F09＿寛解・院内寛解[#Headers],0)),0)</f>
        <v>12</v>
      </c>
      <c r="F29" s="128">
        <f t="shared" si="7"/>
        <v>0.41379310344827586</v>
      </c>
      <c r="G29" s="127">
        <f>IFERROR(INDEX(年齢階層×在院期間区分F02F09＿寛解・院内寛解[#All],MATCH($AN29,年齢階層×在院期間区分F02F09＿寛解・院内寛解[[#All],[行ラベル]],0),MATCH($AX$4,年齢階層×在院期間区分F02F09＿寛解・院内寛解[#Headers],0)),0)+IFERROR(INDEX(年齢階層×在院期間区分F02F09＿寛解・院内寛解[#All],MATCH($AN29,年齢階層×在院期間区分F02F09＿寛解・院内寛解[[#All],[行ラベル]],0),MATCH($AY$4,年齢階層×在院期間区分F02F09＿寛解・院内寛解[#Headers],0)),0)+IFERROR(INDEX(年齢階層×在院期間区分F02F09＿寛解・院内寛解[#All],MATCH($AN29,年齢階層×在院期間区分F02F09＿寛解・院内寛解[[#All],[行ラベル]],0),MATCH($AZ$4,年齢階層×在院期間区分F02F09＿寛解・院内寛解[#Headers],0)),0)+IFERROR(INDEX(年齢階層×在院期間区分F02F09＿寛解・院内寛解[#All],MATCH($AN29,年齢階層×在院期間区分F02F09＿寛解・院内寛解[[#All],[行ラベル]],0),MATCH($BA$4,年齢階層×在院期間区分F02F09＿寛解・院内寛解[#Headers],0)),0)+IFERROR(INDEX(年齢階層×在院期間区分F02F09＿寛解・院内寛解[#All],MATCH($AN29,年齢階層×在院期間区分F02F09＿寛解・院内寛解[[#All],[行ラベル]],0),MATCH($BB$4,年齢階層×在院期間区分F02F09＿寛解・院内寛解[#Headers],0)),0)</f>
        <v>4</v>
      </c>
      <c r="H29" s="128">
        <f t="shared" si="8"/>
        <v>0.26666666666666666</v>
      </c>
      <c r="I29" s="127">
        <f>IFERROR(INDEX(年齢階層×在院期間区分F02F09＿寛解・院内寛解[#All],MATCH($AN29,年齢階層×在院期間区分F02F09＿寛解・院内寛解[[#All],[行ラベル]],0),MATCH($BC$4,年齢階層×在院期間区分F02F09＿寛解・院内寛解[#Headers],0)),0)+IFERROR(INDEX(年齢階層×在院期間区分F02F09＿寛解・院内寛解[#All],MATCH($AN29,年齢階層×在院期間区分F02F09＿寛解・院内寛解[[#All],[行ラベル]],0),MATCH($BD$4,年齢階層×在院期間区分F02F09＿寛解・院内寛解[#Headers],0)),0)</f>
        <v>0</v>
      </c>
      <c r="J29" s="128">
        <f t="shared" si="9"/>
        <v>0</v>
      </c>
      <c r="K29" s="127">
        <f t="shared" si="10"/>
        <v>57</v>
      </c>
      <c r="L29" s="128">
        <f t="shared" si="11"/>
        <v>0.39583333333333331</v>
      </c>
      <c r="M29" s="745"/>
      <c r="N29" s="745"/>
      <c r="O29" s="745"/>
      <c r="R29" s="798" t="s">
        <v>727</v>
      </c>
      <c r="S29" s="296" t="s">
        <v>677</v>
      </c>
      <c r="T29" s="306" t="s">
        <v>678</v>
      </c>
      <c r="U29" s="306" t="s">
        <v>679</v>
      </c>
      <c r="V29" s="306" t="s">
        <v>680</v>
      </c>
      <c r="W29" s="306" t="s">
        <v>681</v>
      </c>
      <c r="X29" s="306" t="s">
        <v>682</v>
      </c>
      <c r="Y29" s="306" t="s">
        <v>683</v>
      </c>
      <c r="Z29" s="306" t="s">
        <v>340</v>
      </c>
      <c r="AA29" s="306" t="s">
        <v>684</v>
      </c>
      <c r="AB29" s="306" t="s">
        <v>685</v>
      </c>
      <c r="AC29" s="306" t="s">
        <v>686</v>
      </c>
      <c r="AD29" s="306" t="s">
        <v>687</v>
      </c>
      <c r="AE29" s="306" t="s">
        <v>688</v>
      </c>
      <c r="AF29" s="306" t="s">
        <v>689</v>
      </c>
      <c r="AG29" s="306" t="s">
        <v>690</v>
      </c>
      <c r="AH29" s="43" t="s">
        <v>691</v>
      </c>
      <c r="AN29" s="41" t="s">
        <v>9</v>
      </c>
    </row>
    <row r="30" spans="2:44" s="16" customFormat="1" ht="18.75" customHeight="1" thickTop="1" x14ac:dyDescent="0.2">
      <c r="B30" s="152" t="s">
        <v>10</v>
      </c>
      <c r="C30" s="130">
        <f>IFERROR(INDEX(年齢階層×在院期間区分F02F09＿寛解・院内寛解[#All],MATCH($AN30,年齢階層×在院期間区分F02F09＿寛解・院内寛解[[#All],[行ラベル]],0),MATCH($AO$4,年齢階層×在院期間区分F02F09＿寛解・院内寛解[#Headers],0)),0)+IFERROR(INDEX(年齢階層×在院期間区分F02F09＿寛解・院内寛解[#All],MATCH($AN30,年齢階層×在院期間区分F02F09＿寛解・院内寛解[[#All],[行ラベル]],0),MATCH($AP$4,年齢階層×在院期間区分F02F09＿寛解・院内寛解[#Headers],0)),0)+IFERROR(INDEX(年齢階層×在院期間区分F02F09＿寛解・院内寛解[#All],MATCH($AN30,年齢階層×在院期間区分F02F09＿寛解・院内寛解[[#All],[行ラベル]],0),MATCH($AQ$4,年齢階層×在院期間区分F02F09＿寛解・院内寛解[#Headers],0)),0)+IFERROR(INDEX(年齢階層×在院期間区分F02F09＿寛解・院内寛解[#All],MATCH($AN30,年齢階層×在院期間区分F02F09＿寛解・院内寛解[[#All],[行ラベル]],0),MATCH($AR$4,年齢階層×在院期間区分F02F09＿寛解・院内寛解[#Headers],0)),0)</f>
        <v>13</v>
      </c>
      <c r="D30" s="132">
        <f t="shared" si="6"/>
        <v>0.13402061855670103</v>
      </c>
      <c r="E30" s="130">
        <f>IFERROR(INDEX(年齢階層×在院期間区分F02F09＿寛解・院内寛解[#All],MATCH($AN30,年齢階層×在院期間区分F02F09＿寛解・院内寛解[[#All],[行ラベル]],0),MATCH($AS$4,年齢階層×在院期間区分F02F09＿寛解・院内寛解[#Headers],0)),0)+IFERROR(INDEX(年齢階層×在院期間区分F02F09＿寛解・院内寛解[#All],MATCH($AN30,年齢階層×在院期間区分F02F09＿寛解・院内寛解[[#All],[行ラベル]],0),MATCH($AT$4,年齢階層×在院期間区分F02F09＿寛解・院内寛解[#Headers],0)),0)+IFERROR(INDEX(年齢階層×在院期間区分F02F09＿寛解・院内寛解[#All],MATCH($AN30,年齢階層×在院期間区分F02F09＿寛解・院内寛解[[#All],[行ラベル]],0),MATCH($AU$4,年齢階層×在院期間区分F02F09＿寛解・院内寛解[#Headers],0)),0)+IFERROR(INDEX(年齢階層×在院期間区分F02F09＿寛解・院内寛解[#All],MATCH($AN30,年齢階層×在院期間区分F02F09＿寛解・院内寛解[[#All],[行ラベル]],0),MATCH($AV$4,年齢階層×在院期間区分F02F09＿寛解・院内寛解[#Headers],0)),0)+IFERROR(INDEX(年齢階層×在院期間区分F02F09＿寛解・院内寛解[#All],MATCH($AN30,年齢階層×在院期間区分F02F09＿寛解・院内寛解[[#All],[行ラベル]],0),MATCH($AW$4,年齢階層×在院期間区分F02F09＿寛解・院内寛解[#Headers],0)),0)</f>
        <v>5</v>
      </c>
      <c r="F30" s="144">
        <f t="shared" si="7"/>
        <v>0.17241379310344829</v>
      </c>
      <c r="G30" s="153">
        <f>IFERROR(INDEX(年齢階層×在院期間区分F02F09＿寛解・院内寛解[#All],MATCH($AN30,年齢階層×在院期間区分F02F09＿寛解・院内寛解[[#All],[行ラベル]],0),MATCH($AX$4,年齢階層×在院期間区分F02F09＿寛解・院内寛解[#Headers],0)),0)+IFERROR(INDEX(年齢階層×在院期間区分F02F09＿寛解・院内寛解[#All],MATCH($AN30,年齢階層×在院期間区分F02F09＿寛解・院内寛解[[#All],[行ラベル]],0),MATCH($AY$4,年齢階層×在院期間区分F02F09＿寛解・院内寛解[#Headers],0)),0)+IFERROR(INDEX(年齢階層×在院期間区分F02F09＿寛解・院内寛解[#All],MATCH($AN30,年齢階層×在院期間区分F02F09＿寛解・院内寛解[[#All],[行ラベル]],0),MATCH($AZ$4,年齢階層×在院期間区分F02F09＿寛解・院内寛解[#Headers],0)),0)+IFERROR(INDEX(年齢階層×在院期間区分F02F09＿寛解・院内寛解[#All],MATCH($AN30,年齢階層×在院期間区分F02F09＿寛解・院内寛解[[#All],[行ラベル]],0),MATCH($BA$4,年齢階層×在院期間区分F02F09＿寛解・院内寛解[#Headers],0)),0)+IFERROR(INDEX(年齢階層×在院期間区分F02F09＿寛解・院内寛解[#All],MATCH($AN30,年齢階層×在院期間区分F02F09＿寛解・院内寛解[[#All],[行ラベル]],0),MATCH($BB$4,年齢階層×在院期間区分F02F09＿寛解・院内寛解[#Headers],0)),0)</f>
        <v>1</v>
      </c>
      <c r="H30" s="144">
        <f t="shared" si="8"/>
        <v>6.6666666666666666E-2</v>
      </c>
      <c r="I30" s="153">
        <f>IFERROR(INDEX(年齢階層×在院期間区分F02F09＿寛解・院内寛解[#All],MATCH($AN30,年齢階層×在院期間区分F02F09＿寛解・院内寛解[[#All],[行ラベル]],0),MATCH($BC$4,年齢階層×在院期間区分F02F09＿寛解・院内寛解[#Headers],0)),0)+IFERROR(INDEX(年齢階層×在院期間区分F02F09＿寛解・院内寛解[#All],MATCH($AN30,年齢階層×在院期間区分F02F09＿寛解・院内寛解[[#All],[行ラベル]],0),MATCH($BD$4,年齢階層×在院期間区分F02F09＿寛解・院内寛解[#Headers],0)),0)</f>
        <v>0</v>
      </c>
      <c r="J30" s="144">
        <f t="shared" si="9"/>
        <v>0</v>
      </c>
      <c r="K30" s="130">
        <f t="shared" si="10"/>
        <v>19</v>
      </c>
      <c r="L30" s="132">
        <f t="shared" si="11"/>
        <v>0.13194444444444445</v>
      </c>
      <c r="M30" s="745"/>
      <c r="N30" s="745"/>
      <c r="O30" s="745"/>
      <c r="R30" s="55" t="s">
        <v>284</v>
      </c>
      <c r="S30" s="49">
        <v>1</v>
      </c>
      <c r="T30" s="49">
        <v>5</v>
      </c>
      <c r="U30" s="49">
        <v>5</v>
      </c>
      <c r="V30" s="49">
        <v>1</v>
      </c>
      <c r="W30" s="49">
        <v>0</v>
      </c>
      <c r="X30" s="49">
        <v>0</v>
      </c>
      <c r="Y30" s="49">
        <v>1</v>
      </c>
      <c r="Z30" s="49">
        <v>0</v>
      </c>
      <c r="AA30" s="49">
        <v>0</v>
      </c>
      <c r="AB30" s="49">
        <v>1</v>
      </c>
      <c r="AC30" s="49">
        <v>0</v>
      </c>
      <c r="AD30" s="49">
        <v>0</v>
      </c>
      <c r="AE30" s="49">
        <v>2</v>
      </c>
      <c r="AF30" s="49">
        <v>0</v>
      </c>
      <c r="AG30" s="49">
        <v>1</v>
      </c>
      <c r="AH30" s="342">
        <v>0</v>
      </c>
      <c r="AN30" s="41" t="s">
        <v>10</v>
      </c>
    </row>
    <row r="31" spans="2:44" s="16" customFormat="1" ht="18.75" customHeight="1" x14ac:dyDescent="0.2">
      <c r="B31" s="154" t="s">
        <v>149</v>
      </c>
      <c r="C31" s="155">
        <f>SUM(C22:C30)</f>
        <v>97</v>
      </c>
      <c r="D31" s="164">
        <f t="shared" si="6"/>
        <v>1</v>
      </c>
      <c r="E31" s="155">
        <f>SUM(E22:E30)</f>
        <v>29</v>
      </c>
      <c r="F31" s="156">
        <f t="shared" si="7"/>
        <v>1</v>
      </c>
      <c r="G31" s="155">
        <f>SUM(G22:G30)</f>
        <v>15</v>
      </c>
      <c r="H31" s="165">
        <f t="shared" si="8"/>
        <v>1</v>
      </c>
      <c r="I31" s="155">
        <f>SUM(I22:I30)</f>
        <v>3</v>
      </c>
      <c r="J31" s="165">
        <f t="shared" si="9"/>
        <v>1</v>
      </c>
      <c r="K31" s="155">
        <f>SUM(K22:K30)</f>
        <v>144</v>
      </c>
      <c r="L31" s="162">
        <f t="shared" si="11"/>
        <v>1</v>
      </c>
      <c r="M31" s="774"/>
      <c r="N31" s="774"/>
      <c r="O31" s="774"/>
      <c r="R31" s="55" t="s">
        <v>285</v>
      </c>
      <c r="S31" s="49">
        <v>23</v>
      </c>
      <c r="T31" s="49">
        <v>28</v>
      </c>
      <c r="U31" s="49">
        <v>16</v>
      </c>
      <c r="V31" s="49">
        <v>18</v>
      </c>
      <c r="W31" s="49">
        <v>6</v>
      </c>
      <c r="X31" s="49">
        <v>8</v>
      </c>
      <c r="Y31" s="49">
        <v>8</v>
      </c>
      <c r="Z31" s="49">
        <v>6</v>
      </c>
      <c r="AA31" s="49">
        <v>0</v>
      </c>
      <c r="AB31" s="49">
        <v>3</v>
      </c>
      <c r="AC31" s="49">
        <v>4</v>
      </c>
      <c r="AD31" s="49">
        <v>2</v>
      </c>
      <c r="AE31" s="49">
        <v>2</v>
      </c>
      <c r="AF31" s="49">
        <v>1</v>
      </c>
      <c r="AG31" s="49">
        <v>1</v>
      </c>
      <c r="AH31" s="342">
        <v>1</v>
      </c>
      <c r="AI31" s="343"/>
      <c r="AJ31" s="56"/>
      <c r="AR31" s="45"/>
    </row>
    <row r="32" spans="2:44" s="16" customFormat="1" ht="18.75" customHeight="1" x14ac:dyDescent="0.2">
      <c r="B32" s="157" t="s">
        <v>85</v>
      </c>
      <c r="C32" s="158">
        <f>IFERROR(INDEX(年齢階層×在院期間区分F02F09_65歳未満以上＿寛解・院内寛解[#All],MATCH($AN32,年齢階層×在院期間区分F02F09_65歳未満以上＿寛解・院内寛解[[#All],[列1]],0),MATCH($AO$4,年齢階層×在院期間区分F02F09_65歳未満以上＿寛解・院内寛解[#Headers],0)),0)+IFERROR(INDEX(年齢階層×在院期間区分F02F09_65歳未満以上＿寛解・院内寛解[#All],MATCH($AN32,年齢階層×在院期間区分F02F09_65歳未満以上＿寛解・院内寛解[[#All],[列1]],0),MATCH($AP$4,年齢階層×在院期間区分F02F09_65歳未満以上＿寛解・院内寛解[#Headers],0)),0)+IFERROR(INDEX(年齢階層×在院期間区分F02F09_65歳未満以上＿寛解・院内寛解[#All],MATCH($AN32,年齢階層×在院期間区分F02F09_65歳未満以上＿寛解・院内寛解[[#All],[列1]],0),MATCH($AQ$4,年齢階層×在院期間区分F02F09_65歳未満以上＿寛解・院内寛解[#Headers],0)),0)+IFERROR(INDEX(年齢階層×在院期間区分F02F09_65歳未満以上＿寛解・院内寛解[#All],MATCH($AN32,年齢階層×在院期間区分F02F09_65歳未満以上＿寛解・院内寛解[[#All],[列1]],0),MATCH($AR$4,年齢階層×在院期間区分F02F09_65歳未満以上＿寛解・院内寛解[#Headers],0)),0)</f>
        <v>12</v>
      </c>
      <c r="D32" s="129">
        <f t="shared" si="6"/>
        <v>0.12371134020618557</v>
      </c>
      <c r="E32" s="158">
        <f>IFERROR(INDEX(年齢階層×在院期間区分F02F09_65歳未満以上＿寛解・院内寛解[#All],MATCH($AN32,年齢階層×在院期間区分F02F09_65歳未満以上＿寛解・院内寛解[[#All],[列1]],0),MATCH($AS$4,年齢階層×在院期間区分F02F09_65歳未満以上＿寛解・院内寛解[#Headers],0)),0)+IFERROR(INDEX(年齢階層×在院期間区分F02F09_65歳未満以上＿寛解・院内寛解[#All],MATCH($AN32,年齢階層×在院期間区分F02F09_65歳未満以上＿寛解・院内寛解[[#All],[列1]],0),MATCH($AT$4,年齢階層×在院期間区分F02F09_65歳未満以上＿寛解・院内寛解[#Headers],0)),0)+IFERROR(INDEX(年齢階層×在院期間区分F02F09_65歳未満以上＿寛解・院内寛解[#All],MATCH($AN32,年齢階層×在院期間区分F02F09_65歳未満以上＿寛解・院内寛解[[#All],[列1]],0),MATCH($AU$4,年齢階層×在院期間区分F02F09_65歳未満以上＿寛解・院内寛解[#Headers],0)),0)+IFERROR(INDEX(年齢階層×在院期間区分F02F09_65歳未満以上＿寛解・院内寛解[#All],MATCH($AN32,年齢階層×在院期間区分F02F09_65歳未満以上＿寛解・院内寛解[[#All],[列1]],0),MATCH($AV$4,年齢階層×在院期間区分F02F09_65歳未満以上＿寛解・院内寛解[#Headers],0)),0)+IFERROR(INDEX(年齢階層×在院期間区分F02F09_65歳未満以上＿寛解・院内寛解[#All],MATCH($AN32,年齢階層×在院期間区分F02F09_65歳未満以上＿寛解・院内寛解[[#All],[列1]],0),MATCH($AW$4,年齢階層×在院期間区分F02F09_65歳未満以上＿寛解・院内寛解[#Headers],0)),0)</f>
        <v>1</v>
      </c>
      <c r="F32" s="160">
        <f t="shared" si="7"/>
        <v>3.4482758620689655E-2</v>
      </c>
      <c r="G32" s="158">
        <f>IFERROR(INDEX(年齢階層×在院期間区分F02F09_65歳未満以上＿寛解・院内寛解[#All],MATCH($AN32,年齢階層×在院期間区分F02F09_65歳未満以上＿寛解・院内寛解[[#All],[列1]],0),MATCH($AX$4,年齢階層×在院期間区分F02F09_65歳未満以上＿寛解・院内寛解[#Headers],0)),0)+IFERROR(INDEX(年齢階層×在院期間区分F02F09_65歳未満以上＿寛解・院内寛解[#All],MATCH($AN32,年齢階層×在院期間区分F02F09_65歳未満以上＿寛解・院内寛解[[#All],[列1]],0),MATCH($AY$4,年齢階層×在院期間区分F02F09_65歳未満以上＿寛解・院内寛解[#Headers],0)),0)+IFERROR(INDEX(年齢階層×在院期間区分F02F09_65歳未満以上＿寛解・院内寛解[#All],MATCH($AN32,年齢階層×在院期間区分F02F09_65歳未満以上＿寛解・院内寛解[[#All],[列1]],0),MATCH($AZ$4,年齢階層×在院期間区分F02F09_65歳未満以上＿寛解・院内寛解[#Headers],0)),0)+IFERROR(INDEX(年齢階層×在院期間区分F02F09_65歳未満以上＿寛解・院内寛解[#All],MATCH($AN32,年齢階層×在院期間区分F02F09_65歳未満以上＿寛解・院内寛解[[#All],[列1]],0),MATCH($BA$4,年齢階層×在院期間区分F02F09_65歳未満以上＿寛解・院内寛解[#Headers],0)),0)+IFERROR(INDEX(年齢階層×在院期間区分F02F09_65歳未満以上＿寛解・院内寛解[#All],MATCH($AN32,年齢階層×在院期間区分F02F09_65歳未満以上＿寛解・院内寛解[[#All],[列1]],0),MATCH($BB$4,年齢階層×在院期間区分F02F09_65歳未満以上＿寛解・院内寛解[#Headers],0)),0)</f>
        <v>3</v>
      </c>
      <c r="H32" s="160">
        <f t="shared" si="8"/>
        <v>0.2</v>
      </c>
      <c r="I32" s="158">
        <f>IFERROR(INDEX(年齢階層×在院期間区分F02F09_65歳未満以上＿寛解・院内寛解[#All],MATCH($AN32,年齢階層×在院期間区分F02F09_65歳未満以上＿寛解・院内寛解[[#All],[列1]],0),MATCH($BC$4,年齢階層×在院期間区分F02F09_65歳未満以上＿寛解・院内寛解[#Headers],0)),0)+IFERROR(INDEX(年齢階層×在院期間区分F02F09_65歳未満以上＿寛解・院内寛解[#All],MATCH($AN32,年齢階層×在院期間区分F02F09_65歳未満以上＿寛解・院内寛解[[#All],[列1]],0),MATCH($BD$4,年齢階層×在院期間区分F02F09_65歳未満以上＿寛解・院内寛解[#Headers],0)),0)</f>
        <v>1</v>
      </c>
      <c r="J32" s="143">
        <f t="shared" si="9"/>
        <v>0.33333333333333331</v>
      </c>
      <c r="K32" s="158">
        <f>C32+E32+G32+I32</f>
        <v>17</v>
      </c>
      <c r="L32" s="143">
        <f t="shared" si="11"/>
        <v>0.11805555555555555</v>
      </c>
      <c r="M32" s="745"/>
      <c r="N32" s="745"/>
      <c r="O32" s="745"/>
      <c r="AI32" s="344"/>
      <c r="AJ32" s="8"/>
      <c r="AN32" s="55" t="s">
        <v>145</v>
      </c>
    </row>
    <row r="33" spans="2:52" ht="18.75" customHeight="1" x14ac:dyDescent="0.2">
      <c r="B33" s="159" t="s">
        <v>82</v>
      </c>
      <c r="C33" s="158">
        <f>IFERROR(INDEX(年齢階層×在院期間区分F02F09_65歳未満以上＿寛解・院内寛解[#All],MATCH($AN33,年齢階層×在院期間区分F02F09_65歳未満以上＿寛解・院内寛解[[#All],[列1]],0),MATCH($AO$4,年齢階層×在院期間区分F02F09_65歳未満以上＿寛解・院内寛解[#Headers],0)),0)+IFERROR(INDEX(年齢階層×在院期間区分F02F09_65歳未満以上＿寛解・院内寛解[#All],MATCH($AN33,年齢階層×在院期間区分F02F09_65歳未満以上＿寛解・院内寛解[[#All],[列1]],0),MATCH($AP$4,年齢階層×在院期間区分F02F09_65歳未満以上＿寛解・院内寛解[#Headers],0)),0)+IFERROR(INDEX(年齢階層×在院期間区分F02F09_65歳未満以上＿寛解・院内寛解[#All],MATCH($AN33,年齢階層×在院期間区分F02F09_65歳未満以上＿寛解・院内寛解[[#All],[列1]],0),MATCH($AQ$4,年齢階層×在院期間区分F02F09_65歳未満以上＿寛解・院内寛解[#Headers],0)),0)+IFERROR(INDEX(年齢階層×在院期間区分F02F09_65歳未満以上＿寛解・院内寛解[#All],MATCH($AN33,年齢階層×在院期間区分F02F09_65歳未満以上＿寛解・院内寛解[[#All],[列1]],0),MATCH($AR$4,年齢階層×在院期間区分F02F09_65歳未満以上＿寛解・院内寛解[#Headers],0)),0)</f>
        <v>85</v>
      </c>
      <c r="D33" s="160">
        <f t="shared" si="6"/>
        <v>0.87628865979381443</v>
      </c>
      <c r="E33" s="158">
        <f>IFERROR(INDEX(年齢階層×在院期間区分F02F09_65歳未満以上＿寛解・院内寛解[#All],MATCH($AN33,年齢階層×在院期間区分F02F09_65歳未満以上＿寛解・院内寛解[[#All],[列1]],0),MATCH($AS$4,年齢階層×在院期間区分F02F09_65歳未満以上＿寛解・院内寛解[#Headers],0)),0)+IFERROR(INDEX(年齢階層×在院期間区分F02F09_65歳未満以上＿寛解・院内寛解[#All],MATCH($AN33,年齢階層×在院期間区分F02F09_65歳未満以上＿寛解・院内寛解[[#All],[列1]],0),MATCH($AT$4,年齢階層×在院期間区分F02F09_65歳未満以上＿寛解・院内寛解[#Headers],0)),0)+IFERROR(INDEX(年齢階層×在院期間区分F02F09_65歳未満以上＿寛解・院内寛解[#All],MATCH($AN33,年齢階層×在院期間区分F02F09_65歳未満以上＿寛解・院内寛解[[#All],[列1]],0),MATCH($AU$4,年齢階層×在院期間区分F02F09_65歳未満以上＿寛解・院内寛解[#Headers],0)),0)+IFERROR(INDEX(年齢階層×在院期間区分F02F09_65歳未満以上＿寛解・院内寛解[#All],MATCH($AN33,年齢階層×在院期間区分F02F09_65歳未満以上＿寛解・院内寛解[[#All],[列1]],0),MATCH($AV$4,年齢階層×在院期間区分F02F09_65歳未満以上＿寛解・院内寛解[#Headers],0)),0)+IFERROR(INDEX(年齢階層×在院期間区分F02F09_65歳未満以上＿寛解・院内寛解[#All],MATCH($AN33,年齢階層×在院期間区分F02F09_65歳未満以上＿寛解・院内寛解[[#All],[列1]],0),MATCH($AW$4,年齢階層×在院期間区分F02F09_65歳未満以上＿寛解・院内寛解[#Headers],0)),0)</f>
        <v>28</v>
      </c>
      <c r="F33" s="160">
        <f t="shared" si="7"/>
        <v>0.96551724137931039</v>
      </c>
      <c r="G33" s="158">
        <f>IFERROR(INDEX(年齢階層×在院期間区分F02F09_65歳未満以上＿寛解・院内寛解[#All],MATCH($AN33,年齢階層×在院期間区分F02F09_65歳未満以上＿寛解・院内寛解[[#All],[列1]],0),MATCH($AX$4,年齢階層×在院期間区分F02F09_65歳未満以上＿寛解・院内寛解[#Headers],0)),0)+IFERROR(INDEX(年齢階層×在院期間区分F02F09_65歳未満以上＿寛解・院内寛解[#All],MATCH($AN33,年齢階層×在院期間区分F02F09_65歳未満以上＿寛解・院内寛解[[#All],[列1]],0),MATCH($AY$4,年齢階層×在院期間区分F02F09_65歳未満以上＿寛解・院内寛解[#Headers],0)),0)+IFERROR(INDEX(年齢階層×在院期間区分F02F09_65歳未満以上＿寛解・院内寛解[#All],MATCH($AN33,年齢階層×在院期間区分F02F09_65歳未満以上＿寛解・院内寛解[[#All],[列1]],0),MATCH($AZ$4,年齢階層×在院期間区分F02F09_65歳未満以上＿寛解・院内寛解[#Headers],0)),0)+IFERROR(INDEX(年齢階層×在院期間区分F02F09_65歳未満以上＿寛解・院内寛解[#All],MATCH($AN33,年齢階層×在院期間区分F02F09_65歳未満以上＿寛解・院内寛解[[#All],[列1]],0),MATCH($BA$4,年齢階層×在院期間区分F02F09_65歳未満以上＿寛解・院内寛解[#Headers],0)),0)+IFERROR(INDEX(年齢階層×在院期間区分F02F09_65歳未満以上＿寛解・院内寛解[#All],MATCH($AN33,年齢階層×在院期間区分F02F09_65歳未満以上＿寛解・院内寛解[[#All],[列1]],0),MATCH($BB$4,年齢階層×在院期間区分F02F09_65歳未満以上＿寛解・院内寛解[#Headers],0)),0)</f>
        <v>12</v>
      </c>
      <c r="H33" s="160">
        <f t="shared" si="8"/>
        <v>0.8</v>
      </c>
      <c r="I33" s="158">
        <f>IFERROR(INDEX(年齢階層×在院期間区分F02F09_65歳未満以上＿寛解・院内寛解[#All],MATCH($AN33,年齢階層×在院期間区分F02F09_65歳未満以上＿寛解・院内寛解[[#All],[列1]],0),MATCH($BC$4,年齢階層×在院期間区分F02F09_65歳未満以上＿寛解・院内寛解[#Headers],0)),0)+IFERROR(INDEX(年齢階層×在院期間区分F02F09_65歳未満以上＿寛解・院内寛解[#All],MATCH($AN33,年齢階層×在院期間区分F02F09_65歳未満以上＿寛解・院内寛解[[#All],[列1]],0),MATCH($BD$4,年齢階層×在院期間区分F02F09_65歳未満以上＿寛解・院内寛解[#Headers],0)),0)</f>
        <v>2</v>
      </c>
      <c r="J33" s="160">
        <f t="shared" si="9"/>
        <v>0.66666666666666663</v>
      </c>
      <c r="K33" s="158">
        <f>C33+E33+G33+I33</f>
        <v>127</v>
      </c>
      <c r="L33" s="160">
        <f t="shared" si="11"/>
        <v>0.88194444444444442</v>
      </c>
      <c r="M33" s="745"/>
      <c r="N33" s="745"/>
      <c r="O33" s="745"/>
      <c r="AI33" s="344"/>
      <c r="AJ33" s="8"/>
      <c r="AN33" s="55" t="s">
        <v>81</v>
      </c>
    </row>
    <row r="35" spans="2:52" x14ac:dyDescent="0.2">
      <c r="C35" s="40"/>
      <c r="D35" s="48"/>
      <c r="E35" s="48"/>
      <c r="F35" s="48"/>
      <c r="G35" s="48"/>
      <c r="H35" s="48"/>
      <c r="I35" s="48"/>
      <c r="J35" s="48"/>
      <c r="K35" s="48"/>
      <c r="L35" s="48"/>
      <c r="M35" s="48"/>
      <c r="N35" s="48"/>
      <c r="O35" s="48"/>
      <c r="P35" s="48"/>
      <c r="Q35" s="48"/>
      <c r="R35" s="48"/>
      <c r="S35" s="48"/>
      <c r="T35" s="48"/>
      <c r="U35" s="56"/>
    </row>
    <row r="36" spans="2:52" x14ac:dyDescent="0.2">
      <c r="B36" s="25"/>
      <c r="C36" s="17"/>
      <c r="D36" s="17"/>
      <c r="E36" s="17"/>
      <c r="F36" s="17"/>
      <c r="G36" s="17"/>
      <c r="H36" s="17"/>
      <c r="I36" s="17"/>
      <c r="J36" s="17"/>
      <c r="K36" s="17"/>
      <c r="L36" s="17"/>
      <c r="M36" s="17"/>
      <c r="N36" s="17"/>
      <c r="O36" s="17"/>
      <c r="P36" s="17"/>
      <c r="Q36" s="17"/>
      <c r="R36" s="17"/>
      <c r="S36" s="17"/>
      <c r="T36" s="17"/>
      <c r="U36" s="17"/>
      <c r="V36" s="17"/>
      <c r="AJ36" s="21"/>
    </row>
    <row r="37" spans="2:52" x14ac:dyDescent="0.2">
      <c r="B37" s="25"/>
      <c r="C37" s="17"/>
      <c r="D37" s="17"/>
      <c r="E37" s="17"/>
      <c r="F37" s="17"/>
      <c r="G37" s="17"/>
      <c r="H37" s="17"/>
      <c r="I37" s="17"/>
      <c r="J37" s="17"/>
      <c r="K37" s="17"/>
      <c r="L37" s="17"/>
      <c r="M37" s="17"/>
      <c r="N37" s="17"/>
      <c r="O37" s="17"/>
      <c r="P37" s="17"/>
      <c r="Q37" s="17"/>
      <c r="R37" s="17"/>
      <c r="S37" s="17"/>
      <c r="T37" s="17"/>
      <c r="U37" s="17"/>
      <c r="V37" s="17"/>
      <c r="AJ37" s="41"/>
    </row>
    <row r="38" spans="2:52" x14ac:dyDescent="0.2">
      <c r="B38" s="37"/>
      <c r="C38" s="57"/>
      <c r="D38" s="57"/>
      <c r="E38" s="57"/>
      <c r="F38" s="57"/>
      <c r="G38" s="57"/>
      <c r="H38" s="57"/>
      <c r="I38" s="57"/>
      <c r="J38" s="57"/>
      <c r="K38" s="57"/>
      <c r="L38" s="57"/>
      <c r="M38" s="57"/>
      <c r="N38" s="57"/>
      <c r="O38" s="57"/>
      <c r="P38" s="57"/>
      <c r="Q38" s="57"/>
      <c r="R38" s="57"/>
      <c r="S38" s="57"/>
      <c r="T38" s="57"/>
      <c r="U38" s="57"/>
      <c r="V38" s="57"/>
      <c r="W38" s="16"/>
      <c r="X38" s="16"/>
      <c r="Y38" s="16"/>
      <c r="Z38" s="16"/>
      <c r="AA38" s="16"/>
      <c r="AB38" s="16"/>
      <c r="AC38" s="16"/>
      <c r="AD38" s="16"/>
      <c r="AE38" s="16"/>
      <c r="AF38" s="16"/>
      <c r="AG38" s="16"/>
      <c r="AH38" s="16"/>
      <c r="AI38" s="16"/>
      <c r="AJ38" s="41"/>
      <c r="AK38" s="16"/>
      <c r="AL38" s="16"/>
      <c r="AM38" s="16"/>
      <c r="AN38" s="16"/>
      <c r="AO38" s="16"/>
      <c r="AP38" s="16"/>
      <c r="AQ38" s="16"/>
      <c r="AR38" s="16"/>
      <c r="AS38" s="16"/>
      <c r="AT38" s="16"/>
      <c r="AU38" s="16"/>
      <c r="AV38" s="16"/>
      <c r="AW38" s="16"/>
      <c r="AX38" s="16"/>
      <c r="AY38" s="16"/>
      <c r="AZ38" s="16"/>
    </row>
    <row r="39" spans="2:52" ht="35.25" customHeight="1" x14ac:dyDescent="0.2">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41"/>
      <c r="AK39" s="16"/>
      <c r="AL39" s="16"/>
      <c r="AM39" s="16"/>
      <c r="AN39" s="16"/>
      <c r="AO39" s="16"/>
      <c r="AP39" s="16"/>
      <c r="AQ39" s="16"/>
      <c r="AR39" s="16"/>
      <c r="AS39" s="16"/>
      <c r="AT39" s="16"/>
      <c r="AU39" s="16"/>
      <c r="AV39" s="16"/>
      <c r="AW39" s="16"/>
      <c r="AX39" s="16"/>
      <c r="AY39" s="16"/>
      <c r="AZ39" s="16"/>
    </row>
    <row r="40" spans="2:52" x14ac:dyDescent="0.2">
      <c r="B40" s="7"/>
      <c r="C40" s="58"/>
      <c r="D40" s="58"/>
      <c r="E40" s="58"/>
      <c r="F40" s="58"/>
      <c r="G40" s="58"/>
      <c r="H40" s="58"/>
      <c r="I40" s="58"/>
      <c r="J40" s="58"/>
      <c r="K40" s="58"/>
      <c r="L40" s="58"/>
      <c r="M40" s="58"/>
      <c r="N40" s="58"/>
      <c r="O40" s="58"/>
      <c r="P40" s="58"/>
      <c r="Q40" s="58"/>
      <c r="R40" s="58"/>
      <c r="S40" s="58"/>
      <c r="T40" s="58"/>
      <c r="U40" s="58"/>
      <c r="V40" s="58"/>
      <c r="W40" s="16"/>
      <c r="X40" s="16"/>
      <c r="Y40" s="16"/>
      <c r="Z40" s="16"/>
      <c r="AA40" s="16"/>
      <c r="AB40" s="16"/>
      <c r="AC40" s="16"/>
      <c r="AD40" s="16"/>
      <c r="AE40" s="16"/>
      <c r="AF40" s="16"/>
      <c r="AG40" s="16"/>
      <c r="AH40" s="16"/>
      <c r="AI40" s="16"/>
      <c r="AJ40" s="41"/>
      <c r="AK40" s="16"/>
      <c r="AL40" s="16"/>
      <c r="AM40" s="16"/>
      <c r="AN40" s="16"/>
      <c r="AO40" s="16"/>
      <c r="AP40" s="16"/>
      <c r="AQ40" s="16"/>
      <c r="AR40" s="16"/>
      <c r="AS40" s="16"/>
      <c r="AT40" s="16"/>
      <c r="AU40" s="16"/>
      <c r="AV40" s="16"/>
      <c r="AW40" s="16"/>
      <c r="AX40" s="16"/>
      <c r="AY40" s="16"/>
      <c r="AZ40" s="16"/>
    </row>
    <row r="41" spans="2:52" x14ac:dyDescent="0.2">
      <c r="B41" s="7"/>
      <c r="C41" s="58"/>
      <c r="D41" s="58"/>
      <c r="E41" s="58"/>
      <c r="F41" s="58"/>
      <c r="G41" s="58"/>
      <c r="H41" s="58"/>
      <c r="I41" s="58"/>
      <c r="J41" s="58"/>
      <c r="K41" s="58"/>
      <c r="L41" s="58"/>
      <c r="M41" s="58"/>
      <c r="N41" s="58"/>
      <c r="O41" s="58"/>
      <c r="P41" s="58"/>
      <c r="Q41" s="58"/>
      <c r="R41" s="58"/>
      <c r="S41" s="58"/>
      <c r="T41" s="58"/>
      <c r="U41" s="58"/>
      <c r="V41" s="58"/>
      <c r="W41" s="16"/>
      <c r="X41" s="16"/>
      <c r="Y41" s="16"/>
      <c r="Z41" s="16"/>
      <c r="AA41" s="16"/>
      <c r="AB41" s="16"/>
      <c r="AC41" s="16"/>
      <c r="AD41" s="16"/>
      <c r="AE41" s="16"/>
      <c r="AF41" s="16"/>
      <c r="AG41" s="16"/>
      <c r="AH41" s="16"/>
      <c r="AI41" s="16"/>
      <c r="AJ41" s="41"/>
      <c r="AK41" s="16"/>
      <c r="AL41" s="16"/>
      <c r="AM41" s="16"/>
      <c r="AN41" s="16"/>
      <c r="AO41" s="16"/>
      <c r="AP41" s="16"/>
      <c r="AQ41" s="16"/>
      <c r="AR41" s="16"/>
      <c r="AS41" s="16"/>
      <c r="AT41" s="16"/>
      <c r="AU41" s="16"/>
      <c r="AV41" s="16"/>
      <c r="AW41" s="16"/>
      <c r="AX41" s="16"/>
      <c r="AY41" s="16"/>
      <c r="AZ41" s="16"/>
    </row>
    <row r="42" spans="2:52" x14ac:dyDescent="0.2">
      <c r="B42" s="7"/>
      <c r="C42" s="58"/>
      <c r="D42" s="58"/>
      <c r="E42" s="58"/>
      <c r="F42" s="58"/>
      <c r="G42" s="58"/>
      <c r="H42" s="58"/>
      <c r="I42" s="58"/>
      <c r="J42" s="58"/>
      <c r="K42" s="58"/>
      <c r="L42" s="58"/>
      <c r="M42" s="58"/>
      <c r="N42" s="58"/>
      <c r="O42" s="58"/>
      <c r="P42" s="58"/>
      <c r="Q42" s="58"/>
      <c r="R42" s="58"/>
      <c r="S42" s="58"/>
      <c r="T42" s="58"/>
      <c r="U42" s="58"/>
      <c r="V42" s="58"/>
      <c r="W42" s="16"/>
      <c r="X42" s="16"/>
      <c r="Y42" s="16"/>
      <c r="Z42" s="16"/>
      <c r="AA42" s="16"/>
      <c r="AB42" s="16"/>
      <c r="AC42" s="16"/>
      <c r="AD42" s="16"/>
      <c r="AE42" s="16"/>
      <c r="AF42" s="16"/>
      <c r="AG42" s="16"/>
      <c r="AH42" s="16"/>
      <c r="AI42" s="16"/>
      <c r="AJ42" s="41"/>
      <c r="AK42" s="16"/>
      <c r="AL42" s="16"/>
      <c r="AM42" s="16"/>
      <c r="AN42" s="16"/>
      <c r="AO42" s="16"/>
      <c r="AP42" s="16"/>
      <c r="AQ42" s="16"/>
      <c r="AR42" s="16"/>
      <c r="AS42" s="16"/>
      <c r="AT42" s="16"/>
      <c r="AU42" s="16"/>
      <c r="AV42" s="16"/>
      <c r="AW42" s="16"/>
      <c r="AX42" s="16"/>
      <c r="AY42" s="16"/>
      <c r="AZ42" s="16"/>
    </row>
    <row r="43" spans="2:52" x14ac:dyDescent="0.2">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41"/>
      <c r="AK43" s="16"/>
      <c r="AL43" s="16"/>
      <c r="AM43" s="16"/>
      <c r="AN43" s="16"/>
      <c r="AO43" s="16"/>
      <c r="AP43" s="16"/>
      <c r="AQ43" s="16"/>
      <c r="AR43" s="16"/>
      <c r="AS43" s="16"/>
      <c r="AT43" s="16"/>
      <c r="AU43" s="16"/>
      <c r="AV43" s="16"/>
      <c r="AW43" s="16"/>
      <c r="AX43" s="16"/>
      <c r="AY43" s="16"/>
      <c r="AZ43" s="16"/>
    </row>
    <row r="44" spans="2:52" x14ac:dyDescent="0.2">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41"/>
      <c r="AK44" s="16"/>
      <c r="AL44" s="16"/>
      <c r="AM44" s="16"/>
      <c r="AN44" s="16"/>
      <c r="AO44" s="16"/>
      <c r="AP44" s="16"/>
      <c r="AQ44" s="16"/>
      <c r="AR44" s="16"/>
      <c r="AS44" s="16"/>
      <c r="AT44" s="16"/>
      <c r="AU44" s="16"/>
      <c r="AV44" s="16"/>
      <c r="AW44" s="16"/>
      <c r="AX44" s="16"/>
      <c r="AY44" s="16"/>
      <c r="AZ44" s="16"/>
    </row>
    <row r="45" spans="2:52" x14ac:dyDescent="0.2">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41"/>
      <c r="AK45" s="16"/>
      <c r="AL45" s="16"/>
      <c r="AM45" s="16"/>
      <c r="AN45" s="16"/>
      <c r="AO45" s="16"/>
      <c r="AP45" s="16"/>
      <c r="AQ45" s="16"/>
      <c r="AR45" s="16"/>
      <c r="AS45" s="16"/>
      <c r="AT45" s="16"/>
      <c r="AU45" s="16"/>
      <c r="AV45" s="16"/>
      <c r="AW45" s="16"/>
      <c r="AX45" s="16"/>
      <c r="AY45" s="16"/>
      <c r="AZ45" s="16"/>
    </row>
    <row r="46" spans="2:52" x14ac:dyDescent="0.2">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row>
    <row r="47" spans="2:52" x14ac:dyDescent="0.2">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55"/>
      <c r="AK47" s="16"/>
      <c r="AL47" s="16"/>
      <c r="AM47" s="16"/>
      <c r="AN47" s="16"/>
      <c r="AO47" s="16"/>
      <c r="AP47" s="16"/>
      <c r="AQ47" s="16"/>
      <c r="AR47" s="16"/>
      <c r="AS47" s="16"/>
      <c r="AT47" s="16"/>
      <c r="AU47" s="16"/>
      <c r="AV47" s="16"/>
      <c r="AW47" s="16"/>
      <c r="AX47" s="16"/>
      <c r="AY47" s="16"/>
      <c r="AZ47" s="16"/>
    </row>
    <row r="48" spans="2:52" x14ac:dyDescent="0.2">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55"/>
      <c r="AK48" s="16"/>
      <c r="AL48" s="16"/>
      <c r="AM48" s="16"/>
      <c r="AN48" s="16"/>
      <c r="AO48" s="16"/>
      <c r="AP48" s="16"/>
      <c r="AQ48" s="16"/>
      <c r="AR48" s="16"/>
      <c r="AS48" s="16"/>
      <c r="AT48" s="16"/>
      <c r="AU48" s="16"/>
      <c r="AV48" s="16"/>
      <c r="AW48" s="16"/>
      <c r="AX48" s="16"/>
      <c r="AY48" s="16"/>
      <c r="AZ48" s="16"/>
    </row>
    <row r="49" spans="2:52" x14ac:dyDescent="0.2">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row>
    <row r="50" spans="2:52" x14ac:dyDescent="0.2">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row>
    <row r="51" spans="2:52" x14ac:dyDescent="0.2">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row>
    <row r="52" spans="2:52" x14ac:dyDescent="0.2">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row>
    <row r="53" spans="2:52" x14ac:dyDescent="0.2">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row>
    <row r="54" spans="2:52" x14ac:dyDescent="0.2">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row>
    <row r="55" spans="2:52" x14ac:dyDescent="0.2">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row>
    <row r="56" spans="2:52" x14ac:dyDescent="0.2">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row>
    <row r="57" spans="2:52" x14ac:dyDescent="0.2">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row>
    <row r="58" spans="2:52" x14ac:dyDescent="0.2">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row>
    <row r="59" spans="2:52" x14ac:dyDescent="0.2">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row>
    <row r="60" spans="2:52" x14ac:dyDescent="0.2">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row>
    <row r="61" spans="2:52" x14ac:dyDescent="0.2">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row>
    <row r="62" spans="2:52" x14ac:dyDescent="0.2">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row>
    <row r="63" spans="2:52" x14ac:dyDescent="0.2">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row>
    <row r="64" spans="2:52" x14ac:dyDescent="0.2">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row>
    <row r="65" spans="2:52" x14ac:dyDescent="0.2">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row>
    <row r="66" spans="2:52" x14ac:dyDescent="0.2">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row>
    <row r="67" spans="2:52" x14ac:dyDescent="0.2">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row>
    <row r="68" spans="2:52" x14ac:dyDescent="0.2">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row>
    <row r="69" spans="2:52" x14ac:dyDescent="0.2">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row>
    <row r="70" spans="2:52" x14ac:dyDescent="0.2">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row>
    <row r="71" spans="2:52" x14ac:dyDescent="0.2">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row>
    <row r="72" spans="2:52" x14ac:dyDescent="0.2">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row>
    <row r="73" spans="2:52" x14ac:dyDescent="0.2">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row>
    <row r="74" spans="2:52" x14ac:dyDescent="0.2">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row>
    <row r="75" spans="2:52" x14ac:dyDescent="0.2">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row>
    <row r="76" spans="2:52" x14ac:dyDescent="0.2">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row>
    <row r="77" spans="2:52" x14ac:dyDescent="0.2">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row>
    <row r="78" spans="2:52" x14ac:dyDescent="0.2">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row>
    <row r="79" spans="2:52" x14ac:dyDescent="0.2">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row>
    <row r="80" spans="2:52" x14ac:dyDescent="0.2">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row>
    <row r="81" spans="2:52" x14ac:dyDescent="0.2">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row>
    <row r="82" spans="2:52" x14ac:dyDescent="0.2">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row>
    <row r="83" spans="2:52" x14ac:dyDescent="0.2">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row>
    <row r="84" spans="2:52" x14ac:dyDescent="0.2">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row>
    <row r="85" spans="2:52" x14ac:dyDescent="0.2">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row>
    <row r="86" spans="2:52" x14ac:dyDescent="0.2">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row>
    <row r="87" spans="2:52" x14ac:dyDescent="0.2">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row>
    <row r="88" spans="2:52" x14ac:dyDescent="0.2">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row>
    <row r="89" spans="2:52" x14ac:dyDescent="0.2">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row>
    <row r="90" spans="2:52" x14ac:dyDescent="0.2">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row>
    <row r="91" spans="2:52" x14ac:dyDescent="0.2">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row>
    <row r="92" spans="2:52" x14ac:dyDescent="0.2">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row>
    <row r="93" spans="2:52" x14ac:dyDescent="0.2">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row>
    <row r="94" spans="2:52" x14ac:dyDescent="0.2">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row>
    <row r="95" spans="2:52" x14ac:dyDescent="0.2">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row>
    <row r="96" spans="2:52" x14ac:dyDescent="0.2">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row>
    <row r="97" spans="2:52" x14ac:dyDescent="0.2">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row>
    <row r="98" spans="2:52" x14ac:dyDescent="0.2">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row>
    <row r="99" spans="2:52" x14ac:dyDescent="0.2">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row>
    <row r="100" spans="2:52" x14ac:dyDescent="0.2">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row>
    <row r="101" spans="2:52" x14ac:dyDescent="0.2">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row>
    <row r="102" spans="2:52" x14ac:dyDescent="0.2">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row>
    <row r="103" spans="2:52" x14ac:dyDescent="0.2">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row>
    <row r="104" spans="2:52" x14ac:dyDescent="0.2">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row>
    <row r="105" spans="2:52" x14ac:dyDescent="0.2">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row>
    <row r="106" spans="2:52" x14ac:dyDescent="0.2">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row>
    <row r="107" spans="2:52" x14ac:dyDescent="0.2">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row>
    <row r="108" spans="2:52" x14ac:dyDescent="0.2">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row>
    <row r="109" spans="2:52" x14ac:dyDescent="0.2">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row>
    <row r="110" spans="2:52" x14ac:dyDescent="0.2">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row>
    <row r="111" spans="2:52" x14ac:dyDescent="0.2">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row>
    <row r="112" spans="2:52" x14ac:dyDescent="0.2">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row>
    <row r="113" spans="2:52" x14ac:dyDescent="0.2">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row>
    <row r="114" spans="2:52" x14ac:dyDescent="0.2">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row>
    <row r="115" spans="2:52" x14ac:dyDescent="0.2">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row>
    <row r="116" spans="2:52" x14ac:dyDescent="0.2">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row>
    <row r="117" spans="2:52" x14ac:dyDescent="0.2">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row>
    <row r="118" spans="2:52" x14ac:dyDescent="0.2">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row>
    <row r="119" spans="2:52" x14ac:dyDescent="0.2">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row>
    <row r="120" spans="2:52" x14ac:dyDescent="0.2">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row>
    <row r="121" spans="2:52" x14ac:dyDescent="0.2">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row>
    <row r="122" spans="2:52" x14ac:dyDescent="0.2">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row>
    <row r="123" spans="2:52" x14ac:dyDescent="0.2">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row>
    <row r="124" spans="2:52" x14ac:dyDescent="0.2">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row>
    <row r="125" spans="2:52" x14ac:dyDescent="0.2">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row>
    <row r="126" spans="2:52" x14ac:dyDescent="0.2">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row>
    <row r="127" spans="2:52" x14ac:dyDescent="0.2">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row>
    <row r="128" spans="2:52" x14ac:dyDescent="0.2">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row>
    <row r="129" spans="2:52" x14ac:dyDescent="0.2">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row>
    <row r="130" spans="2:52" x14ac:dyDescent="0.2">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row>
    <row r="131" spans="2:52" x14ac:dyDescent="0.2">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row>
    <row r="132" spans="2:52" x14ac:dyDescent="0.2">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row>
    <row r="133" spans="2:52" x14ac:dyDescent="0.2">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row>
    <row r="134" spans="2:52" x14ac:dyDescent="0.2">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row>
    <row r="135" spans="2:52" x14ac:dyDescent="0.2">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row>
    <row r="136" spans="2:52" x14ac:dyDescent="0.2">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row>
    <row r="137" spans="2:52" x14ac:dyDescent="0.2">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row>
    <row r="138" spans="2:52" x14ac:dyDescent="0.2">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row>
    <row r="139" spans="2:52" x14ac:dyDescent="0.2">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row>
    <row r="140" spans="2:52" x14ac:dyDescent="0.2">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row>
    <row r="141" spans="2:52" x14ac:dyDescent="0.2">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row>
    <row r="142" spans="2:52" x14ac:dyDescent="0.2">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row>
    <row r="143" spans="2:52" x14ac:dyDescent="0.2">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row>
    <row r="144" spans="2:52" x14ac:dyDescent="0.2">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row>
    <row r="145" spans="2:52" x14ac:dyDescent="0.2">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row>
    <row r="146" spans="2:52" x14ac:dyDescent="0.2">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row>
    <row r="147" spans="2:52" x14ac:dyDescent="0.2">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row>
    <row r="148" spans="2:52" x14ac:dyDescent="0.2">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row>
    <row r="149" spans="2:52" x14ac:dyDescent="0.2">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row>
    <row r="150" spans="2:52" x14ac:dyDescent="0.2">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row>
    <row r="151" spans="2:52" x14ac:dyDescent="0.2">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row>
    <row r="152" spans="2:52" x14ac:dyDescent="0.2">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row>
    <row r="153" spans="2:52" x14ac:dyDescent="0.2">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row>
    <row r="154" spans="2:52" x14ac:dyDescent="0.2">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row>
    <row r="155" spans="2:52" x14ac:dyDescent="0.2">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row>
    <row r="156" spans="2:52" x14ac:dyDescent="0.2">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row>
    <row r="157" spans="2:52" x14ac:dyDescent="0.2">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row>
    <row r="158" spans="2:52" x14ac:dyDescent="0.2">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row>
    <row r="159" spans="2:52" x14ac:dyDescent="0.2">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row>
    <row r="160" spans="2:52" x14ac:dyDescent="0.2">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row>
    <row r="161" spans="2:52" x14ac:dyDescent="0.2">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row>
    <row r="162" spans="2:52" x14ac:dyDescent="0.2">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row>
    <row r="163" spans="2:52" x14ac:dyDescent="0.2">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row>
    <row r="164" spans="2:52" x14ac:dyDescent="0.2">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row>
    <row r="165" spans="2:52" x14ac:dyDescent="0.2">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row>
    <row r="166" spans="2:52" x14ac:dyDescent="0.2">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row>
    <row r="167" spans="2:52" x14ac:dyDescent="0.2">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row>
    <row r="168" spans="2:52" x14ac:dyDescent="0.2">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row>
    <row r="169" spans="2:52" x14ac:dyDescent="0.2">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row>
    <row r="170" spans="2:52" x14ac:dyDescent="0.2">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row>
    <row r="171" spans="2:52" x14ac:dyDescent="0.2">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row>
    <row r="172" spans="2:52" x14ac:dyDescent="0.2">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row>
    <row r="173" spans="2:52" x14ac:dyDescent="0.2">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row>
    <row r="174" spans="2:52" x14ac:dyDescent="0.2">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row>
    <row r="175" spans="2:52" x14ac:dyDescent="0.2">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row>
    <row r="176" spans="2:52" x14ac:dyDescent="0.2">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row>
    <row r="177" spans="2:52" x14ac:dyDescent="0.2">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row>
    <row r="178" spans="2:52" x14ac:dyDescent="0.2">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row>
    <row r="179" spans="2:52" x14ac:dyDescent="0.2">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row>
    <row r="180" spans="2:52" x14ac:dyDescent="0.2">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row>
    <row r="181" spans="2:52" x14ac:dyDescent="0.2">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row>
    <row r="182" spans="2:52" x14ac:dyDescent="0.2">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row>
    <row r="183" spans="2:52" x14ac:dyDescent="0.2">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row>
    <row r="184" spans="2:52" x14ac:dyDescent="0.2">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row>
    <row r="185" spans="2:52" x14ac:dyDescent="0.2">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row>
    <row r="186" spans="2:52" x14ac:dyDescent="0.2">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row>
    <row r="187" spans="2:52" x14ac:dyDescent="0.2">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row>
    <row r="188" spans="2:52" x14ac:dyDescent="0.2">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row>
    <row r="189" spans="2:52" x14ac:dyDescent="0.2">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row>
    <row r="190" spans="2:52" x14ac:dyDescent="0.2">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row>
    <row r="191" spans="2:52" x14ac:dyDescent="0.2">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row>
    <row r="192" spans="2:52" x14ac:dyDescent="0.2">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row>
    <row r="193" spans="2:52" x14ac:dyDescent="0.2">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row>
    <row r="194" spans="2:52" x14ac:dyDescent="0.2">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row>
    <row r="195" spans="2:52" x14ac:dyDescent="0.2">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row>
    <row r="196" spans="2:52" x14ac:dyDescent="0.2">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row>
    <row r="197" spans="2:52" x14ac:dyDescent="0.2">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row>
    <row r="198" spans="2:52" x14ac:dyDescent="0.2">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row>
    <row r="199" spans="2:52" x14ac:dyDescent="0.2">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row>
    <row r="200" spans="2:52" x14ac:dyDescent="0.2">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row>
    <row r="201" spans="2:52" x14ac:dyDescent="0.2">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row>
    <row r="202" spans="2:52" x14ac:dyDescent="0.2">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row>
    <row r="203" spans="2:52" x14ac:dyDescent="0.2">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row>
    <row r="204" spans="2:52" x14ac:dyDescent="0.2">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row>
    <row r="205" spans="2:52" x14ac:dyDescent="0.2">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row>
    <row r="206" spans="2:52" x14ac:dyDescent="0.2">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row>
    <row r="207" spans="2:52" x14ac:dyDescent="0.2">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row>
    <row r="208" spans="2:52" x14ac:dyDescent="0.2">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row>
    <row r="209" spans="2:52" x14ac:dyDescent="0.2">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row>
    <row r="210" spans="2:52" x14ac:dyDescent="0.2">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row>
    <row r="211" spans="2:52" x14ac:dyDescent="0.2">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row>
    <row r="212" spans="2:52" x14ac:dyDescent="0.2">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row>
    <row r="213" spans="2:52" x14ac:dyDescent="0.2">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row>
    <row r="214" spans="2:52" x14ac:dyDescent="0.2">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row>
    <row r="215" spans="2:52" x14ac:dyDescent="0.2">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row>
    <row r="216" spans="2:52" x14ac:dyDescent="0.2">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row>
    <row r="217" spans="2:52" x14ac:dyDescent="0.2">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row>
    <row r="218" spans="2:52" x14ac:dyDescent="0.2">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row>
    <row r="219" spans="2:52" x14ac:dyDescent="0.2">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row>
    <row r="220" spans="2:52" x14ac:dyDescent="0.2">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row>
    <row r="221" spans="2:52" x14ac:dyDescent="0.2">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row>
    <row r="222" spans="2:52" x14ac:dyDescent="0.2">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row>
    <row r="223" spans="2:52" x14ac:dyDescent="0.2">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row>
    <row r="224" spans="2:52" x14ac:dyDescent="0.2">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row>
    <row r="225" spans="2:52" x14ac:dyDescent="0.2">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row>
    <row r="226" spans="2:52" x14ac:dyDescent="0.2">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row>
    <row r="227" spans="2:52" x14ac:dyDescent="0.2">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row>
    <row r="228" spans="2:52" x14ac:dyDescent="0.2">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row>
    <row r="229" spans="2:52" x14ac:dyDescent="0.2">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row>
    <row r="230" spans="2:52" x14ac:dyDescent="0.2">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row>
    <row r="231" spans="2:52" x14ac:dyDescent="0.2">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row>
  </sheetData>
  <mergeCells count="14">
    <mergeCell ref="B3:B4"/>
    <mergeCell ref="C3:L3"/>
    <mergeCell ref="C4:D4"/>
    <mergeCell ref="E4:F4"/>
    <mergeCell ref="G4:H4"/>
    <mergeCell ref="I4:J4"/>
    <mergeCell ref="K4:L4"/>
    <mergeCell ref="B20:B21"/>
    <mergeCell ref="C20:L20"/>
    <mergeCell ref="C21:D21"/>
    <mergeCell ref="E21:F21"/>
    <mergeCell ref="G21:H21"/>
    <mergeCell ref="I21:J21"/>
    <mergeCell ref="K21:L21"/>
  </mergeCells>
  <phoneticPr fontId="2"/>
  <printOptions horizontalCentered="1"/>
  <pageMargins left="0.70866141732283472" right="0.70866141732283472" top="0.74803149606299213" bottom="0.74803149606299213" header="0.31496062992125984" footer="0.31496062992125984"/>
  <pageSetup paperSize="9" scale="8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8674" r:id="rId4" name="Button 2">
              <controlPr defaultSize="0" print="0" autoFill="0" autoPict="0" macro="[0]!データ削除_年齢階層在院期間区分F02F09">
                <anchor moveWithCells="1" sizeWithCells="1">
                  <from>
                    <xdr:col>12</xdr:col>
                    <xdr:colOff>701040</xdr:colOff>
                    <xdr:row>2</xdr:row>
                    <xdr:rowOff>60960</xdr:rowOff>
                  </from>
                  <to>
                    <xdr:col>15</xdr:col>
                    <xdr:colOff>266700</xdr:colOff>
                    <xdr:row>4</xdr:row>
                    <xdr:rowOff>114300</xdr:rowOff>
                  </to>
                </anchor>
              </controlPr>
            </control>
          </mc:Choice>
        </mc:AlternateContent>
      </controls>
    </mc:Choice>
  </mc:AlternateContent>
  <tableParts count="4">
    <tablePart r:id="rId5"/>
    <tablePart r:id="rId6"/>
    <tablePart r:id="rId7"/>
    <tablePart r:id="rId8"/>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FF0000"/>
    <pageSetUpPr fitToPage="1"/>
  </sheetPr>
  <dimension ref="A1:BE41"/>
  <sheetViews>
    <sheetView showGridLines="0" view="pageBreakPreview" topLeftCell="B1" zoomScale="70" zoomScaleNormal="100" zoomScaleSheetLayoutView="70" workbookViewId="0">
      <selection activeCell="B1" sqref="B1"/>
    </sheetView>
  </sheetViews>
  <sheetFormatPr defaultColWidth="9" defaultRowHeight="17.399999999999999" x14ac:dyDescent="0.2"/>
  <cols>
    <col min="1" max="1" width="4" style="1" hidden="1" customWidth="1"/>
    <col min="2" max="2" width="12.44140625" style="1" customWidth="1"/>
    <col min="3" max="12" width="8.77734375" style="1" customWidth="1"/>
    <col min="13" max="13" width="9.5546875" style="1" hidden="1" customWidth="1"/>
    <col min="14" max="16" width="9.5546875" style="676" hidden="1" customWidth="1"/>
    <col min="17" max="17" width="9.5546875" style="1" hidden="1" customWidth="1"/>
    <col min="18" max="18" width="17.77734375" style="1" hidden="1" customWidth="1"/>
    <col min="19" max="34" width="11.109375" style="1" hidden="1" customWidth="1"/>
    <col min="35" max="35" width="9" style="1" hidden="1" customWidth="1"/>
    <col min="36" max="40" width="9" style="1" customWidth="1"/>
    <col min="41" max="57" width="9" style="1" hidden="1" customWidth="1"/>
    <col min="58" max="58" width="9" style="1" customWidth="1"/>
    <col min="59" max="16384" width="9" style="1"/>
  </cols>
  <sheetData>
    <row r="1" spans="2:57" ht="19.5" customHeight="1" x14ac:dyDescent="0.2">
      <c r="B1" s="2" t="s">
        <v>146</v>
      </c>
    </row>
    <row r="2" spans="2:57" ht="18.75" customHeight="1" thickBot="1" x14ac:dyDescent="0.25">
      <c r="B2" s="1055" t="s">
        <v>64</v>
      </c>
      <c r="C2" s="1057" t="s">
        <v>63</v>
      </c>
      <c r="D2" s="1058"/>
      <c r="E2" s="1058"/>
      <c r="F2" s="1058"/>
      <c r="G2" s="1058"/>
      <c r="H2" s="1058"/>
      <c r="I2" s="1058"/>
      <c r="J2" s="1058"/>
      <c r="K2" s="1058"/>
      <c r="L2" s="1059"/>
      <c r="R2" s="21" t="s">
        <v>62</v>
      </c>
    </row>
    <row r="3" spans="2:57" ht="18.75" customHeight="1" thickTop="1" thickBot="1" x14ac:dyDescent="0.25">
      <c r="B3" s="1056"/>
      <c r="C3" s="1060" t="s">
        <v>68</v>
      </c>
      <c r="D3" s="1061"/>
      <c r="E3" s="1060" t="s">
        <v>69</v>
      </c>
      <c r="F3" s="1061"/>
      <c r="G3" s="1060" t="s">
        <v>70</v>
      </c>
      <c r="H3" s="1061"/>
      <c r="I3" s="1060" t="s">
        <v>71</v>
      </c>
      <c r="J3" s="1061"/>
      <c r="K3" s="1060" t="s">
        <v>61</v>
      </c>
      <c r="L3" s="1061"/>
      <c r="R3" s="266" t="s">
        <v>655</v>
      </c>
      <c r="S3" s="296" t="s">
        <v>677</v>
      </c>
      <c r="T3" s="296" t="s">
        <v>678</v>
      </c>
      <c r="U3" s="296" t="s">
        <v>679</v>
      </c>
      <c r="V3" s="296" t="s">
        <v>680</v>
      </c>
      <c r="W3" s="296" t="s">
        <v>681</v>
      </c>
      <c r="X3" s="296" t="s">
        <v>682</v>
      </c>
      <c r="Y3" s="296" t="s">
        <v>683</v>
      </c>
      <c r="Z3" s="296" t="s">
        <v>340</v>
      </c>
      <c r="AA3" s="296" t="s">
        <v>684</v>
      </c>
      <c r="AB3" s="296" t="s">
        <v>685</v>
      </c>
      <c r="AC3" s="296" t="s">
        <v>686</v>
      </c>
      <c r="AD3" s="296" t="s">
        <v>687</v>
      </c>
      <c r="AE3" s="296" t="s">
        <v>688</v>
      </c>
      <c r="AF3" s="296" t="s">
        <v>689</v>
      </c>
      <c r="AG3" s="296" t="s">
        <v>690</v>
      </c>
      <c r="AH3" s="295" t="s">
        <v>691</v>
      </c>
      <c r="AP3" s="295" t="s">
        <v>170</v>
      </c>
      <c r="AQ3" s="296" t="s">
        <v>171</v>
      </c>
      <c r="AR3" s="296" t="s">
        <v>172</v>
      </c>
      <c r="AS3" s="296" t="s">
        <v>173</v>
      </c>
      <c r="AT3" s="296" t="s">
        <v>174</v>
      </c>
      <c r="AU3" s="296" t="s">
        <v>175</v>
      </c>
      <c r="AV3" s="296" t="s">
        <v>176</v>
      </c>
      <c r="AW3" s="296" t="s">
        <v>177</v>
      </c>
      <c r="AX3" s="296" t="s">
        <v>178</v>
      </c>
      <c r="AY3" s="296" t="s">
        <v>179</v>
      </c>
      <c r="AZ3" s="296" t="s">
        <v>180</v>
      </c>
      <c r="BA3" s="296" t="s">
        <v>181</v>
      </c>
      <c r="BB3" s="296" t="s">
        <v>182</v>
      </c>
      <c r="BC3" s="296" t="s">
        <v>183</v>
      </c>
      <c r="BD3" s="296" t="s">
        <v>184</v>
      </c>
      <c r="BE3" s="295" t="s">
        <v>185</v>
      </c>
    </row>
    <row r="4" spans="2:57" ht="18.75" customHeight="1" thickTop="1" x14ac:dyDescent="0.2">
      <c r="B4" s="147" t="s">
        <v>2</v>
      </c>
      <c r="C4" s="148">
        <f>IFERROR(INDEX(年齢階層×在院期間区分F3[#All],MATCH($AO4,年齢階層×在院期間区分F3[[#All],[行ラベル]],0),MATCH($AP$3,年齢階層×在院期間区分F3[#Headers],0)),0)+IFERROR(INDEX(年齢階層×在院期間区分F3[#All],MATCH($AO4,年齢階層×在院期間区分F3[[#All],[行ラベル]],0),MATCH($AQ$3,年齢階層×在院期間区分F3[#Headers],0)),0)+IFERROR(INDEX(年齢階層×在院期間区分F3[#All],MATCH($AO4,年齢階層×在院期間区分F3[[#All],[行ラベル]],0),MATCH($AR$3,年齢階層×在院期間区分F3[#Headers],0)),0)+IFERROR(INDEX(年齢階層×在院期間区分F3[#All],MATCH($AO4,年齢階層×在院期間区分F3[[#All],[行ラベル]],0),MATCH($AS$3,年齢階層×在院期間区分F3[#Headers],0)),0)</f>
        <v>21</v>
      </c>
      <c r="D4" s="143">
        <f t="shared" ref="D4:D12" si="0">IFERROR(C4/$C$13,"-")</f>
        <v>1.9681349578256794E-2</v>
      </c>
      <c r="E4" s="148">
        <f>IFERROR(INDEX(年齢階層×在院期間区分F3[#All],MATCH($AO4,年齢階層×在院期間区分F3[[#All],[行ラベル]],0),MATCH($AT$3,年齢階層×在院期間区分F3[#Headers],0)),0)+IFERROR(INDEX(年齢階層×在院期間区分F3[#All],MATCH($AO4,年齢階層×在院期間区分F3[[#All],[行ラベル]],0),MATCH($AU$3,年齢階層×在院期間区分F3[#Headers],0)),0)+IFERROR(INDEX(年齢階層×在院期間区分F3[#All],MATCH($AO4,年齢階層×在院期間区分F3[[#All],[行ラベル]],0),MATCH($AV$3,年齢階層×在院期間区分F3[#Headers],0)),0)+IFERROR(INDEX(年齢階層×在院期間区分F3[#All],MATCH($AO4,年齢階層×在院期間区分F3[[#All],[行ラベル]],0),MATCH($AW$3,年齢階層×在院期間区分F3[#Headers],0)),0)+IFERROR(INDEX(年齢階層×在院期間区分F3[#All],MATCH($AO4,年齢階層×在院期間区分F3[[#All],[行ラベル]],0),MATCH($AX$3,年齢階層×在院期間区分F3[#Headers],0)),0)</f>
        <v>0</v>
      </c>
      <c r="F4" s="143">
        <f t="shared" ref="F4:F12" si="1">IFERROR(E4/$E$13,"-")</f>
        <v>0</v>
      </c>
      <c r="G4" s="142">
        <f>IFERROR(INDEX(年齢階層×在院期間区分F3[#All],MATCH($AO4,年齢階層×在院期間区分F3[[#All],[行ラベル]],0),MATCH($AY$3,年齢階層×在院期間区分F3[#Headers],0)),0)+IFERROR(INDEX(年齢階層×在院期間区分F3[#All],MATCH($AO4,年齢階層×在院期間区分F3[[#All],[行ラベル]],0),MATCH($AZ$3,年齢階層×在院期間区分F3[#Headers],0)),0)+IFERROR(INDEX(年齢階層×在院期間区分F3[#All],MATCH($AO4,年齢階層×在院期間区分F3[[#All],[行ラベル]],0),MATCH($BA$3,年齢階層×在院期間区分F3[#Headers],0)),0)+IFERROR(INDEX(年齢階層×在院期間区分F3[#All],MATCH($AO4,年齢階層×在院期間区分F3[[#All],[行ラベル]],0),MATCH($BB$3,年齢階層×在院期間区分F3[#Headers],0)),0)+IFERROR(INDEX(年齢階層×在院期間区分F3[#All],MATCH($AO4,年齢階層×在院期間区分F3[[#All],[行ラベル]],0),MATCH($BC$3,年齢階層×在院期間区分F3[#Headers],0)),0)</f>
        <v>0</v>
      </c>
      <c r="H4" s="143">
        <f t="shared" ref="H4:H12" si="2">IFERROR(G4/$G$13,"-")</f>
        <v>0</v>
      </c>
      <c r="I4" s="148">
        <f>IFERROR(INDEX(年齢階層×在院期間区分F3[#All],MATCH($AO4,年齢階層×在院期間区分F3[[#All],[行ラベル]],0),MATCH($BD$3,年齢階層×在院期間区分F3[#Headers],0)),0)+IFERROR(INDEX(年齢階層×在院期間区分F3[#All],MATCH($AO4,年齢階層×在院期間区分F3[[#All],[行ラベル]],0),MATCH($BE$3,年齢階層×在院期間区分F3[#Headers],0)),0)</f>
        <v>0</v>
      </c>
      <c r="J4" s="143">
        <f t="shared" ref="J4:J12" si="3">IFERROR(I4/$I$13,"-")</f>
        <v>0</v>
      </c>
      <c r="K4" s="142">
        <f t="shared" ref="K4:K12" si="4">SUM(C4,E4,G4,I4)</f>
        <v>21</v>
      </c>
      <c r="L4" s="143">
        <f t="shared" ref="L4:L12" si="5">IFERROR(K4/$K$13,"-")</f>
        <v>1.2627781118460614E-2</v>
      </c>
      <c r="R4" s="41" t="s">
        <v>2</v>
      </c>
      <c r="S4" s="49">
        <v>13</v>
      </c>
      <c r="T4" s="49">
        <v>8</v>
      </c>
      <c r="U4" s="49">
        <v>0</v>
      </c>
      <c r="V4" s="49">
        <v>0</v>
      </c>
      <c r="W4" s="49">
        <v>0</v>
      </c>
      <c r="X4" s="49">
        <v>0</v>
      </c>
      <c r="Y4" s="49">
        <v>0</v>
      </c>
      <c r="Z4" s="49">
        <v>0</v>
      </c>
      <c r="AA4" s="49">
        <v>0</v>
      </c>
      <c r="AB4" s="49">
        <v>0</v>
      </c>
      <c r="AC4" s="49">
        <v>0</v>
      </c>
      <c r="AD4" s="49">
        <v>0</v>
      </c>
      <c r="AE4" s="49">
        <v>0</v>
      </c>
      <c r="AF4" s="49">
        <v>0</v>
      </c>
      <c r="AG4" s="49">
        <v>0</v>
      </c>
      <c r="AH4" s="49">
        <v>0</v>
      </c>
      <c r="AI4" s="16"/>
      <c r="AJ4" s="16"/>
      <c r="AO4" s="41" t="s">
        <v>2</v>
      </c>
      <c r="AP4" s="50"/>
      <c r="AS4" s="50"/>
    </row>
    <row r="5" spans="2:57" ht="18.75" customHeight="1" x14ac:dyDescent="0.2">
      <c r="B5" s="149" t="s">
        <v>3</v>
      </c>
      <c r="C5" s="150">
        <f>IFERROR(INDEX(年齢階層×在院期間区分F3[#All],MATCH($AO5,年齢階層×在院期間区分F3[[#All],[行ラベル]],0),MATCH($AP$3,年齢階層×在院期間区分F3[#Headers],0)),0)+IFERROR(INDEX(年齢階層×在院期間区分F3[#All],MATCH($AO5,年齢階層×在院期間区分F3[[#All],[行ラベル]],0),MATCH($AQ$3,年齢階層×在院期間区分F3[#Headers],0)),0)+IFERROR(INDEX(年齢階層×在院期間区分F3[#All],MATCH($AO5,年齢階層×在院期間区分F3[[#All],[行ラベル]],0),MATCH($AR$3,年齢階層×在院期間区分F3[#Headers],0)),0)+IFERROR(INDEX(年齢階層×在院期間区分F3[#All],MATCH($AO5,年齢階層×在院期間区分F3[[#All],[行ラベル]],0),MATCH($AS$3,年齢階層×在院期間区分F3[#Headers],0)),0)</f>
        <v>72</v>
      </c>
      <c r="D5" s="128">
        <f t="shared" si="0"/>
        <v>6.7478912839737587E-2</v>
      </c>
      <c r="E5" s="150">
        <f>IFERROR(INDEX(年齢階層×在院期間区分F3[#All],MATCH($AO5,年齢階層×在院期間区分F3[[#All],[行ラベル]],0),MATCH($AT$3,年齢階層×在院期間区分F3[#Headers],0)),0)+IFERROR(INDEX(年齢階層×在院期間区分F3[#All],MATCH($AO5,年齢階層×在院期間区分F3[[#All],[行ラベル]],0),MATCH($AU$3,年齢階層×在院期間区分F3[#Headers],0)),0)+IFERROR(INDEX(年齢階層×在院期間区分F3[#All],MATCH($AO5,年齢階層×在院期間区分F3[[#All],[行ラベル]],0),MATCH($AV$3,年齢階層×在院期間区分F3[#Headers],0)),0)+IFERROR(INDEX(年齢階層×在院期間区分F3[#All],MATCH($AO5,年齢階層×在院期間区分F3[[#All],[行ラベル]],0),MATCH($AW$3,年齢階層×在院期間区分F3[#Headers],0)),0)+IFERROR(INDEX(年齢階層×在院期間区分F3[#All],MATCH($AO5,年齢階層×在院期間区分F3[[#All],[行ラベル]],0),MATCH($AX$3,年齢階層×在院期間区分F3[#Headers],0)),0)</f>
        <v>5</v>
      </c>
      <c r="F5" s="128">
        <f t="shared" si="1"/>
        <v>1.2077294685990338E-2</v>
      </c>
      <c r="G5" s="127">
        <f>IFERROR(INDEX(年齢階層×在院期間区分F3[#All],MATCH($AO5,年齢階層×在院期間区分F3[[#All],[行ラベル]],0),MATCH($AY$3,年齢階層×在院期間区分F3[#Headers],0)),0)+IFERROR(INDEX(年齢階層×在院期間区分F3[#All],MATCH($AO5,年齢階層×在院期間区分F3[[#All],[行ラベル]],0),MATCH($AZ$3,年齢階層×在院期間区分F3[#Headers],0)),0)+IFERROR(INDEX(年齢階層×在院期間区分F3[#All],MATCH($AO5,年齢階層×在院期間区分F3[[#All],[行ラベル]],0),MATCH($BA$3,年齢階層×在院期間区分F3[#Headers],0)),0)+IFERROR(INDEX(年齢階層×在院期間区分F3[#All],MATCH($AO5,年齢階層×在院期間区分F3[[#All],[行ラベル]],0),MATCH($BB$3,年齢階層×在院期間区分F3[#Headers],0)),0)+IFERROR(INDEX(年齢階層×在院期間区分F3[#All],MATCH($AO5,年齢階層×在院期間区分F3[[#All],[行ラベル]],0),MATCH($BC$3,年齢階層×在院期間区分F3[#Headers],0)),0)</f>
        <v>0</v>
      </c>
      <c r="H5" s="128">
        <f t="shared" si="2"/>
        <v>0</v>
      </c>
      <c r="I5" s="150">
        <f>IFERROR(INDEX(年齢階層×在院期間区分F3[#All],MATCH($AO5,年齢階層×在院期間区分F3[[#All],[行ラベル]],0),MATCH($BD$3,年齢階層×在院期間区分F3[#Headers],0)),0)+IFERROR(INDEX(年齢階層×在院期間区分F3[#All],MATCH($AO5,年齢階層×在院期間区分F3[[#All],[行ラベル]],0),MATCH($BE$3,年齢階層×在院期間区分F3[#Headers],0)),0)</f>
        <v>0</v>
      </c>
      <c r="J5" s="128">
        <f t="shared" si="3"/>
        <v>0</v>
      </c>
      <c r="K5" s="127">
        <f t="shared" si="4"/>
        <v>77</v>
      </c>
      <c r="L5" s="128">
        <f t="shared" si="5"/>
        <v>4.6301864101022251E-2</v>
      </c>
      <c r="R5" s="41" t="s">
        <v>3</v>
      </c>
      <c r="S5" s="49">
        <v>28</v>
      </c>
      <c r="T5" s="49">
        <v>33</v>
      </c>
      <c r="U5" s="49">
        <v>8</v>
      </c>
      <c r="V5" s="49">
        <v>3</v>
      </c>
      <c r="W5" s="49">
        <v>3</v>
      </c>
      <c r="X5" s="49">
        <v>0</v>
      </c>
      <c r="Y5" s="49">
        <v>1</v>
      </c>
      <c r="Z5" s="49">
        <v>0</v>
      </c>
      <c r="AA5" s="49">
        <v>1</v>
      </c>
      <c r="AB5" s="49">
        <v>0</v>
      </c>
      <c r="AC5" s="49">
        <v>0</v>
      </c>
      <c r="AD5" s="49">
        <v>0</v>
      </c>
      <c r="AE5" s="49">
        <v>0</v>
      </c>
      <c r="AF5" s="49">
        <v>0</v>
      </c>
      <c r="AG5" s="49">
        <v>0</v>
      </c>
      <c r="AH5" s="49">
        <v>0</v>
      </c>
      <c r="AI5" s="16"/>
      <c r="AJ5" s="16"/>
      <c r="AO5" s="41" t="s">
        <v>3</v>
      </c>
      <c r="AP5" s="50"/>
      <c r="AQ5" s="50"/>
      <c r="AS5" s="50"/>
    </row>
    <row r="6" spans="2:57" ht="18.75" customHeight="1" x14ac:dyDescent="0.2">
      <c r="B6" s="149" t="s">
        <v>4</v>
      </c>
      <c r="C6" s="127">
        <f>IFERROR(INDEX(年齢階層×在院期間区分F3[#All],MATCH($AO6,年齢階層×在院期間区分F3[[#All],[行ラベル]],0),MATCH($AP$3,年齢階層×在院期間区分F3[#Headers],0)),0)+IFERROR(INDEX(年齢階層×在院期間区分F3[#All],MATCH($AO6,年齢階層×在院期間区分F3[[#All],[行ラベル]],0),MATCH($AQ$3,年齢階層×在院期間区分F3[#Headers],0)),0)+IFERROR(INDEX(年齢階層×在院期間区分F3[#All],MATCH($AO6,年齢階層×在院期間区分F3[[#All],[行ラベル]],0),MATCH($AR$3,年齢階層×在院期間区分F3[#Headers],0)),0)+IFERROR(INDEX(年齢階層×在院期間区分F3[#All],MATCH($AO6,年齢階層×在院期間区分F3[[#All],[行ラベル]],0),MATCH($AS$3,年齢階層×在院期間区分F3[#Headers],0)),0)</f>
        <v>64</v>
      </c>
      <c r="D6" s="128">
        <f t="shared" si="0"/>
        <v>5.9981255857544519E-2</v>
      </c>
      <c r="E6" s="127">
        <f>IFERROR(INDEX(年齢階層×在院期間区分F3[#All],MATCH($AO6,年齢階層×在院期間区分F3[[#All],[行ラベル]],0),MATCH($AT$3,年齢階層×在院期間区分F3[#Headers],0)),0)+IFERROR(INDEX(年齢階層×在院期間区分F3[#All],MATCH($AO6,年齢階層×在院期間区分F3[[#All],[行ラベル]],0),MATCH($AU$3,年齢階層×在院期間区分F3[#Headers],0)),0)+IFERROR(INDEX(年齢階層×在院期間区分F3[#All],MATCH($AO6,年齢階層×在院期間区分F3[[#All],[行ラベル]],0),MATCH($AV$3,年齢階層×在院期間区分F3[#Headers],0)),0)+IFERROR(INDEX(年齢階層×在院期間区分F3[#All],MATCH($AO6,年齢階層×在院期間区分F3[[#All],[行ラベル]],0),MATCH($AW$3,年齢階層×在院期間区分F3[#Headers],0)),0)+IFERROR(INDEX(年齢階層×在院期間区分F3[#All],MATCH($AO6,年齢階層×在院期間区分F3[[#All],[行ラベル]],0),MATCH($AX$3,年齢階層×在院期間区分F3[#Headers],0)),0)</f>
        <v>3</v>
      </c>
      <c r="F6" s="128">
        <f t="shared" si="1"/>
        <v>7.246376811594203E-3</v>
      </c>
      <c r="G6" s="127">
        <f>IFERROR(INDEX(年齢階層×在院期間区分F3[#All],MATCH($AO6,年齢階層×在院期間区分F3[[#All],[行ラベル]],0),MATCH($AY$3,年齢階層×在院期間区分F3[#Headers],0)),0)+IFERROR(INDEX(年齢階層×在院期間区分F3[#All],MATCH($AO6,年齢階層×在院期間区分F3[[#All],[行ラベル]],0),MATCH($AZ$3,年齢階層×在院期間区分F3[#Headers],0)),0)+IFERROR(INDEX(年齢階層×在院期間区分F3[#All],MATCH($AO6,年齢階層×在院期間区分F3[[#All],[行ラベル]],0),MATCH($BA$3,年齢階層×在院期間区分F3[#Headers],0)),0)+IFERROR(INDEX(年齢階層×在院期間区分F3[#All],MATCH($AO6,年齢階層×在院期間区分F3[[#All],[行ラベル]],0),MATCH($BB$3,年齢階層×在院期間区分F3[#Headers],0)),0)+IFERROR(INDEX(年齢階層×在院期間区分F3[#All],MATCH($AO6,年齢階層×在院期間区分F3[[#All],[行ラベル]],0),MATCH($BC$3,年齢階層×在院期間区分F3[#Headers],0)),0)</f>
        <v>0</v>
      </c>
      <c r="H6" s="128">
        <f t="shared" si="2"/>
        <v>0</v>
      </c>
      <c r="I6" s="150">
        <f>IFERROR(INDEX(年齢階層×在院期間区分F3[#All],MATCH($AO6,年齢階層×在院期間区分F3[[#All],[行ラベル]],0),MATCH($BD$3,年齢階層×在院期間区分F3[#Headers],0)),0)+IFERROR(INDEX(年齢階層×在院期間区分F3[#All],MATCH($AO6,年齢階層×在院期間区分F3[[#All],[行ラベル]],0),MATCH($BE$3,年齢階層×在院期間区分F3[#Headers],0)),0)</f>
        <v>0</v>
      </c>
      <c r="J6" s="128">
        <f t="shared" si="3"/>
        <v>0</v>
      </c>
      <c r="K6" s="127">
        <f t="shared" si="4"/>
        <v>67</v>
      </c>
      <c r="L6" s="128">
        <f t="shared" si="5"/>
        <v>4.0288634996993387E-2</v>
      </c>
      <c r="R6" s="41" t="s">
        <v>4</v>
      </c>
      <c r="S6" s="49">
        <v>32</v>
      </c>
      <c r="T6" s="49">
        <v>28</v>
      </c>
      <c r="U6" s="49">
        <v>3</v>
      </c>
      <c r="V6" s="49">
        <v>1</v>
      </c>
      <c r="W6" s="49">
        <v>1</v>
      </c>
      <c r="X6" s="49">
        <v>1</v>
      </c>
      <c r="Y6" s="49">
        <v>1</v>
      </c>
      <c r="Z6" s="49">
        <v>0</v>
      </c>
      <c r="AA6" s="49">
        <v>0</v>
      </c>
      <c r="AB6" s="49">
        <v>0</v>
      </c>
      <c r="AC6" s="49">
        <v>0</v>
      </c>
      <c r="AD6" s="49">
        <v>0</v>
      </c>
      <c r="AE6" s="49">
        <v>0</v>
      </c>
      <c r="AF6" s="49">
        <v>0</v>
      </c>
      <c r="AG6" s="49">
        <v>0</v>
      </c>
      <c r="AH6" s="49">
        <v>0</v>
      </c>
      <c r="AI6" s="16"/>
      <c r="AJ6" s="16"/>
      <c r="AO6" s="41" t="s">
        <v>4</v>
      </c>
      <c r="AP6" s="50"/>
      <c r="AQ6" s="50"/>
      <c r="AS6" s="50"/>
    </row>
    <row r="7" spans="2:57" ht="18.75" customHeight="1" x14ac:dyDescent="0.2">
      <c r="B7" s="149" t="s">
        <v>5</v>
      </c>
      <c r="C7" s="127">
        <f>IFERROR(INDEX(年齢階層×在院期間区分F3[#All],MATCH($AO7,年齢階層×在院期間区分F3[[#All],[行ラベル]],0),MATCH($AP$3,年齢階層×在院期間区分F3[#Headers],0)),0)+IFERROR(INDEX(年齢階層×在院期間区分F3[#All],MATCH($AO7,年齢階層×在院期間区分F3[[#All],[行ラベル]],0),MATCH($AQ$3,年齢階層×在院期間区分F3[#Headers],0)),0)+IFERROR(INDEX(年齢階層×在院期間区分F3[#All],MATCH($AO7,年齢階層×在院期間区分F3[[#All],[行ラベル]],0),MATCH($AR$3,年齢階層×在院期間区分F3[#Headers],0)),0)+IFERROR(INDEX(年齢階層×在院期間区分F3[#All],MATCH($AO7,年齢階層×在院期間区分F3[[#All],[行ラベル]],0),MATCH($AS$3,年齢階層×在院期間区分F3[#Headers],0)),0)</f>
        <v>96</v>
      </c>
      <c r="D7" s="128">
        <f t="shared" si="0"/>
        <v>8.9971883786316778E-2</v>
      </c>
      <c r="E7" s="151">
        <f>IFERROR(INDEX(年齢階層×在院期間区分F3[#All],MATCH($AO7,年齢階層×在院期間区分F3[[#All],[行ラベル]],0),MATCH($AT$3,年齢階層×在院期間区分F3[#Headers],0)),0)+IFERROR(INDEX(年齢階層×在院期間区分F3[#All],MATCH($AO7,年齢階層×在院期間区分F3[[#All],[行ラベル]],0),MATCH($AU$3,年齢階層×在院期間区分F3[#Headers],0)),0)+IFERROR(INDEX(年齢階層×在院期間区分F3[#All],MATCH($AO7,年齢階層×在院期間区分F3[[#All],[行ラベル]],0),MATCH($AV$3,年齢階層×在院期間区分F3[#Headers],0)),0)+IFERROR(INDEX(年齢階層×在院期間区分F3[#All],MATCH($AO7,年齢階層×在院期間区分F3[[#All],[行ラベル]],0),MATCH($AW$3,年齢階層×在院期間区分F3[#Headers],0)),0)+IFERROR(INDEX(年齢階層×在院期間区分F3[#All],MATCH($AO7,年齢階層×在院期間区分F3[[#All],[行ラベル]],0),MATCH($AX$3,年齢階層×在院期間区分F3[#Headers],0)),0)</f>
        <v>7</v>
      </c>
      <c r="F7" s="128">
        <f t="shared" si="1"/>
        <v>1.6908212560386472E-2</v>
      </c>
      <c r="G7" s="151">
        <f>IFERROR(INDEX(年齢階層×在院期間区分F3[#All],MATCH($AO7,年齢階層×在院期間区分F3[[#All],[行ラベル]],0),MATCH($AY$3,年齢階層×在院期間区分F3[#Headers],0)),0)+IFERROR(INDEX(年齢階層×在院期間区分F3[#All],MATCH($AO7,年齢階層×在院期間区分F3[[#All],[行ラベル]],0),MATCH($AZ$3,年齢階層×在院期間区分F3[#Headers],0)),0)+IFERROR(INDEX(年齢階層×在院期間区分F3[#All],MATCH($AO7,年齢階層×在院期間区分F3[[#All],[行ラベル]],0),MATCH($BA$3,年齢階層×在院期間区分F3[#Headers],0)),0)+IFERROR(INDEX(年齢階層×在院期間区分F3[#All],MATCH($AO7,年齢階層×在院期間区分F3[[#All],[行ラベル]],0),MATCH($BB$3,年齢階層×在院期間区分F3[#Headers],0)),0)+IFERROR(INDEX(年齢階層×在院期間区分F3[#All],MATCH($AO7,年齢階層×在院期間区分F3[[#All],[行ラベル]],0),MATCH($BC$3,年齢階層×在院期間区分F3[#Headers],0)),0)</f>
        <v>1</v>
      </c>
      <c r="H7" s="128">
        <f t="shared" si="2"/>
        <v>8.4745762711864406E-3</v>
      </c>
      <c r="I7" s="127">
        <f>IFERROR(INDEX(年齢階層×在院期間区分F3[#All],MATCH($AO7,年齢階層×在院期間区分F3[[#All],[行ラベル]],0),MATCH($BD$3,年齢階層×在院期間区分F3[#Headers],0)),0)+IFERROR(INDEX(年齢階層×在院期間区分F3[#All],MATCH($AO7,年齢階層×在院期間区分F3[[#All],[行ラベル]],0),MATCH($BE$3,年齢階層×在院期間区分F3[#Headers],0)),0)</f>
        <v>3</v>
      </c>
      <c r="J7" s="128">
        <f t="shared" si="3"/>
        <v>4.6875E-2</v>
      </c>
      <c r="K7" s="127">
        <f t="shared" si="4"/>
        <v>107</v>
      </c>
      <c r="L7" s="128">
        <f t="shared" si="5"/>
        <v>6.4341551413108836E-2</v>
      </c>
      <c r="R7" s="41" t="s">
        <v>5</v>
      </c>
      <c r="S7" s="49">
        <v>50</v>
      </c>
      <c r="T7" s="49">
        <v>35</v>
      </c>
      <c r="U7" s="49">
        <v>5</v>
      </c>
      <c r="V7" s="49">
        <v>6</v>
      </c>
      <c r="W7" s="49">
        <v>5</v>
      </c>
      <c r="X7" s="49">
        <v>2</v>
      </c>
      <c r="Y7" s="49">
        <v>0</v>
      </c>
      <c r="Z7" s="49">
        <v>0</v>
      </c>
      <c r="AA7" s="49">
        <v>0</v>
      </c>
      <c r="AB7" s="49">
        <v>0</v>
      </c>
      <c r="AC7" s="49">
        <v>0</v>
      </c>
      <c r="AD7" s="49">
        <v>1</v>
      </c>
      <c r="AE7" s="49">
        <v>0</v>
      </c>
      <c r="AF7" s="49">
        <v>0</v>
      </c>
      <c r="AG7" s="49">
        <v>3</v>
      </c>
      <c r="AH7" s="49">
        <v>0</v>
      </c>
      <c r="AI7" s="16"/>
      <c r="AJ7" s="16"/>
      <c r="AO7" s="41" t="s">
        <v>5</v>
      </c>
      <c r="AP7" s="50"/>
      <c r="AQ7" s="50"/>
      <c r="AS7" s="50"/>
    </row>
    <row r="8" spans="2:57" ht="18.75" customHeight="1" x14ac:dyDescent="0.2">
      <c r="B8" s="149" t="s">
        <v>6</v>
      </c>
      <c r="C8" s="151">
        <f>IFERROR(INDEX(年齢階層×在院期間区分F3[#All],MATCH($AO8,年齢階層×在院期間区分F3[[#All],[行ラベル]],0),MATCH($AP$3,年齢階層×在院期間区分F3[#Headers],0)),0)+IFERROR(INDEX(年齢階層×在院期間区分F3[#All],MATCH($AO8,年齢階層×在院期間区分F3[[#All],[行ラベル]],0),MATCH($AQ$3,年齢階層×在院期間区分F3[#Headers],0)),0)+IFERROR(INDEX(年齢階層×在院期間区分F3[#All],MATCH($AO8,年齢階層×在院期間区分F3[[#All],[行ラベル]],0),MATCH($AR$3,年齢階層×在院期間区分F3[#Headers],0)),0)+IFERROR(INDEX(年齢階層×在院期間区分F3[#All],MATCH($AO8,年齢階層×在院期間区分F3[[#All],[行ラベル]],0),MATCH($AS$3,年齢階層×在院期間区分F3[#Headers],0)),0)</f>
        <v>182</v>
      </c>
      <c r="D8" s="128">
        <f t="shared" si="0"/>
        <v>0.17057169634489222</v>
      </c>
      <c r="E8" s="150">
        <f>IFERROR(INDEX(年齢階層×在院期間区分F3[#All],MATCH($AO8,年齢階層×在院期間区分F3[[#All],[行ラベル]],0),MATCH($AT$3,年齢階層×在院期間区分F3[#Headers],0)),0)+IFERROR(INDEX(年齢階層×在院期間区分F3[#All],MATCH($AO8,年齢階層×在院期間区分F3[[#All],[行ラベル]],0),MATCH($AU$3,年齢階層×在院期間区分F3[#Headers],0)),0)+IFERROR(INDEX(年齢階層×在院期間区分F3[#All],MATCH($AO8,年齢階層×在院期間区分F3[[#All],[行ラベル]],0),MATCH($AV$3,年齢階層×在院期間区分F3[#Headers],0)),0)+IFERROR(INDEX(年齢階層×在院期間区分F3[#All],MATCH($AO8,年齢階層×在院期間区分F3[[#All],[行ラベル]],0),MATCH($AW$3,年齢階層×在院期間区分F3[#Headers],0)),0)+IFERROR(INDEX(年齢階層×在院期間区分F3[#All],MATCH($AO8,年齢階層×在院期間区分F3[[#All],[行ラベル]],0),MATCH($AX$3,年齢階層×在院期間区分F3[#Headers],0)),0)</f>
        <v>34</v>
      </c>
      <c r="F8" s="128">
        <f t="shared" si="1"/>
        <v>8.2125603864734303E-2</v>
      </c>
      <c r="G8" s="127">
        <f>IFERROR(INDEX(年齢階層×在院期間区分F3[#All],MATCH($AO8,年齢階層×在院期間区分F3[[#All],[行ラベル]],0),MATCH($AY$3,年齢階層×在院期間区分F3[#Headers],0)),0)+IFERROR(INDEX(年齢階層×在院期間区分F3[#All],MATCH($AO8,年齢階層×在院期間区分F3[[#All],[行ラベル]],0),MATCH($AZ$3,年齢階層×在院期間区分F3[#Headers],0)),0)+IFERROR(INDEX(年齢階層×在院期間区分F3[#All],MATCH($AO8,年齢階層×在院期間区分F3[[#All],[行ラベル]],0),MATCH($BA$3,年齢階層×在院期間区分F3[#Headers],0)),0)+IFERROR(INDEX(年齢階層×在院期間区分F3[#All],MATCH($AO8,年齢階層×在院期間区分F3[[#All],[行ラベル]],0),MATCH($BB$3,年齢階層×在院期間区分F3[#Headers],0)),0)+IFERROR(INDEX(年齢階層×在院期間区分F3[#All],MATCH($AO8,年齢階層×在院期間区分F3[[#All],[行ラベル]],0),MATCH($BC$3,年齢階層×在院期間区分F3[#Headers],0)),0)</f>
        <v>10</v>
      </c>
      <c r="H8" s="128">
        <f t="shared" si="2"/>
        <v>8.4745762711864403E-2</v>
      </c>
      <c r="I8" s="127">
        <f>IFERROR(INDEX(年齢階層×在院期間区分F3[#All],MATCH($AO8,年齢階層×在院期間区分F3[[#All],[行ラベル]],0),MATCH($BD$3,年齢階層×在院期間区分F3[#Headers],0)),0)+IFERROR(INDEX(年齢階層×在院期間区分F3[#All],MATCH($AO8,年齢階層×在院期間区分F3[[#All],[行ラベル]],0),MATCH($BE$3,年齢階層×在院期間区分F3[#Headers],0)),0)</f>
        <v>3</v>
      </c>
      <c r="J8" s="128">
        <f t="shared" si="3"/>
        <v>4.6875E-2</v>
      </c>
      <c r="K8" s="127">
        <f t="shared" si="4"/>
        <v>229</v>
      </c>
      <c r="L8" s="128">
        <f t="shared" si="5"/>
        <v>0.13770294648226097</v>
      </c>
      <c r="R8" s="41" t="s">
        <v>6</v>
      </c>
      <c r="S8" s="49">
        <v>72</v>
      </c>
      <c r="T8" s="49">
        <v>69</v>
      </c>
      <c r="U8" s="49">
        <v>20</v>
      </c>
      <c r="V8" s="49">
        <v>21</v>
      </c>
      <c r="W8" s="49">
        <v>9</v>
      </c>
      <c r="X8" s="49">
        <v>5</v>
      </c>
      <c r="Y8" s="49">
        <v>6</v>
      </c>
      <c r="Z8" s="49">
        <v>10</v>
      </c>
      <c r="AA8" s="49">
        <v>4</v>
      </c>
      <c r="AB8" s="49">
        <v>3</v>
      </c>
      <c r="AC8" s="49">
        <v>3</v>
      </c>
      <c r="AD8" s="49">
        <v>2</v>
      </c>
      <c r="AE8" s="49">
        <v>2</v>
      </c>
      <c r="AF8" s="49">
        <v>0</v>
      </c>
      <c r="AG8" s="49">
        <v>3</v>
      </c>
      <c r="AH8" s="49">
        <v>0</v>
      </c>
      <c r="AI8" s="16"/>
      <c r="AJ8" s="16"/>
      <c r="AO8" s="41" t="s">
        <v>6</v>
      </c>
      <c r="AP8" s="50"/>
      <c r="AQ8" s="50"/>
      <c r="AS8" s="50"/>
    </row>
    <row r="9" spans="2:57" ht="18.75" customHeight="1" x14ac:dyDescent="0.2">
      <c r="B9" s="149" t="s">
        <v>7</v>
      </c>
      <c r="C9" s="127">
        <f>IFERROR(INDEX(年齢階層×在院期間区分F3[#All],MATCH($AO9,年齢階層×在院期間区分F3[[#All],[行ラベル]],0),MATCH($AP$3,年齢階層×在院期間区分F3[#Headers],0)),0)+IFERROR(INDEX(年齢階層×在院期間区分F3[#All],MATCH($AO9,年齢階層×在院期間区分F3[[#All],[行ラベル]],0),MATCH($AQ$3,年齢階層×在院期間区分F3[#Headers],0)),0)+IFERROR(INDEX(年齢階層×在院期間区分F3[#All],MATCH($AO9,年齢階層×在院期間区分F3[[#All],[行ラベル]],0),MATCH($AR$3,年齢階層×在院期間区分F3[#Headers],0)),0)+IFERROR(INDEX(年齢階層×在院期間区分F3[#All],MATCH($AO9,年齢階層×在院期間区分F3[[#All],[行ラベル]],0),MATCH($AS$3,年齢階層×在院期間区分F3[#Headers],0)),0)</f>
        <v>190</v>
      </c>
      <c r="D9" s="128">
        <f t="shared" si="0"/>
        <v>0.17806935332708529</v>
      </c>
      <c r="E9" s="127">
        <f>IFERROR(INDEX(年齢階層×在院期間区分F3[#All],MATCH($AO9,年齢階層×在院期間区分F3[[#All],[行ラベル]],0),MATCH($AT$3,年齢階層×在院期間区分F3[#Headers],0)),0)+IFERROR(INDEX(年齢階層×在院期間区分F3[#All],MATCH($AO9,年齢階層×在院期間区分F3[[#All],[行ラベル]],0),MATCH($AU$3,年齢階層×在院期間区分F3[#Headers],0)),0)+IFERROR(INDEX(年齢階層×在院期間区分F3[#All],MATCH($AO9,年齢階層×在院期間区分F3[[#All],[行ラベル]],0),MATCH($AV$3,年齢階層×在院期間区分F3[#Headers],0)),0)+IFERROR(INDEX(年齢階層×在院期間区分F3[#All],MATCH($AO9,年齢階層×在院期間区分F3[[#All],[行ラベル]],0),MATCH($AW$3,年齢階層×在院期間区分F3[#Headers],0)),0)+IFERROR(INDEX(年齢階層×在院期間区分F3[#All],MATCH($AO9,年齢階層×在院期間区分F3[[#All],[行ラベル]],0),MATCH($AX$3,年齢階層×在院期間区分F3[#Headers],0)),0)</f>
        <v>86</v>
      </c>
      <c r="F9" s="128">
        <f t="shared" si="1"/>
        <v>0.20772946859903382</v>
      </c>
      <c r="G9" s="151">
        <f>IFERROR(INDEX(年齢階層×在院期間区分F3[#All],MATCH($AO9,年齢階層×在院期間区分F3[[#All],[行ラベル]],0),MATCH($AY$3,年齢階層×在院期間区分F3[#Headers],0)),0)+IFERROR(INDEX(年齢階層×在院期間区分F3[#All],MATCH($AO9,年齢階層×在院期間区分F3[[#All],[行ラベル]],0),MATCH($AZ$3,年齢階層×在院期間区分F3[#Headers],0)),0)+IFERROR(INDEX(年齢階層×在院期間区分F3[#All],MATCH($AO9,年齢階層×在院期間区分F3[[#All],[行ラベル]],0),MATCH($BA$3,年齢階層×在院期間区分F3[#Headers],0)),0)+IFERROR(INDEX(年齢階層×在院期間区分F3[#All],MATCH($AO9,年齢階層×在院期間区分F3[[#All],[行ラベル]],0),MATCH($BB$3,年齢階層×在院期間区分F3[#Headers],0)),0)+IFERROR(INDEX(年齢階層×在院期間区分F3[#All],MATCH($AO9,年齢階層×在院期間区分F3[[#All],[行ラベル]],0),MATCH($BC$3,年齢階層×在院期間区分F3[#Headers],0)),0)</f>
        <v>23</v>
      </c>
      <c r="H9" s="128">
        <f t="shared" si="2"/>
        <v>0.19491525423728814</v>
      </c>
      <c r="I9" s="151">
        <f>IFERROR(INDEX(年齢階層×在院期間区分F3[#All],MATCH($AO9,年齢階層×在院期間区分F3[[#All],[行ラベル]],0),MATCH($BD$3,年齢階層×在院期間区分F3[#Headers],0)),0)+IFERROR(INDEX(年齢階層×在院期間区分F3[#All],MATCH($AO9,年齢階層×在院期間区分F3[[#All],[行ラベル]],0),MATCH($BE$3,年齢階層×在院期間区分F3[#Headers],0)),0)</f>
        <v>10</v>
      </c>
      <c r="J9" s="128">
        <f t="shared" si="3"/>
        <v>0.15625</v>
      </c>
      <c r="K9" s="127">
        <f t="shared" si="4"/>
        <v>309</v>
      </c>
      <c r="L9" s="128">
        <f t="shared" si="5"/>
        <v>0.18580877931449188</v>
      </c>
      <c r="R9" s="41" t="s">
        <v>7</v>
      </c>
      <c r="S9" s="49">
        <v>57</v>
      </c>
      <c r="T9" s="49">
        <v>77</v>
      </c>
      <c r="U9" s="49">
        <v>23</v>
      </c>
      <c r="V9" s="49">
        <v>33</v>
      </c>
      <c r="W9" s="49">
        <v>16</v>
      </c>
      <c r="X9" s="49">
        <v>20</v>
      </c>
      <c r="Y9" s="49">
        <v>24</v>
      </c>
      <c r="Z9" s="49">
        <v>16</v>
      </c>
      <c r="AA9" s="49">
        <v>10</v>
      </c>
      <c r="AB9" s="49">
        <v>11</v>
      </c>
      <c r="AC9" s="49">
        <v>5</v>
      </c>
      <c r="AD9" s="49">
        <v>2</v>
      </c>
      <c r="AE9" s="49">
        <v>2</v>
      </c>
      <c r="AF9" s="49">
        <v>3</v>
      </c>
      <c r="AG9" s="49">
        <v>9</v>
      </c>
      <c r="AH9" s="49">
        <v>1</v>
      </c>
      <c r="AI9" s="16"/>
      <c r="AJ9" s="16"/>
      <c r="AO9" s="41" t="s">
        <v>7</v>
      </c>
      <c r="AP9" s="50"/>
      <c r="AQ9" s="50"/>
      <c r="AS9" s="50"/>
    </row>
    <row r="10" spans="2:57" ht="18.75" customHeight="1" x14ac:dyDescent="0.2">
      <c r="B10" s="149" t="s">
        <v>8</v>
      </c>
      <c r="C10" s="127">
        <f>IFERROR(INDEX(年齢階層×在院期間区分F3[#All],MATCH($AO10,年齢階層×在院期間区分F3[[#All],[行ラベル]],0),MATCH($AP$3,年齢階層×在院期間区分F3[#Headers],0)),0)+IFERROR(INDEX(年齢階層×在院期間区分F3[#All],MATCH($AO10,年齢階層×在院期間区分F3[[#All],[行ラベル]],0),MATCH($AQ$3,年齢階層×在院期間区分F3[#Headers],0)),0)+IFERROR(INDEX(年齢階層×在院期間区分F3[#All],MATCH($AO10,年齢階層×在院期間区分F3[[#All],[行ラベル]],0),MATCH($AR$3,年齢階層×在院期間区分F3[#Headers],0)),0)+IFERROR(INDEX(年齢階層×在院期間区分F3[#All],MATCH($AO10,年齢階層×在院期間区分F3[[#All],[行ラベル]],0),MATCH($AS$3,年齢階層×在院期間区分F3[#Headers],0)),0)</f>
        <v>245</v>
      </c>
      <c r="D10" s="128">
        <f t="shared" si="0"/>
        <v>0.22961574507966259</v>
      </c>
      <c r="E10" s="151">
        <f>IFERROR(INDEX(年齢階層×在院期間区分F3[#All],MATCH($AO10,年齢階層×在院期間区分F3[[#All],[行ラベル]],0),MATCH($AT$3,年齢階層×在院期間区分F3[#Headers],0)),0)+IFERROR(INDEX(年齢階層×在院期間区分F3[#All],MATCH($AO10,年齢階層×在院期間区分F3[[#All],[行ラベル]],0),MATCH($AU$3,年齢階層×在院期間区分F3[#Headers],0)),0)+IFERROR(INDEX(年齢階層×在院期間区分F3[#All],MATCH($AO10,年齢階層×在院期間区分F3[[#All],[行ラベル]],0),MATCH($AV$3,年齢階層×在院期間区分F3[#Headers],0)),0)+IFERROR(INDEX(年齢階層×在院期間区分F3[#All],MATCH($AO10,年齢階層×在院期間区分F3[[#All],[行ラベル]],0),MATCH($AW$3,年齢階層×在院期間区分F3[#Headers],0)),0)+IFERROR(INDEX(年齢階層×在院期間区分F3[#All],MATCH($AO10,年齢階層×在院期間区分F3[[#All],[行ラベル]],0),MATCH($AX$3,年齢階層×在院期間区分F3[#Headers],0)),0)</f>
        <v>124</v>
      </c>
      <c r="F10" s="128">
        <f t="shared" si="1"/>
        <v>0.29951690821256038</v>
      </c>
      <c r="G10" s="150">
        <f>IFERROR(INDEX(年齢階層×在院期間区分F3[#All],MATCH($AO10,年齢階層×在院期間区分F3[[#All],[行ラベル]],0),MATCH($AY$3,年齢階層×在院期間区分F3[#Headers],0)),0)+IFERROR(INDEX(年齢階層×在院期間区分F3[#All],MATCH($AO10,年齢階層×在院期間区分F3[[#All],[行ラベル]],0),MATCH($AZ$3,年齢階層×在院期間区分F3[#Headers],0)),0)+IFERROR(INDEX(年齢階層×在院期間区分F3[#All],MATCH($AO10,年齢階層×在院期間区分F3[[#All],[行ラベル]],0),MATCH($BA$3,年齢階層×在院期間区分F3[#Headers],0)),0)+IFERROR(INDEX(年齢階層×在院期間区分F3[#All],MATCH($AO10,年齢階層×在院期間区分F3[[#All],[行ラベル]],0),MATCH($BB$3,年齢階層×在院期間区分F3[#Headers],0)),0)+IFERROR(INDEX(年齢階層×在院期間区分F3[#All],MATCH($AO10,年齢階層×在院期間区分F3[[#All],[行ラベル]],0),MATCH($BC$3,年齢階層×在院期間区分F3[#Headers],0)),0)</f>
        <v>41</v>
      </c>
      <c r="H10" s="128">
        <f t="shared" si="2"/>
        <v>0.34745762711864409</v>
      </c>
      <c r="I10" s="127">
        <f>IFERROR(INDEX(年齢階層×在院期間区分F3[#All],MATCH($AO10,年齢階層×在院期間区分F3[[#All],[行ラベル]],0),MATCH($BD$3,年齢階層×在院期間区分F3[#Headers],0)),0)+IFERROR(INDEX(年齢階層×在院期間区分F3[#All],MATCH($AO10,年齢階層×在院期間区分F3[[#All],[行ラベル]],0),MATCH($BE$3,年齢階層×在院期間区分F3[#Headers],0)),0)</f>
        <v>19</v>
      </c>
      <c r="J10" s="128">
        <f t="shared" si="3"/>
        <v>0.296875</v>
      </c>
      <c r="K10" s="127">
        <f t="shared" si="4"/>
        <v>429</v>
      </c>
      <c r="L10" s="128">
        <f t="shared" si="5"/>
        <v>0.25796752856283822</v>
      </c>
      <c r="R10" s="41" t="s">
        <v>8</v>
      </c>
      <c r="S10" s="49">
        <v>78</v>
      </c>
      <c r="T10" s="49">
        <v>95</v>
      </c>
      <c r="U10" s="49">
        <v>32</v>
      </c>
      <c r="V10" s="49">
        <v>40</v>
      </c>
      <c r="W10" s="49">
        <v>28</v>
      </c>
      <c r="X10" s="49">
        <v>21</v>
      </c>
      <c r="Y10" s="49">
        <v>36</v>
      </c>
      <c r="Z10" s="49">
        <v>23</v>
      </c>
      <c r="AA10" s="49">
        <v>16</v>
      </c>
      <c r="AB10" s="49">
        <v>12</v>
      </c>
      <c r="AC10" s="49">
        <v>11</v>
      </c>
      <c r="AD10" s="49">
        <v>8</v>
      </c>
      <c r="AE10" s="49">
        <v>7</v>
      </c>
      <c r="AF10" s="49">
        <v>3</v>
      </c>
      <c r="AG10" s="49">
        <v>13</v>
      </c>
      <c r="AH10" s="49">
        <v>6</v>
      </c>
      <c r="AI10" s="16"/>
      <c r="AJ10" s="16"/>
      <c r="AO10" s="41" t="s">
        <v>8</v>
      </c>
      <c r="AP10" s="50"/>
      <c r="AQ10" s="50"/>
      <c r="AS10" s="50"/>
    </row>
    <row r="11" spans="2:57" ht="18.75" customHeight="1" x14ac:dyDescent="0.2">
      <c r="B11" s="149" t="s">
        <v>9</v>
      </c>
      <c r="C11" s="127">
        <f>IFERROR(INDEX(年齢階層×在院期間区分F3[#All],MATCH($AO11,年齢階層×在院期間区分F3[[#All],[行ラベル]],0),MATCH($AP$3,年齢階層×在院期間区分F3[#Headers],0)),0)+IFERROR(INDEX(年齢階層×在院期間区分F3[#All],MATCH($AO11,年齢階層×在院期間区分F3[[#All],[行ラベル]],0),MATCH($AQ$3,年齢階層×在院期間区分F3[#Headers],0)),0)+IFERROR(INDEX(年齢階層×在院期間区分F3[#All],MATCH($AO11,年齢階層×在院期間区分F3[[#All],[行ラベル]],0),MATCH($AR$3,年齢階層×在院期間区分F3[#Headers],0)),0)+IFERROR(INDEX(年齢階層×在院期間区分F3[#All],MATCH($AO11,年齢階層×在院期間区分F3[[#All],[行ラベル]],0),MATCH($AS$3,年齢階層×在院期間区分F3[#Headers],0)),0)</f>
        <v>176</v>
      </c>
      <c r="D11" s="128">
        <f t="shared" si="0"/>
        <v>0.16494845360824742</v>
      </c>
      <c r="E11" s="127">
        <f>IFERROR(INDEX(年齢階層×在院期間区分F3[#All],MATCH($AO11,年齢階層×在院期間区分F3[[#All],[行ラベル]],0),MATCH($AT$3,年齢階層×在院期間区分F3[#Headers],0)),0)+IFERROR(INDEX(年齢階層×在院期間区分F3[#All],MATCH($AO11,年齢階層×在院期間区分F3[[#All],[行ラベル]],0),MATCH($AU$3,年齢階層×在院期間区分F3[#Headers],0)),0)+IFERROR(INDEX(年齢階層×在院期間区分F3[#All],MATCH($AO11,年齢階層×在院期間区分F3[[#All],[行ラベル]],0),MATCH($AV$3,年齢階層×在院期間区分F3[#Headers],0)),0)+IFERROR(INDEX(年齢階層×在院期間区分F3[#All],MATCH($AO11,年齢階層×在院期間区分F3[[#All],[行ラベル]],0),MATCH($AW$3,年齢階層×在院期間区分F3[#Headers],0)),0)+IFERROR(INDEX(年齢階層×在院期間区分F3[#All],MATCH($AO11,年齢階層×在院期間区分F3[[#All],[行ラベル]],0),MATCH($AX$3,年齢階層×在院期間区分F3[#Headers],0)),0)</f>
        <v>129</v>
      </c>
      <c r="F11" s="128">
        <f t="shared" si="1"/>
        <v>0.31159420289855072</v>
      </c>
      <c r="G11" s="150">
        <f>IFERROR(INDEX(年齢階層×在院期間区分F3[#All],MATCH($AO11,年齢階層×在院期間区分F3[[#All],[行ラベル]],0),MATCH($AY$3,年齢階層×在院期間区分F3[#Headers],0)),0)+IFERROR(INDEX(年齢階層×在院期間区分F3[#All],MATCH($AO11,年齢階層×在院期間区分F3[[#All],[行ラベル]],0),MATCH($AZ$3,年齢階層×在院期間区分F3[#Headers],0)),0)+IFERROR(INDEX(年齢階層×在院期間区分F3[#All],MATCH($AO11,年齢階層×在院期間区分F3[[#All],[行ラベル]],0),MATCH($BA$3,年齢階層×在院期間区分F3[#Headers],0)),0)+IFERROR(INDEX(年齢階層×在院期間区分F3[#All],MATCH($AO11,年齢階層×在院期間区分F3[[#All],[行ラベル]],0),MATCH($BB$3,年齢階層×在院期間区分F3[#Headers],0)),0)+IFERROR(INDEX(年齢階層×在院期間区分F3[#All],MATCH($AO11,年齢階層×在院期間区分F3[[#All],[行ラベル]],0),MATCH($BC$3,年齢階層×在院期間区分F3[#Headers],0)),0)</f>
        <v>32</v>
      </c>
      <c r="H11" s="128">
        <f t="shared" si="2"/>
        <v>0.2711864406779661</v>
      </c>
      <c r="I11" s="127">
        <f>IFERROR(INDEX(年齢階層×在院期間区分F3[#All],MATCH($AO11,年齢階層×在院期間区分F3[[#All],[行ラベル]],0),MATCH($BD$3,年齢階層×在院期間区分F3[#Headers],0)),0)+IFERROR(INDEX(年齢階層×在院期間区分F3[#All],MATCH($AO11,年齢階層×在院期間区分F3[[#All],[行ラベル]],0),MATCH($BE$3,年齢階層×在院期間区分F3[#Headers],0)),0)</f>
        <v>23</v>
      </c>
      <c r="J11" s="128">
        <f t="shared" si="3"/>
        <v>0.359375</v>
      </c>
      <c r="K11" s="127">
        <f t="shared" si="4"/>
        <v>360</v>
      </c>
      <c r="L11" s="128">
        <f t="shared" si="5"/>
        <v>0.2164762477450391</v>
      </c>
      <c r="R11" s="41" t="s">
        <v>9</v>
      </c>
      <c r="S11" s="49">
        <v>42</v>
      </c>
      <c r="T11" s="49">
        <v>55</v>
      </c>
      <c r="U11" s="49">
        <v>30</v>
      </c>
      <c r="V11" s="49">
        <v>49</v>
      </c>
      <c r="W11" s="49">
        <v>39</v>
      </c>
      <c r="X11" s="49">
        <v>23</v>
      </c>
      <c r="Y11" s="49">
        <v>35</v>
      </c>
      <c r="Z11" s="49">
        <v>21</v>
      </c>
      <c r="AA11" s="49">
        <v>11</v>
      </c>
      <c r="AB11" s="49">
        <v>12</v>
      </c>
      <c r="AC11" s="49">
        <v>7</v>
      </c>
      <c r="AD11" s="49">
        <v>6</v>
      </c>
      <c r="AE11" s="49">
        <v>5</v>
      </c>
      <c r="AF11" s="49">
        <v>2</v>
      </c>
      <c r="AG11" s="49">
        <v>19</v>
      </c>
      <c r="AH11" s="49">
        <v>4</v>
      </c>
      <c r="AI11" s="16"/>
      <c r="AJ11" s="16"/>
      <c r="AO11" s="41" t="s">
        <v>9</v>
      </c>
      <c r="AP11" s="50"/>
      <c r="AQ11" s="50"/>
      <c r="AS11" s="50"/>
    </row>
    <row r="12" spans="2:57" ht="18.75" customHeight="1" thickBot="1" x14ac:dyDescent="0.25">
      <c r="B12" s="152" t="s">
        <v>10</v>
      </c>
      <c r="C12" s="153">
        <f>IFERROR(INDEX(年齢階層×在院期間区分F3[#All],MATCH($AO12,年齢階層×在院期間区分F3[[#All],[行ラベル]],0),MATCH($AP$3,年齢階層×在院期間区分F3[#Headers],0)),0)+IFERROR(INDEX(年齢階層×在院期間区分F3[#All],MATCH($AO12,年齢階層×在院期間区分F3[[#All],[行ラベル]],0),MATCH($AQ$3,年齢階層×在院期間区分F3[#Headers],0)),0)+IFERROR(INDEX(年齢階層×在院期間区分F3[#All],MATCH($AO12,年齢階層×在院期間区分F3[[#All],[行ラベル]],0),MATCH($AR$3,年齢階層×在院期間区分F3[#Headers],0)),0)+IFERROR(INDEX(年齢階層×在院期間区分F3[#All],MATCH($AO12,年齢階層×在院期間区分F3[[#All],[行ラベル]],0),MATCH($AS$3,年齢階層×在院期間区分F3[#Headers],0)),0)</f>
        <v>21</v>
      </c>
      <c r="D12" s="144">
        <f t="shared" si="0"/>
        <v>1.9681349578256794E-2</v>
      </c>
      <c r="E12" s="153">
        <f>IFERROR(INDEX(年齢階層×在院期間区分F3[#All],MATCH($AO12,年齢階層×在院期間区分F3[[#All],[行ラベル]],0),MATCH($AT$3,年齢階層×在院期間区分F3[#Headers],0)),0)+IFERROR(INDEX(年齢階層×在院期間区分F3[#All],MATCH($AO12,年齢階層×在院期間区分F3[[#All],[行ラベル]],0),MATCH($AU$3,年齢階層×在院期間区分F3[#Headers],0)),0)+IFERROR(INDEX(年齢階層×在院期間区分F3[#All],MATCH($AO12,年齢階層×在院期間区分F3[[#All],[行ラベル]],0),MATCH($AV$3,年齢階層×在院期間区分F3[#Headers],0)),0)+IFERROR(INDEX(年齢階層×在院期間区分F3[#All],MATCH($AO12,年齢階層×在院期間区分F3[[#All],[行ラベル]],0),MATCH($AW$3,年齢階層×在院期間区分F3[#Headers],0)),0)+IFERROR(INDEX(年齢階層×在院期間区分F3[#All],MATCH($AO12,年齢階層×在院期間区分F3[[#All],[行ラベル]],0),MATCH($AX$3,年齢階層×在院期間区分F3[#Headers],0)),0)</f>
        <v>26</v>
      </c>
      <c r="F12" s="144">
        <f t="shared" si="1"/>
        <v>6.280193236714976E-2</v>
      </c>
      <c r="G12" s="130">
        <f>IFERROR(INDEX(年齢階層×在院期間区分F3[#All],MATCH($AO12,年齢階層×在院期間区分F3[[#All],[行ラベル]],0),MATCH($AY$3,年齢階層×在院期間区分F3[#Headers],0)),0)+IFERROR(INDEX(年齢階層×在院期間区分F3[#All],MATCH($AO12,年齢階層×在院期間区分F3[[#All],[行ラベル]],0),MATCH($AZ$3,年齢階層×在院期間区分F3[#Headers],0)),0)+IFERROR(INDEX(年齢階層×在院期間区分F3[#All],MATCH($AO12,年齢階層×在院期間区分F3[[#All],[行ラベル]],0),MATCH($BA$3,年齢階層×在院期間区分F3[#Headers],0)),0)+IFERROR(INDEX(年齢階層×在院期間区分F3[#All],MATCH($AO12,年齢階層×在院期間区分F3[[#All],[行ラベル]],0),MATCH($BB$3,年齢階層×在院期間区分F3[#Headers],0)),0)+IFERROR(INDEX(年齢階層×在院期間区分F3[#All],MATCH($AO12,年齢階層×在院期間区分F3[[#All],[行ラベル]],0),MATCH($BC$3,年齢階層×在院期間区分F3[#Headers],0)),0)</f>
        <v>11</v>
      </c>
      <c r="H12" s="144">
        <f t="shared" si="2"/>
        <v>9.3220338983050849E-2</v>
      </c>
      <c r="I12" s="153">
        <f>IFERROR(INDEX(年齢階層×在院期間区分F3[#All],MATCH($AO12,年齢階層×在院期間区分F3[[#All],[行ラベル]],0),MATCH($BD$3,年齢階層×在院期間区分F3[#Headers],0)),0)+IFERROR(INDEX(年齢階層×在院期間区分F3[#All],MATCH($AO12,年齢階層×在院期間区分F3[[#All],[行ラベル]],0),MATCH($BE$3,年齢階層×在院期間区分F3[#Headers],0)),0)</f>
        <v>6</v>
      </c>
      <c r="J12" s="144">
        <f t="shared" si="3"/>
        <v>9.375E-2</v>
      </c>
      <c r="K12" s="130">
        <f t="shared" si="4"/>
        <v>64</v>
      </c>
      <c r="L12" s="144">
        <f t="shared" si="5"/>
        <v>3.8484666265784728E-2</v>
      </c>
      <c r="R12" s="41" t="s">
        <v>10</v>
      </c>
      <c r="S12" s="49">
        <v>2</v>
      </c>
      <c r="T12" s="49">
        <v>4</v>
      </c>
      <c r="U12" s="49">
        <v>6</v>
      </c>
      <c r="V12" s="49">
        <v>9</v>
      </c>
      <c r="W12" s="49">
        <v>4</v>
      </c>
      <c r="X12" s="49">
        <v>2</v>
      </c>
      <c r="Y12" s="49">
        <v>9</v>
      </c>
      <c r="Z12" s="49">
        <v>7</v>
      </c>
      <c r="AA12" s="49">
        <v>4</v>
      </c>
      <c r="AB12" s="49">
        <v>3</v>
      </c>
      <c r="AC12" s="49">
        <v>1</v>
      </c>
      <c r="AD12" s="49">
        <v>3</v>
      </c>
      <c r="AE12" s="49">
        <v>1</v>
      </c>
      <c r="AF12" s="49">
        <v>3</v>
      </c>
      <c r="AG12" s="49">
        <v>6</v>
      </c>
      <c r="AH12" s="49">
        <v>0</v>
      </c>
      <c r="AI12" s="16"/>
      <c r="AJ12" s="16"/>
      <c r="AO12" s="41" t="s">
        <v>10</v>
      </c>
      <c r="AP12" s="50"/>
      <c r="AQ12" s="50"/>
      <c r="AS12" s="50"/>
    </row>
    <row r="13" spans="2:57" ht="18.75" customHeight="1" thickTop="1" thickBot="1" x14ac:dyDescent="0.25">
      <c r="B13" s="154" t="s">
        <v>149</v>
      </c>
      <c r="C13" s="155">
        <f t="shared" ref="C13:L13" si="6">SUM(C4:C12)</f>
        <v>1067</v>
      </c>
      <c r="D13" s="156">
        <f t="shared" si="6"/>
        <v>0.99999999999999989</v>
      </c>
      <c r="E13" s="155">
        <f t="shared" si="6"/>
        <v>414</v>
      </c>
      <c r="F13" s="156">
        <f t="shared" si="6"/>
        <v>1</v>
      </c>
      <c r="G13" s="155">
        <f t="shared" si="6"/>
        <v>118</v>
      </c>
      <c r="H13" s="156">
        <f t="shared" si="6"/>
        <v>1</v>
      </c>
      <c r="I13" s="155">
        <f t="shared" si="6"/>
        <v>64</v>
      </c>
      <c r="J13" s="156">
        <f t="shared" si="6"/>
        <v>1</v>
      </c>
      <c r="K13" s="155">
        <f t="shared" si="6"/>
        <v>1663</v>
      </c>
      <c r="L13" s="156">
        <f t="shared" si="6"/>
        <v>1</v>
      </c>
      <c r="R13" s="798" t="s">
        <v>727</v>
      </c>
      <c r="S13" s="296" t="s">
        <v>677</v>
      </c>
      <c r="T13" s="296" t="s">
        <v>678</v>
      </c>
      <c r="U13" s="296" t="s">
        <v>679</v>
      </c>
      <c r="V13" s="296" t="s">
        <v>680</v>
      </c>
      <c r="W13" s="296" t="s">
        <v>681</v>
      </c>
      <c r="X13" s="296" t="s">
        <v>682</v>
      </c>
      <c r="Y13" s="296" t="s">
        <v>683</v>
      </c>
      <c r="Z13" s="296" t="s">
        <v>340</v>
      </c>
      <c r="AA13" s="296" t="s">
        <v>684</v>
      </c>
      <c r="AB13" s="296" t="s">
        <v>685</v>
      </c>
      <c r="AC13" s="296" t="s">
        <v>686</v>
      </c>
      <c r="AD13" s="296" t="s">
        <v>687</v>
      </c>
      <c r="AE13" s="296" t="s">
        <v>688</v>
      </c>
      <c r="AF13" s="296" t="s">
        <v>689</v>
      </c>
      <c r="AG13" s="296" t="s">
        <v>690</v>
      </c>
      <c r="AH13" s="295" t="s">
        <v>691</v>
      </c>
      <c r="AI13" s="16"/>
      <c r="AJ13" s="16"/>
      <c r="AO13" s="54"/>
      <c r="AP13" s="50"/>
      <c r="AS13" s="50"/>
    </row>
    <row r="14" spans="2:57" ht="18.75" customHeight="1" thickTop="1" x14ac:dyDescent="0.2">
      <c r="B14" s="166" t="s">
        <v>85</v>
      </c>
      <c r="C14" s="167">
        <f>IFERROR(INDEX(年齢階層×在院期間区分F3_65歳未満以上[#All],MATCH($AO14,年齢階層×在院期間区分F3_65歳未満以上[[#All],[列1]],0),MATCH($AP$3,年齢階層×在院期間区分F3_65歳未満以上[#Headers],0)),0)+IFERROR(INDEX(年齢階層×在院期間区分F3_65歳未満以上[#All],MATCH($AO14,年齢階層×在院期間区分F3_65歳未満以上[[#All],[列1]],0),MATCH($AQ$3,年齢階層×在院期間区分F3_65歳未満以上[#Headers],0)),0)+IFERROR(INDEX(年齢階層×在院期間区分F3_65歳未満以上[#All],MATCH($AO14,年齢階層×在院期間区分F3_65歳未満以上[[#All],[列1]],0),MATCH($AR$3,年齢階層×在院期間区分F3_65歳未満以上[#Headers],0)),0)+IFERROR(INDEX(年齢階層×在院期間区分F3_65歳未満以上[#All],MATCH($AO14,年齢階層×在院期間区分F3_65歳未満以上[[#All],[列1]],0),MATCH($AS$3,年齢階層×在院期間区分F3_65歳未満以上[#Headers],0)),0)</f>
        <v>531</v>
      </c>
      <c r="D14" s="129">
        <f>IFERROR(C14/$C$13,"-")</f>
        <v>0.49765698219306465</v>
      </c>
      <c r="E14" s="167">
        <f>IFERROR(INDEX(年齢階層×在院期間区分F3_65歳未満以上[#All],MATCH($AO14,年齢階層×在院期間区分F3_65歳未満以上[[#All],[列1]],0),MATCH($AT$3,年齢階層×在院期間区分F3_65歳未満以上[#Headers],0)),0)+IFERROR(INDEX(年齢階層×在院期間区分F3_65歳未満以上[#All],MATCH($AO14,年齢階層×在院期間区分F3_65歳未満以上[[#All],[列1]],0),MATCH($AU$3,年齢階層×在院期間区分F3_65歳未満以上[#Headers],0)),0)+IFERROR(INDEX(年齢階層×在院期間区分F3_65歳未満以上[#All],MATCH($AO14,年齢階層×在院期間区分F3_65歳未満以上[[#All],[列1]],0),MATCH($AV$3,年齢階層×在院期間区分F3_65歳未満以上[#Headers],0)),0)+IFERROR(INDEX(年齢階層×在院期間区分F3_65歳未満以上[#All],MATCH($AO14,年齢階層×在院期間区分F3_65歳未満以上[[#All],[列1]],0),MATCH($AW$3,年齢階層×在院期間区分F3_65歳未満以上[#Headers],0)),0)+IFERROR(INDEX(年齢階層×在院期間区分F3_65歳未満以上[#All],MATCH($AO14,年齢階層×在院期間区分F3_65歳未満以上[[#All],[列1]],0),MATCH($AX$3,年齢階層×在院期間区分F3_65歳未満以上[#Headers],0)),0)</f>
        <v>86</v>
      </c>
      <c r="F14" s="129">
        <f>IFERROR(E14/$E$13,"-")</f>
        <v>0.20772946859903382</v>
      </c>
      <c r="G14" s="167">
        <f>IFERROR(INDEX(年齢階層×在院期間区分F3_65歳未満以上[#All],MATCH($AO14,年齢階層×在院期間区分F3_65歳未満以上[[#All],[列1]],0),MATCH($AY$3,年齢階層×在院期間区分F3_65歳未満以上[#Headers],0)),0)+IFERROR(INDEX(年齢階層×在院期間区分F3_65歳未満以上[#All],MATCH($AO14,年齢階層×在院期間区分F3_65歳未満以上[[#All],[列1]],0),MATCH($AZ$3,年齢階層×在院期間区分F3_65歳未満以上[#Headers],0)),0)+IFERROR(INDEX(年齢階層×在院期間区分F3_65歳未満以上[#All],MATCH($AO14,年齢階層×在院期間区分F3_65歳未満以上[[#All],[列1]],0),MATCH($BA$3,年齢階層×在院期間区分F3_65歳未満以上[#Headers],0)),0)+IFERROR(INDEX(年齢階層×在院期間区分F3_65歳未満以上[#All],MATCH($AO14,年齢階層×在院期間区分F3_65歳未満以上[[#All],[列1]],0),MATCH($BB$3,年齢階層×在院期間区分F3_65歳未満以上[#Headers],0)),0)+IFERROR(INDEX(年齢階層×在院期間区分F3_65歳未満以上[#All],MATCH($AO14,年齢階層×在院期間区分F3_65歳未満以上[[#All],[列1]],0),MATCH($BC$3,年齢階層×在院期間区分F3_65歳未満以上[#Headers],0)),0)</f>
        <v>18</v>
      </c>
      <c r="H14" s="129">
        <f>IFERROR(G14/$G$13,"-")</f>
        <v>0.15254237288135594</v>
      </c>
      <c r="I14" s="167">
        <f>IFERROR(INDEX(年齢階層×在院期間区分F3_65歳未満以上[#All],MATCH($AO14,年齢階層×在院期間区分F3_65歳未満以上[[#All],[列1]],0),MATCH($BD$3,年齢階層×在院期間区分F3_65歳未満以上[#Headers],0)),0)+IFERROR(INDEX(年齢階層×在院期間区分F3_65歳未満以上[#All],MATCH($AO14,年齢階層×在院期間区分F3_65歳未満以上[[#All],[列1]],0),MATCH($BE$3,年齢階層×在院期間区分F3_65歳未満以上[#Headers],0)),0)</f>
        <v>10</v>
      </c>
      <c r="J14" s="129">
        <f>IFERROR(I14/$I$13,"-")</f>
        <v>0.15625</v>
      </c>
      <c r="K14" s="167">
        <f>SUM(C14,E14,G14,I14)</f>
        <v>645</v>
      </c>
      <c r="L14" s="129">
        <f>IFERROR(K14/$K$13,"-")</f>
        <v>0.38785327720986168</v>
      </c>
      <c r="R14" s="41" t="s">
        <v>284</v>
      </c>
      <c r="S14" s="49">
        <v>227</v>
      </c>
      <c r="T14" s="49">
        <v>210</v>
      </c>
      <c r="U14" s="49">
        <v>46</v>
      </c>
      <c r="V14" s="49">
        <v>48</v>
      </c>
      <c r="W14" s="49">
        <v>25</v>
      </c>
      <c r="X14" s="49">
        <v>17</v>
      </c>
      <c r="Y14" s="49">
        <v>22</v>
      </c>
      <c r="Z14" s="49">
        <v>14</v>
      </c>
      <c r="AA14" s="49">
        <v>8</v>
      </c>
      <c r="AB14" s="49">
        <v>6</v>
      </c>
      <c r="AC14" s="49">
        <v>5</v>
      </c>
      <c r="AD14" s="49">
        <v>4</v>
      </c>
      <c r="AE14" s="49">
        <v>3</v>
      </c>
      <c r="AF14" s="49">
        <v>0</v>
      </c>
      <c r="AG14" s="49">
        <v>10</v>
      </c>
      <c r="AH14" s="49">
        <v>0</v>
      </c>
      <c r="AI14" s="16"/>
      <c r="AJ14" s="16"/>
      <c r="AO14" s="55" t="s">
        <v>145</v>
      </c>
    </row>
    <row r="15" spans="2:57" ht="18.75" customHeight="1" x14ac:dyDescent="0.2">
      <c r="B15" s="168" t="s">
        <v>82</v>
      </c>
      <c r="C15" s="167">
        <f>IFERROR(INDEX(年齢階層×在院期間区分F3_65歳未満以上[#All],MATCH($AO15,年齢階層×在院期間区分F3_65歳未満以上[[#All],[列1]],0),MATCH($AP$3,年齢階層×在院期間区分F3_65歳未満以上[#Headers],0)),0)+IFERROR(INDEX(年齢階層×在院期間区分F3_65歳未満以上[#All],MATCH($AO15,年齢階層×在院期間区分F3_65歳未満以上[[#All],[列1]],0),MATCH($AQ$3,年齢階層×在院期間区分F3_65歳未満以上[#Headers],0)),0)+IFERROR(INDEX(年齢階層×在院期間区分F3_65歳未満以上[#All],MATCH($AO15,年齢階層×在院期間区分F3_65歳未満以上[[#All],[列1]],0),MATCH($AR$3,年齢階層×在院期間区分F3_65歳未満以上[#Headers],0)),0)+IFERROR(INDEX(年齢階層×在院期間区分F3_65歳未満以上[#All],MATCH($AO15,年齢階層×在院期間区分F3_65歳未満以上[[#All],[列1]],0),MATCH($AS$3,年齢階層×在院期間区分F3_65歳未満以上[#Headers],0)),0)</f>
        <v>536</v>
      </c>
      <c r="D15" s="160">
        <f>IFERROR(C15/$C$13,"-")</f>
        <v>0.50234301780693535</v>
      </c>
      <c r="E15" s="167">
        <f>IFERROR(INDEX(年齢階層×在院期間区分F3_65歳未満以上[#All],MATCH($AO15,年齢階層×在院期間区分F3_65歳未満以上[[#All],[列1]],0),MATCH($AT$3,年齢階層×在院期間区分F3_65歳未満以上[#Headers],0)),0)+IFERROR(INDEX(年齢階層×在院期間区分F3_65歳未満以上[#All],MATCH($AO15,年齢階層×在院期間区分F3_65歳未満以上[[#All],[列1]],0),MATCH($AU$3,年齢階層×在院期間区分F3_65歳未満以上[#Headers],0)),0)+IFERROR(INDEX(年齢階層×在院期間区分F3_65歳未満以上[#All],MATCH($AO15,年齢階層×在院期間区分F3_65歳未満以上[[#All],[列1]],0),MATCH($AV$3,年齢階層×在院期間区分F3_65歳未満以上[#Headers],0)),0)+IFERROR(INDEX(年齢階層×在院期間区分F3_65歳未満以上[#All],MATCH($AO15,年齢階層×在院期間区分F3_65歳未満以上[[#All],[列1]],0),MATCH($AW$3,年齢階層×在院期間区分F3_65歳未満以上[#Headers],0)),0)+IFERROR(INDEX(年齢階層×在院期間区分F3_65歳未満以上[#All],MATCH($AO15,年齢階層×在院期間区分F3_65歳未満以上[[#All],[列1]],0),MATCH($AX$3,年齢階層×在院期間区分F3_65歳未満以上[#Headers],0)),0)</f>
        <v>328</v>
      </c>
      <c r="F15" s="160">
        <f>IFERROR(E15/$E$13,"-")</f>
        <v>0.79227053140096615</v>
      </c>
      <c r="G15" s="167">
        <f>IFERROR(INDEX(年齢階層×在院期間区分F3_65歳未満以上[#All],MATCH($AO15,年齢階層×在院期間区分F3_65歳未満以上[[#All],[列1]],0),MATCH($AY$3,年齢階層×在院期間区分F3_65歳未満以上[#Headers],0)),0)+IFERROR(INDEX(年齢階層×在院期間区分F3_65歳未満以上[#All],MATCH($AO15,年齢階層×在院期間区分F3_65歳未満以上[[#All],[列1]],0),MATCH($AZ$3,年齢階層×在院期間区分F3_65歳未満以上[#Headers],0)),0)+IFERROR(INDEX(年齢階層×在院期間区分F3_65歳未満以上[#All],MATCH($AO15,年齢階層×在院期間区分F3_65歳未満以上[[#All],[列1]],0),MATCH($BA$3,年齢階層×在院期間区分F3_65歳未満以上[#Headers],0)),0)+IFERROR(INDEX(年齢階層×在院期間区分F3_65歳未満以上[#All],MATCH($AO15,年齢階層×在院期間区分F3_65歳未満以上[[#All],[列1]],0),MATCH($BB$3,年齢階層×在院期間区分F3_65歳未満以上[#Headers],0)),0)+IFERROR(INDEX(年齢階層×在院期間区分F3_65歳未満以上[#All],MATCH($AO15,年齢階層×在院期間区分F3_65歳未満以上[[#All],[列1]],0),MATCH($BC$3,年齢階層×在院期間区分F3_65歳未満以上[#Headers],0)),0)</f>
        <v>100</v>
      </c>
      <c r="H15" s="160">
        <f>IFERROR(G15/$G$13,"-")</f>
        <v>0.84745762711864403</v>
      </c>
      <c r="I15" s="167">
        <f>IFERROR(INDEX(年齢階層×在院期間区分F3_65歳未満以上[#All],MATCH($AO15,年齢階層×在院期間区分F3_65歳未満以上[[#All],[列1]],0),MATCH($BD$3,年齢階層×在院期間区分F3_65歳未満以上[#Headers],0)),0)+IFERROR(INDEX(年齢階層×在院期間区分F3_65歳未満以上[#All],MATCH($AO15,年齢階層×在院期間区分F3_65歳未満以上[[#All],[列1]],0),MATCH($BE$3,年齢階層×在院期間区分F3_65歳未満以上[#Headers],0)),0)</f>
        <v>54</v>
      </c>
      <c r="J15" s="160">
        <f>IFERROR(I15/$I13,"-")</f>
        <v>0.84375</v>
      </c>
      <c r="K15" s="167">
        <f>C15+E15+G15+I15</f>
        <v>1018</v>
      </c>
      <c r="L15" s="160">
        <f>IFERROR(K15/$K$13,"-")</f>
        <v>0.61214672279013826</v>
      </c>
      <c r="R15" s="55" t="s">
        <v>285</v>
      </c>
      <c r="S15" s="49">
        <v>147</v>
      </c>
      <c r="T15" s="49">
        <v>194</v>
      </c>
      <c r="U15" s="49">
        <v>81</v>
      </c>
      <c r="V15" s="49">
        <v>114</v>
      </c>
      <c r="W15" s="49">
        <v>80</v>
      </c>
      <c r="X15" s="49">
        <v>57</v>
      </c>
      <c r="Y15" s="49">
        <v>90</v>
      </c>
      <c r="Z15" s="49">
        <v>63</v>
      </c>
      <c r="AA15" s="49">
        <v>38</v>
      </c>
      <c r="AB15" s="49">
        <v>35</v>
      </c>
      <c r="AC15" s="49">
        <v>22</v>
      </c>
      <c r="AD15" s="49">
        <v>18</v>
      </c>
      <c r="AE15" s="49">
        <v>14</v>
      </c>
      <c r="AF15" s="49">
        <v>11</v>
      </c>
      <c r="AG15" s="49">
        <v>43</v>
      </c>
      <c r="AH15" s="49">
        <v>11</v>
      </c>
      <c r="AI15" s="16"/>
      <c r="AJ15" s="16"/>
      <c r="AO15" s="55" t="s">
        <v>81</v>
      </c>
    </row>
    <row r="16" spans="2:57" ht="18.75" customHeight="1" x14ac:dyDescent="0.2"/>
    <row r="17" spans="2:57" ht="18.75" customHeight="1" x14ac:dyDescent="0.2">
      <c r="B17" s="2" t="s">
        <v>147</v>
      </c>
    </row>
    <row r="18" spans="2:57" ht="18.75" customHeight="1" thickBot="1" x14ac:dyDescent="0.25">
      <c r="B18" s="1055" t="s">
        <v>64</v>
      </c>
      <c r="C18" s="1057" t="s">
        <v>63</v>
      </c>
      <c r="D18" s="1058"/>
      <c r="E18" s="1058"/>
      <c r="F18" s="1058"/>
      <c r="G18" s="1058"/>
      <c r="H18" s="1058"/>
      <c r="I18" s="1058"/>
      <c r="J18" s="1058"/>
      <c r="K18" s="1058"/>
      <c r="L18" s="1059"/>
      <c r="R18" s="21" t="s">
        <v>470</v>
      </c>
    </row>
    <row r="19" spans="2:57" ht="18.75" customHeight="1" thickTop="1" thickBot="1" x14ac:dyDescent="0.25">
      <c r="B19" s="1056"/>
      <c r="C19" s="1060" t="s">
        <v>68</v>
      </c>
      <c r="D19" s="1061"/>
      <c r="E19" s="1060" t="s">
        <v>69</v>
      </c>
      <c r="F19" s="1061"/>
      <c r="G19" s="1060" t="s">
        <v>70</v>
      </c>
      <c r="H19" s="1061"/>
      <c r="I19" s="1060" t="s">
        <v>71</v>
      </c>
      <c r="J19" s="1061"/>
      <c r="K19" s="1060" t="s">
        <v>61</v>
      </c>
      <c r="L19" s="1061"/>
      <c r="R19" s="798" t="s">
        <v>655</v>
      </c>
      <c r="S19" s="296" t="s">
        <v>677</v>
      </c>
      <c r="T19" s="296" t="s">
        <v>678</v>
      </c>
      <c r="U19" s="296" t="s">
        <v>679</v>
      </c>
      <c r="V19" s="296" t="s">
        <v>680</v>
      </c>
      <c r="W19" s="296" t="s">
        <v>681</v>
      </c>
      <c r="X19" s="296" t="s">
        <v>682</v>
      </c>
      <c r="Y19" s="296" t="s">
        <v>683</v>
      </c>
      <c r="Z19" s="296" t="s">
        <v>340</v>
      </c>
      <c r="AA19" s="296" t="s">
        <v>684</v>
      </c>
      <c r="AB19" s="296" t="s">
        <v>685</v>
      </c>
      <c r="AC19" s="296" t="s">
        <v>686</v>
      </c>
      <c r="AD19" s="296" t="s">
        <v>687</v>
      </c>
      <c r="AE19" s="296" t="s">
        <v>688</v>
      </c>
      <c r="AF19" s="296" t="s">
        <v>689</v>
      </c>
      <c r="AG19" s="296" t="s">
        <v>690</v>
      </c>
      <c r="AH19" s="295" t="s">
        <v>691</v>
      </c>
      <c r="AP19" s="295"/>
      <c r="AQ19" s="296"/>
      <c r="AR19" s="296"/>
      <c r="AS19" s="296"/>
      <c r="AT19" s="296"/>
      <c r="AU19" s="296"/>
      <c r="AV19" s="296"/>
      <c r="AW19" s="296"/>
      <c r="AX19" s="296"/>
      <c r="AY19" s="296"/>
      <c r="AZ19" s="296"/>
      <c r="BA19" s="296"/>
      <c r="BB19" s="296"/>
      <c r="BC19" s="296"/>
      <c r="BD19" s="296"/>
      <c r="BE19" s="295"/>
    </row>
    <row r="20" spans="2:57" ht="18.75" customHeight="1" thickTop="1" x14ac:dyDescent="0.2">
      <c r="B20" s="147" t="s">
        <v>2</v>
      </c>
      <c r="C20" s="142">
        <f>IFERROR(INDEX(年齢階層×在院期間区分F3＿寛解・院内寛解[#All],MATCH($AO20,年齢階層×在院期間区分F3＿寛解・院内寛解[[#All],[行ラベル]],0),MATCH($AP$3,年齢階層×在院期間区分F3＿寛解・院内寛解[#Headers],0)),0)+IFERROR(INDEX(年齢階層×在院期間区分F3＿寛解・院内寛解[#All],MATCH($AO20,年齢階層×在院期間区分F3＿寛解・院内寛解[[#All],[行ラベル]],0),MATCH($AQ$3,年齢階層×在院期間区分F3＿寛解・院内寛解[#Headers],0)),0)+IFERROR(INDEX(年齢階層×在院期間区分F3＿寛解・院内寛解[#All],MATCH($AO20,年齢階層×在院期間区分F3＿寛解・院内寛解[[#All],[行ラベル]],0),MATCH($AR$3,年齢階層×在院期間区分F3＿寛解・院内寛解[#Headers],0)),0)+IFERROR(INDEX(年齢階層×在院期間区分F3＿寛解・院内寛解[#All],MATCH($AO20,年齢階層×在院期間区分F3＿寛解・院内寛解[[#All],[行ラベル]],0),MATCH($AS$3,年齢階層×在院期間区分F3＿寛解・院内寛解[#Headers],0)),0)</f>
        <v>6</v>
      </c>
      <c r="D20" s="161">
        <f t="shared" ref="D20:D28" si="7">IFERROR(C20/$C$29,"-")</f>
        <v>2.5104602510460251E-2</v>
      </c>
      <c r="E20" s="148">
        <f>IFERROR(INDEX(年齢階層×在院期間区分F3＿寛解・院内寛解[#All],MATCH($AO20,年齢階層×在院期間区分F3＿寛解・院内寛解[[#All],[行ラベル]],0),MATCH($AT$3,年齢階層×在院期間区分F3＿寛解・院内寛解[#Headers],0)),0)+IFERROR(INDEX(年齢階層×在院期間区分F3＿寛解・院内寛解[#All],MATCH($AO20,年齢階層×在院期間区分F3＿寛解・院内寛解[[#All],[行ラベル]],0),MATCH($AU$3,年齢階層×在院期間区分F3＿寛解・院内寛解[#Headers],0)),0)+IFERROR(INDEX(年齢階層×在院期間区分F3＿寛解・院内寛解[#All],MATCH($AO20,年齢階層×在院期間区分F3＿寛解・院内寛解[[#All],[行ラベル]],0),MATCH($AV$3,年齢階層×在院期間区分F3＿寛解・院内寛解[#Headers],0)),0)+IFERROR(INDEX(年齢階層×在院期間区分F3＿寛解・院内寛解[#All],MATCH($AO20,年齢階層×在院期間区分F3＿寛解・院内寛解[[#All],[行ラベル]],0),MATCH($AW$3,年齢階層×在院期間区分F3＿寛解・院内寛解[#Headers],0)),0)+IFERROR(INDEX(年齢階層×在院期間区分F3＿寛解・院内寛解[#All],MATCH($AO20,年齢階層×在院期間区分F3＿寛解・院内寛解[[#All],[行ラベル]],0),MATCH($AX$3,年齢階層×在院期間区分F3＿寛解・院内寛解[#Headers],0)),0)</f>
        <v>0</v>
      </c>
      <c r="F20" s="161">
        <f t="shared" ref="F20:F28" si="8">IFERROR(E20/$E$29,"-")</f>
        <v>0</v>
      </c>
      <c r="G20" s="142">
        <f>IFERROR(INDEX(年齢階層×在院期間区分F3＿寛解・院内寛解[#All],MATCH($AO20,年齢階層×在院期間区分F3＿寛解・院内寛解[[#All],[行ラベル]],0),MATCH($AY$3,年齢階層×在院期間区分F3＿寛解・院内寛解[#Headers],0)),0)+IFERROR(INDEX(年齢階層×在院期間区分F3＿寛解・院内寛解[#All],MATCH($AO20,年齢階層×在院期間区分F3＿寛解・院内寛解[[#All],[行ラベル]],0),MATCH($AZ$3,年齢階層×在院期間区分F3＿寛解・院内寛解[#Headers],0)),0)+IFERROR(INDEX(年齢階層×在院期間区分F3＿寛解・院内寛解[#All],MATCH($AO20,年齢階層×在院期間区分F3＿寛解・院内寛解[[#All],[行ラベル]],0),MATCH($BA$3,年齢階層×在院期間区分F3＿寛解・院内寛解[#Headers],0)),0)+IFERROR(INDEX(年齢階層×在院期間区分F3＿寛解・院内寛解[#All],MATCH($AO20,年齢階層×在院期間区分F3＿寛解・院内寛解[[#All],[行ラベル]],0),MATCH($BB$3,年齢階層×在院期間区分F3＿寛解・院内寛解[#Headers],0)),0)+IFERROR(INDEX(年齢階層×在院期間区分F3＿寛解・院内寛解[#All],MATCH($AO20,年齢階層×在院期間区分F3＿寛解・院内寛解[[#All],[行ラベル]],0),MATCH($BC$3,年齢階層×在院期間区分F3＿寛解・院内寛解[#Headers],0)),0)</f>
        <v>0</v>
      </c>
      <c r="H20" s="161">
        <f t="shared" ref="H20:H28" si="9">IFERROR(G20/$G$29,"-")</f>
        <v>0</v>
      </c>
      <c r="I20" s="142">
        <f>IFERROR(INDEX(年齢階層×在院期間区分F3＿寛解・院内寛解[#All],MATCH($AO20,年齢階層×在院期間区分F3＿寛解・院内寛解[[#All],[行ラベル]],0),MATCH($BD$3,年齢階層×在院期間区分F3＿寛解・院内寛解[#Headers],0)),0)+IFERROR(INDEX(年齢階層×在院期間区分F3＿寛解・院内寛解[#All],MATCH($AO20,年齢階層×在院期間区分F3＿寛解・院内寛解[[#All],[行ラベル]],0),MATCH($BE$3,年齢階層×在院期間区分F3＿寛解・院内寛解[#Headers],0)),0)</f>
        <v>0</v>
      </c>
      <c r="J20" s="161">
        <f t="shared" ref="J20:J28" si="10">IFERROR(I20/$I$29,"-")</f>
        <v>0</v>
      </c>
      <c r="K20" s="142">
        <f t="shared" ref="K20:K28" si="11">SUM(C20,E20,G20,I20)</f>
        <v>6</v>
      </c>
      <c r="L20" s="161">
        <f t="shared" ref="L20:L28" si="12">IFERROR(K20/$K$29,"-")</f>
        <v>1.9867549668874173E-2</v>
      </c>
      <c r="R20" s="41" t="s">
        <v>2</v>
      </c>
      <c r="S20" s="49">
        <v>2</v>
      </c>
      <c r="T20" s="49">
        <v>4</v>
      </c>
      <c r="U20" s="49">
        <v>0</v>
      </c>
      <c r="V20" s="49">
        <v>0</v>
      </c>
      <c r="W20" s="49">
        <v>0</v>
      </c>
      <c r="X20" s="49">
        <v>0</v>
      </c>
      <c r="Y20" s="49">
        <v>0</v>
      </c>
      <c r="Z20" s="49">
        <v>0</v>
      </c>
      <c r="AA20" s="49">
        <v>0</v>
      </c>
      <c r="AB20" s="49">
        <v>0</v>
      </c>
      <c r="AC20" s="49">
        <v>0</v>
      </c>
      <c r="AD20" s="49">
        <v>0</v>
      </c>
      <c r="AE20" s="49">
        <v>0</v>
      </c>
      <c r="AF20" s="49">
        <v>0</v>
      </c>
      <c r="AG20" s="49">
        <v>0</v>
      </c>
      <c r="AH20" s="49">
        <v>0</v>
      </c>
      <c r="AI20" s="16"/>
      <c r="AJ20" s="16"/>
      <c r="AO20" s="41" t="s">
        <v>2</v>
      </c>
    </row>
    <row r="21" spans="2:57" ht="18.75" customHeight="1" x14ac:dyDescent="0.2">
      <c r="B21" s="149" t="s">
        <v>3</v>
      </c>
      <c r="C21" s="151">
        <f>IFERROR(INDEX(年齢階層×在院期間区分F3＿寛解・院内寛解[#All],MATCH($AO21,年齢階層×在院期間区分F3＿寛解・院内寛解[[#All],[行ラベル]],0),MATCH($AP$3,年齢階層×在院期間区分F3＿寛解・院内寛解[#Headers],0)),0)+IFERROR(INDEX(年齢階層×在院期間区分F3＿寛解・院内寛解[#All],MATCH($AO21,年齢階層×在院期間区分F3＿寛解・院内寛解[[#All],[行ラベル]],0),MATCH($AQ$3,年齢階層×在院期間区分F3＿寛解・院内寛解[#Headers],0)),0)+IFERROR(INDEX(年齢階層×在院期間区分F3＿寛解・院内寛解[#All],MATCH($AO21,年齢階層×在院期間区分F3＿寛解・院内寛解[[#All],[行ラベル]],0),MATCH($AR$3,年齢階層×在院期間区分F3＿寛解・院内寛解[#Headers],0)),0)+IFERROR(INDEX(年齢階層×在院期間区分F3＿寛解・院内寛解[#All],MATCH($AO21,年齢階層×在院期間区分F3＿寛解・院内寛解[[#All],[行ラベル]],0),MATCH($AS$3,年齢階層×在院期間区分F3＿寛解・院内寛解[#Headers],0)),0)</f>
        <v>21</v>
      </c>
      <c r="D21" s="128">
        <f t="shared" si="7"/>
        <v>8.7866108786610872E-2</v>
      </c>
      <c r="E21" s="150">
        <f>IFERROR(INDEX(年齢階層×在院期間区分F3＿寛解・院内寛解[#All],MATCH($AO21,年齢階層×在院期間区分F3＿寛解・院内寛解[[#All],[行ラベル]],0),MATCH($AT$3,年齢階層×在院期間区分F3＿寛解・院内寛解[#Headers],0)),0)+IFERROR(INDEX(年齢階層×在院期間区分F3＿寛解・院内寛解[#All],MATCH($AO21,年齢階層×在院期間区分F3＿寛解・院内寛解[[#All],[行ラベル]],0),MATCH($AU$3,年齢階層×在院期間区分F3＿寛解・院内寛解[#Headers],0)),0)+IFERROR(INDEX(年齢階層×在院期間区分F3＿寛解・院内寛解[#All],MATCH($AO21,年齢階層×在院期間区分F3＿寛解・院内寛解[[#All],[行ラベル]],0),MATCH($AV$3,年齢階層×在院期間区分F3＿寛解・院内寛解[#Headers],0)),0)+IFERROR(INDEX(年齢階層×在院期間区分F3＿寛解・院内寛解[#All],MATCH($AO21,年齢階層×在院期間区分F3＿寛解・院内寛解[[#All],[行ラベル]],0),MATCH($AW$3,年齢階層×在院期間区分F3＿寛解・院内寛解[#Headers],0)),0)+IFERROR(INDEX(年齢階層×在院期間区分F3＿寛解・院内寛解[#All],MATCH($AO21,年齢階層×在院期間区分F3＿寛解・院内寛解[[#All],[行ラベル]],0),MATCH($AX$3,年齢階層×在院期間区分F3＿寛解・院内寛解[#Headers],0)),0)</f>
        <v>1</v>
      </c>
      <c r="F21" s="128">
        <f t="shared" si="8"/>
        <v>2.0833333333333332E-2</v>
      </c>
      <c r="G21" s="151">
        <f>IFERROR(INDEX(年齢階層×在院期間区分F3＿寛解・院内寛解[#All],MATCH($AO21,年齢階層×在院期間区分F3＿寛解・院内寛解[[#All],[行ラベル]],0),MATCH($AY$3,年齢階層×在院期間区分F3＿寛解・院内寛解[#Headers],0)),0)+IFERROR(INDEX(年齢階層×在院期間区分F3＿寛解・院内寛解[#All],MATCH($AO21,年齢階層×在院期間区分F3＿寛解・院内寛解[[#All],[行ラベル]],0),MATCH($AZ$3,年齢階層×在院期間区分F3＿寛解・院内寛解[#Headers],0)),0)+IFERROR(INDEX(年齢階層×在院期間区分F3＿寛解・院内寛解[#All],MATCH($AO21,年齢階層×在院期間区分F3＿寛解・院内寛解[[#All],[行ラベル]],0),MATCH($BA$3,年齢階層×在院期間区分F3＿寛解・院内寛解[#Headers],0)),0)+IFERROR(INDEX(年齢階層×在院期間区分F3＿寛解・院内寛解[#All],MATCH($AO21,年齢階層×在院期間区分F3＿寛解・院内寛解[[#All],[行ラベル]],0),MATCH($BB$3,年齢階層×在院期間区分F3＿寛解・院内寛解[#Headers],0)),0)+IFERROR(INDEX(年齢階層×在院期間区分F3＿寛解・院内寛解[#All],MATCH($AO21,年齢階層×在院期間区分F3＿寛解・院内寛解[[#All],[行ラベル]],0),MATCH($BC$3,年齢階層×在院期間区分F3＿寛解・院内寛解[#Headers],0)),0)</f>
        <v>0</v>
      </c>
      <c r="H21" s="128">
        <f t="shared" si="9"/>
        <v>0</v>
      </c>
      <c r="I21" s="127">
        <f>IFERROR(INDEX(年齢階層×在院期間区分F3＿寛解・院内寛解[#All],MATCH($AO21,年齢階層×在院期間区分F3＿寛解・院内寛解[[#All],[行ラベル]],0),MATCH($BD$3,年齢階層×在院期間区分F3＿寛解・院内寛解[#Headers],0)),0)+IFERROR(INDEX(年齢階層×在院期間区分F3＿寛解・院内寛解[#All],MATCH($AO21,年齢階層×在院期間区分F3＿寛解・院内寛解[[#All],[行ラベル]],0),MATCH($BE$3,年齢階層×在院期間区分F3＿寛解・院内寛解[#Headers],0)),0)</f>
        <v>0</v>
      </c>
      <c r="J21" s="128">
        <f t="shared" si="10"/>
        <v>0</v>
      </c>
      <c r="K21" s="127">
        <f t="shared" si="11"/>
        <v>22</v>
      </c>
      <c r="L21" s="128">
        <f t="shared" si="12"/>
        <v>7.2847682119205295E-2</v>
      </c>
      <c r="R21" s="41" t="s">
        <v>3</v>
      </c>
      <c r="S21" s="49">
        <v>10</v>
      </c>
      <c r="T21" s="49">
        <v>10</v>
      </c>
      <c r="U21" s="49">
        <v>1</v>
      </c>
      <c r="V21" s="49">
        <v>0</v>
      </c>
      <c r="W21" s="49">
        <v>0</v>
      </c>
      <c r="X21" s="49">
        <v>0</v>
      </c>
      <c r="Y21" s="49">
        <v>1</v>
      </c>
      <c r="Z21" s="49">
        <v>0</v>
      </c>
      <c r="AA21" s="49">
        <v>0</v>
      </c>
      <c r="AB21" s="49">
        <v>0</v>
      </c>
      <c r="AC21" s="49">
        <v>0</v>
      </c>
      <c r="AD21" s="49">
        <v>0</v>
      </c>
      <c r="AE21" s="49">
        <v>0</v>
      </c>
      <c r="AF21" s="49">
        <v>0</v>
      </c>
      <c r="AG21" s="49">
        <v>0</v>
      </c>
      <c r="AH21" s="49">
        <v>0</v>
      </c>
      <c r="AI21" s="16"/>
      <c r="AJ21" s="16"/>
      <c r="AO21" s="41" t="s">
        <v>3</v>
      </c>
    </row>
    <row r="22" spans="2:57" ht="18.75" customHeight="1" x14ac:dyDescent="0.2">
      <c r="B22" s="149" t="s">
        <v>4</v>
      </c>
      <c r="C22" s="150">
        <f>IFERROR(INDEX(年齢階層×在院期間区分F3＿寛解・院内寛解[#All],MATCH($AO22,年齢階層×在院期間区分F3＿寛解・院内寛解[[#All],[行ラベル]],0),MATCH($AP$3,年齢階層×在院期間区分F3＿寛解・院内寛解[#Headers],0)),0)+IFERROR(INDEX(年齢階層×在院期間区分F3＿寛解・院内寛解[#All],MATCH($AO22,年齢階層×在院期間区分F3＿寛解・院内寛解[[#All],[行ラベル]],0),MATCH($AQ$3,年齢階層×在院期間区分F3＿寛解・院内寛解[#Headers],0)),0)+IFERROR(INDEX(年齢階層×在院期間区分F3＿寛解・院内寛解[#All],MATCH($AO22,年齢階層×在院期間区分F3＿寛解・院内寛解[[#All],[行ラベル]],0),MATCH($AR$3,年齢階層×在院期間区分F3＿寛解・院内寛解[#Headers],0)),0)+IFERROR(INDEX(年齢階層×在院期間区分F3＿寛解・院内寛解[#All],MATCH($AO22,年齢階層×在院期間区分F3＿寛解・院内寛解[[#All],[行ラベル]],0),MATCH($AS$3,年齢階層×在院期間区分F3＿寛解・院内寛解[#Headers],0)),0)</f>
        <v>19</v>
      </c>
      <c r="D22" s="128">
        <f t="shared" si="7"/>
        <v>7.9497907949790794E-2</v>
      </c>
      <c r="E22" s="150">
        <f>IFERROR(INDEX(年齢階層×在院期間区分F3＿寛解・院内寛解[#All],MATCH($AO22,年齢階層×在院期間区分F3＿寛解・院内寛解[[#All],[行ラベル]],0),MATCH($AT$3,年齢階層×在院期間区分F3＿寛解・院内寛解[#Headers],0)),0)+IFERROR(INDEX(年齢階層×在院期間区分F3＿寛解・院内寛解[#All],MATCH($AO22,年齢階層×在院期間区分F3＿寛解・院内寛解[[#All],[行ラベル]],0),MATCH($AU$3,年齢階層×在院期間区分F3＿寛解・院内寛解[#Headers],0)),0)+IFERROR(INDEX(年齢階層×在院期間区分F3＿寛解・院内寛解[#All],MATCH($AO22,年齢階層×在院期間区分F3＿寛解・院内寛解[[#All],[行ラベル]],0),MATCH($AV$3,年齢階層×在院期間区分F3＿寛解・院内寛解[#Headers],0)),0)+IFERROR(INDEX(年齢階層×在院期間区分F3＿寛解・院内寛解[#All],MATCH($AO22,年齢階層×在院期間区分F3＿寛解・院内寛解[[#All],[行ラベル]],0),MATCH($AW$3,年齢階層×在院期間区分F3＿寛解・院内寛解[#Headers],0)),0)+IFERROR(INDEX(年齢階層×在院期間区分F3＿寛解・院内寛解[#All],MATCH($AO22,年齢階層×在院期間区分F3＿寛解・院内寛解[[#All],[行ラベル]],0),MATCH($AX$3,年齢階層×在院期間区分F3＿寛解・院内寛解[#Headers],0)),0)</f>
        <v>0</v>
      </c>
      <c r="F22" s="128">
        <f t="shared" si="8"/>
        <v>0</v>
      </c>
      <c r="G22" s="150">
        <f>IFERROR(INDEX(年齢階層×在院期間区分F3＿寛解・院内寛解[#All],MATCH($AO22,年齢階層×在院期間区分F3＿寛解・院内寛解[[#All],[行ラベル]],0),MATCH($AY$3,年齢階層×在院期間区分F3＿寛解・院内寛解[#Headers],0)),0)+IFERROR(INDEX(年齢階層×在院期間区分F3＿寛解・院内寛解[#All],MATCH($AO22,年齢階層×在院期間区分F3＿寛解・院内寛解[[#All],[行ラベル]],0),MATCH($AZ$3,年齢階層×在院期間区分F3＿寛解・院内寛解[#Headers],0)),0)+IFERROR(INDEX(年齢階層×在院期間区分F3＿寛解・院内寛解[#All],MATCH($AO22,年齢階層×在院期間区分F3＿寛解・院内寛解[[#All],[行ラベル]],0),MATCH($BA$3,年齢階層×在院期間区分F3＿寛解・院内寛解[#Headers],0)),0)+IFERROR(INDEX(年齢階層×在院期間区分F3＿寛解・院内寛解[#All],MATCH($AO22,年齢階層×在院期間区分F3＿寛解・院内寛解[[#All],[行ラベル]],0),MATCH($BB$3,年齢階層×在院期間区分F3＿寛解・院内寛解[#Headers],0)),0)+IFERROR(INDEX(年齢階層×在院期間区分F3＿寛解・院内寛解[#All],MATCH($AO22,年齢階層×在院期間区分F3＿寛解・院内寛解[[#All],[行ラベル]],0),MATCH($BC$3,年齢階層×在院期間区分F3＿寛解・院内寛解[#Headers],0)),0)</f>
        <v>0</v>
      </c>
      <c r="H22" s="128">
        <f t="shared" si="9"/>
        <v>0</v>
      </c>
      <c r="I22" s="151">
        <f>IFERROR(INDEX(年齢階層×在院期間区分F3＿寛解・院内寛解[#All],MATCH($AO22,年齢階層×在院期間区分F3＿寛解・院内寛解[[#All],[行ラベル]],0),MATCH($BD$3,年齢階層×在院期間区分F3＿寛解・院内寛解[#Headers],0)),0)+IFERROR(INDEX(年齢階層×在院期間区分F3＿寛解・院内寛解[#All],MATCH($AO22,年齢階層×在院期間区分F3＿寛解・院内寛解[[#All],[行ラベル]],0),MATCH($BE$3,年齢階層×在院期間区分F3＿寛解・院内寛解[#Headers],0)),0)</f>
        <v>0</v>
      </c>
      <c r="J22" s="128">
        <f t="shared" si="10"/>
        <v>0</v>
      </c>
      <c r="K22" s="127">
        <f t="shared" si="11"/>
        <v>19</v>
      </c>
      <c r="L22" s="128">
        <f t="shared" si="12"/>
        <v>6.2913907284768214E-2</v>
      </c>
      <c r="R22" s="41" t="s">
        <v>4</v>
      </c>
      <c r="S22" s="49">
        <v>10</v>
      </c>
      <c r="T22" s="49">
        <v>8</v>
      </c>
      <c r="U22" s="49">
        <v>0</v>
      </c>
      <c r="V22" s="49">
        <v>1</v>
      </c>
      <c r="W22" s="49">
        <v>0</v>
      </c>
      <c r="X22" s="49">
        <v>0</v>
      </c>
      <c r="Y22" s="49">
        <v>0</v>
      </c>
      <c r="Z22" s="49">
        <v>0</v>
      </c>
      <c r="AA22" s="49">
        <v>0</v>
      </c>
      <c r="AB22" s="49">
        <v>0</v>
      </c>
      <c r="AC22" s="49">
        <v>0</v>
      </c>
      <c r="AD22" s="49">
        <v>0</v>
      </c>
      <c r="AE22" s="49">
        <v>0</v>
      </c>
      <c r="AF22" s="49">
        <v>0</v>
      </c>
      <c r="AG22" s="49">
        <v>0</v>
      </c>
      <c r="AH22" s="49">
        <v>0</v>
      </c>
      <c r="AI22" s="16"/>
      <c r="AJ22" s="16"/>
      <c r="AO22" s="41" t="s">
        <v>4</v>
      </c>
    </row>
    <row r="23" spans="2:57" ht="18.75" customHeight="1" x14ac:dyDescent="0.2">
      <c r="B23" s="149" t="s">
        <v>5</v>
      </c>
      <c r="C23" s="127">
        <f>IFERROR(INDEX(年齢階層×在院期間区分F3＿寛解・院内寛解[#All],MATCH($AO23,年齢階層×在院期間区分F3＿寛解・院内寛解[[#All],[行ラベル]],0),MATCH($AP$3,年齢階層×在院期間区分F3＿寛解・院内寛解[#Headers],0)),0)+IFERROR(INDEX(年齢階層×在院期間区分F3＿寛解・院内寛解[#All],MATCH($AO23,年齢階層×在院期間区分F3＿寛解・院内寛解[[#All],[行ラベル]],0),MATCH($AQ$3,年齢階層×在院期間区分F3＿寛解・院内寛解[#Headers],0)),0)+IFERROR(INDEX(年齢階層×在院期間区分F3＿寛解・院内寛解[#All],MATCH($AO23,年齢階層×在院期間区分F3＿寛解・院内寛解[[#All],[行ラベル]],0),MATCH($AR$3,年齢階層×在院期間区分F3＿寛解・院内寛解[#Headers],0)),0)+IFERROR(INDEX(年齢階層×在院期間区分F3＿寛解・院内寛解[#All],MATCH($AO23,年齢階層×在院期間区分F3＿寛解・院内寛解[[#All],[行ラベル]],0),MATCH($AS$3,年齢階層×在院期間区分F3＿寛解・院内寛解[#Headers],0)),0)</f>
        <v>28</v>
      </c>
      <c r="D23" s="128">
        <f t="shared" si="7"/>
        <v>0.11715481171548117</v>
      </c>
      <c r="E23" s="127">
        <f>IFERROR(INDEX(年齢階層×在院期間区分F3＿寛解・院内寛解[#All],MATCH($AO23,年齢階層×在院期間区分F3＿寛解・院内寛解[[#All],[行ラベル]],0),MATCH($AT$3,年齢階層×在院期間区分F3＿寛解・院内寛解[#Headers],0)),0)+IFERROR(INDEX(年齢階層×在院期間区分F3＿寛解・院内寛解[#All],MATCH($AO23,年齢階層×在院期間区分F3＿寛解・院内寛解[[#All],[行ラベル]],0),MATCH($AU$3,年齢階層×在院期間区分F3＿寛解・院内寛解[#Headers],0)),0)+IFERROR(INDEX(年齢階層×在院期間区分F3＿寛解・院内寛解[#All],MATCH($AO23,年齢階層×在院期間区分F3＿寛解・院内寛解[[#All],[行ラベル]],0),MATCH($AV$3,年齢階層×在院期間区分F3＿寛解・院内寛解[#Headers],0)),0)+IFERROR(INDEX(年齢階層×在院期間区分F3＿寛解・院内寛解[#All],MATCH($AO23,年齢階層×在院期間区分F3＿寛解・院内寛解[[#All],[行ラベル]],0),MATCH($AW$3,年齢階層×在院期間区分F3＿寛解・院内寛解[#Headers],0)),0)+IFERROR(INDEX(年齢階層×在院期間区分F3＿寛解・院内寛解[#All],MATCH($AO23,年齢階層×在院期間区分F3＿寛解・院内寛解[[#All],[行ラベル]],0),MATCH($AX$3,年齢階層×在院期間区分F3＿寛解・院内寛解[#Headers],0)),0)</f>
        <v>3</v>
      </c>
      <c r="F23" s="128">
        <f t="shared" si="8"/>
        <v>6.25E-2</v>
      </c>
      <c r="G23" s="127">
        <f>IFERROR(INDEX(年齢階層×在院期間区分F3＿寛解・院内寛解[#All],MATCH($AO23,年齢階層×在院期間区分F3＿寛解・院内寛解[[#All],[行ラベル]],0),MATCH($AY$3,年齢階層×在院期間区分F3＿寛解・院内寛解[#Headers],0)),0)+IFERROR(INDEX(年齢階層×在院期間区分F3＿寛解・院内寛解[#All],MATCH($AO23,年齢階層×在院期間区分F3＿寛解・院内寛解[[#All],[行ラベル]],0),MATCH($AZ$3,年齢階層×在院期間区分F3＿寛解・院内寛解[#Headers],0)),0)+IFERROR(INDEX(年齢階層×在院期間区分F3＿寛解・院内寛解[#All],MATCH($AO23,年齢階層×在院期間区分F3＿寛解・院内寛解[[#All],[行ラベル]],0),MATCH($BA$3,年齢階層×在院期間区分F3＿寛解・院内寛解[#Headers],0)),0)+IFERROR(INDEX(年齢階層×在院期間区分F3＿寛解・院内寛解[#All],MATCH($AO23,年齢階層×在院期間区分F3＿寛解・院内寛解[[#All],[行ラベル]],0),MATCH($BB$3,年齢階層×在院期間区分F3＿寛解・院内寛解[#Headers],0)),0)+IFERROR(INDEX(年齢階層×在院期間区分F3＿寛解・院内寛解[#All],MATCH($AO23,年齢階層×在院期間区分F3＿寛解・院内寛解[[#All],[行ラベル]],0),MATCH($BC$3,年齢階層×在院期間区分F3＿寛解・院内寛解[#Headers],0)),0)</f>
        <v>0</v>
      </c>
      <c r="H23" s="128">
        <f t="shared" si="9"/>
        <v>0</v>
      </c>
      <c r="I23" s="127">
        <f>IFERROR(INDEX(年齢階層×在院期間区分F3＿寛解・院内寛解[#All],MATCH($AO23,年齢階層×在院期間区分F3＿寛解・院内寛解[[#All],[行ラベル]],0),MATCH($BD$3,年齢階層×在院期間区分F3＿寛解・院内寛解[#Headers],0)),0)+IFERROR(INDEX(年齢階層×在院期間区分F3＿寛解・院内寛解[#All],MATCH($AO23,年齢階層×在院期間区分F3＿寛解・院内寛解[[#All],[行ラベル]],0),MATCH($BE$3,年齢階層×在院期間区分F3＿寛解・院内寛解[#Headers],0)),0)</f>
        <v>0</v>
      </c>
      <c r="J23" s="128">
        <f t="shared" si="10"/>
        <v>0</v>
      </c>
      <c r="K23" s="127">
        <f t="shared" si="11"/>
        <v>31</v>
      </c>
      <c r="L23" s="128">
        <f t="shared" si="12"/>
        <v>0.10264900662251655</v>
      </c>
      <c r="R23" s="41" t="s">
        <v>5</v>
      </c>
      <c r="S23" s="49">
        <v>14</v>
      </c>
      <c r="T23" s="49">
        <v>12</v>
      </c>
      <c r="U23" s="49">
        <v>1</v>
      </c>
      <c r="V23" s="49">
        <v>1</v>
      </c>
      <c r="W23" s="49">
        <v>3</v>
      </c>
      <c r="X23" s="49">
        <v>0</v>
      </c>
      <c r="Y23" s="49">
        <v>0</v>
      </c>
      <c r="Z23" s="49">
        <v>0</v>
      </c>
      <c r="AA23" s="49">
        <v>0</v>
      </c>
      <c r="AB23" s="49">
        <v>0</v>
      </c>
      <c r="AC23" s="49">
        <v>0</v>
      </c>
      <c r="AD23" s="49">
        <v>0</v>
      </c>
      <c r="AE23" s="49">
        <v>0</v>
      </c>
      <c r="AF23" s="49">
        <v>0</v>
      </c>
      <c r="AG23" s="49">
        <v>0</v>
      </c>
      <c r="AH23" s="49">
        <v>0</v>
      </c>
      <c r="AI23" s="16"/>
      <c r="AJ23" s="16"/>
      <c r="AO23" s="41" t="s">
        <v>5</v>
      </c>
    </row>
    <row r="24" spans="2:57" ht="18.75" customHeight="1" x14ac:dyDescent="0.2">
      <c r="B24" s="149" t="s">
        <v>6</v>
      </c>
      <c r="C24" s="127">
        <f>IFERROR(INDEX(年齢階層×在院期間区分F3＿寛解・院内寛解[#All],MATCH($AO24,年齢階層×在院期間区分F3＿寛解・院内寛解[[#All],[行ラベル]],0),MATCH($AP$3,年齢階層×在院期間区分F3＿寛解・院内寛解[#Headers],0)),0)+IFERROR(INDEX(年齢階層×在院期間区分F3＿寛解・院内寛解[#All],MATCH($AO24,年齢階層×在院期間区分F3＿寛解・院内寛解[[#All],[行ラベル]],0),MATCH($AQ$3,年齢階層×在院期間区分F3＿寛解・院内寛解[#Headers],0)),0)+IFERROR(INDEX(年齢階層×在院期間区分F3＿寛解・院内寛解[#All],MATCH($AO24,年齢階層×在院期間区分F3＿寛解・院内寛解[[#All],[行ラベル]],0),MATCH($AR$3,年齢階層×在院期間区分F3＿寛解・院内寛解[#Headers],0)),0)+IFERROR(INDEX(年齢階層×在院期間区分F3＿寛解・院内寛解[#All],MATCH($AO24,年齢階層×在院期間区分F3＿寛解・院内寛解[[#All],[行ラベル]],0),MATCH($AS$3,年齢階層×在院期間区分F3＿寛解・院内寛解[#Headers],0)),0)</f>
        <v>44</v>
      </c>
      <c r="D24" s="128">
        <f t="shared" si="7"/>
        <v>0.18410041841004185</v>
      </c>
      <c r="E24" s="127">
        <f>IFERROR(INDEX(年齢階層×在院期間区分F3＿寛解・院内寛解[#All],MATCH($AO24,年齢階層×在院期間区分F3＿寛解・院内寛解[[#All],[行ラベル]],0),MATCH($AT$3,年齢階層×在院期間区分F3＿寛解・院内寛解[#Headers],0)),0)+IFERROR(INDEX(年齢階層×在院期間区分F3＿寛解・院内寛解[#All],MATCH($AO24,年齢階層×在院期間区分F3＿寛解・院内寛解[[#All],[行ラベル]],0),MATCH($AU$3,年齢階層×在院期間区分F3＿寛解・院内寛解[#Headers],0)),0)+IFERROR(INDEX(年齢階層×在院期間区分F3＿寛解・院内寛解[#All],MATCH($AO24,年齢階層×在院期間区分F3＿寛解・院内寛解[[#All],[行ラベル]],0),MATCH($AV$3,年齢階層×在院期間区分F3＿寛解・院内寛解[#Headers],0)),0)+IFERROR(INDEX(年齢階層×在院期間区分F3＿寛解・院内寛解[#All],MATCH($AO24,年齢階層×在院期間区分F3＿寛解・院内寛解[[#All],[行ラベル]],0),MATCH($AW$3,年齢階層×在院期間区分F3＿寛解・院内寛解[#Headers],0)),0)+IFERROR(INDEX(年齢階層×在院期間区分F3＿寛解・院内寛解[#All],MATCH($AO24,年齢階層×在院期間区分F3＿寛解・院内寛解[[#All],[行ラベル]],0),MATCH($AX$3,年齢階層×在院期間区分F3＿寛解・院内寛解[#Headers],0)),0)</f>
        <v>7</v>
      </c>
      <c r="F24" s="128">
        <f t="shared" si="8"/>
        <v>0.14583333333333334</v>
      </c>
      <c r="G24" s="127">
        <f>IFERROR(INDEX(年齢階層×在院期間区分F3＿寛解・院内寛解[#All],MATCH($AO24,年齢階層×在院期間区分F3＿寛解・院内寛解[[#All],[行ラベル]],0),MATCH($AY$3,年齢階層×在院期間区分F3＿寛解・院内寛解[#Headers],0)),0)+IFERROR(INDEX(年齢階層×在院期間区分F3＿寛解・院内寛解[#All],MATCH($AO24,年齢階層×在院期間区分F3＿寛解・院内寛解[[#All],[行ラベル]],0),MATCH($AZ$3,年齢階層×在院期間区分F3＿寛解・院内寛解[#Headers],0)),0)+IFERROR(INDEX(年齢階層×在院期間区分F3＿寛解・院内寛解[#All],MATCH($AO24,年齢階層×在院期間区分F3＿寛解・院内寛解[[#All],[行ラベル]],0),MATCH($BA$3,年齢階層×在院期間区分F3＿寛解・院内寛解[#Headers],0)),0)+IFERROR(INDEX(年齢階層×在院期間区分F3＿寛解・院内寛解[#All],MATCH($AO24,年齢階層×在院期間区分F3＿寛解・院内寛解[[#All],[行ラベル]],0),MATCH($BB$3,年齢階層×在院期間区分F3＿寛解・院内寛解[#Headers],0)),0)+IFERROR(INDEX(年齢階層×在院期間区分F3＿寛解・院内寛解[#All],MATCH($AO24,年齢階層×在院期間区分F3＿寛解・院内寛解[[#All],[行ラベル]],0),MATCH($BC$3,年齢階層×在院期間区分F3＿寛解・院内寛解[#Headers],0)),0)</f>
        <v>0</v>
      </c>
      <c r="H24" s="128">
        <f t="shared" si="9"/>
        <v>0</v>
      </c>
      <c r="I24" s="151">
        <f>IFERROR(INDEX(年齢階層×在院期間区分F3＿寛解・院内寛解[#All],MATCH($AO24,年齢階層×在院期間区分F3＿寛解・院内寛解[[#All],[行ラベル]],0),MATCH($BD$3,年齢階層×在院期間区分F3＿寛解・院内寛解[#Headers],0)),0)+IFERROR(INDEX(年齢階層×在院期間区分F3＿寛解・院内寛解[#All],MATCH($AO24,年齢階層×在院期間区分F3＿寛解・院内寛解[[#All],[行ラベル]],0),MATCH($BE$3,年齢階層×在院期間区分F3＿寛解・院内寛解[#Headers],0)),0)</f>
        <v>0</v>
      </c>
      <c r="J24" s="128">
        <f t="shared" si="10"/>
        <v>0</v>
      </c>
      <c r="K24" s="127">
        <f t="shared" si="11"/>
        <v>51</v>
      </c>
      <c r="L24" s="128">
        <f t="shared" si="12"/>
        <v>0.16887417218543047</v>
      </c>
      <c r="R24" s="41" t="s">
        <v>6</v>
      </c>
      <c r="S24" s="49">
        <v>17</v>
      </c>
      <c r="T24" s="49">
        <v>15</v>
      </c>
      <c r="U24" s="49">
        <v>7</v>
      </c>
      <c r="V24" s="49">
        <v>5</v>
      </c>
      <c r="W24" s="49">
        <v>2</v>
      </c>
      <c r="X24" s="49">
        <v>1</v>
      </c>
      <c r="Y24" s="49">
        <v>0</v>
      </c>
      <c r="Z24" s="49">
        <v>3</v>
      </c>
      <c r="AA24" s="49">
        <v>1</v>
      </c>
      <c r="AB24" s="49">
        <v>0</v>
      </c>
      <c r="AC24" s="49">
        <v>0</v>
      </c>
      <c r="AD24" s="49">
        <v>0</v>
      </c>
      <c r="AE24" s="49">
        <v>0</v>
      </c>
      <c r="AF24" s="49">
        <v>0</v>
      </c>
      <c r="AG24" s="49">
        <v>0</v>
      </c>
      <c r="AH24" s="49">
        <v>0</v>
      </c>
      <c r="AI24" s="16"/>
      <c r="AJ24" s="16"/>
      <c r="AO24" s="41" t="s">
        <v>6</v>
      </c>
    </row>
    <row r="25" spans="2:57" ht="18.75" customHeight="1" x14ac:dyDescent="0.2">
      <c r="B25" s="149" t="s">
        <v>7</v>
      </c>
      <c r="C25" s="127">
        <f>IFERROR(INDEX(年齢階層×在院期間区分F3＿寛解・院内寛解[#All],MATCH($AO25,年齢階層×在院期間区分F3＿寛解・院内寛解[[#All],[行ラベル]],0),MATCH($AP$3,年齢階層×在院期間区分F3＿寛解・院内寛解[#Headers],0)),0)+IFERROR(INDEX(年齢階層×在院期間区分F3＿寛解・院内寛解[#All],MATCH($AO25,年齢階層×在院期間区分F3＿寛解・院内寛解[[#All],[行ラベル]],0),MATCH($AQ$3,年齢階層×在院期間区分F3＿寛解・院内寛解[#Headers],0)),0)+IFERROR(INDEX(年齢階層×在院期間区分F3＿寛解・院内寛解[#All],MATCH($AO25,年齢階層×在院期間区分F3＿寛解・院内寛解[[#All],[行ラベル]],0),MATCH($AR$3,年齢階層×在院期間区分F3＿寛解・院内寛解[#Headers],0)),0)+IFERROR(INDEX(年齢階層×在院期間区分F3＿寛解・院内寛解[#All],MATCH($AO25,年齢階層×在院期間区分F3＿寛解・院内寛解[[#All],[行ラベル]],0),MATCH($AS$3,年齢階層×在院期間区分F3＿寛解・院内寛解[#Headers],0)),0)</f>
        <v>44</v>
      </c>
      <c r="D25" s="128">
        <f t="shared" si="7"/>
        <v>0.18410041841004185</v>
      </c>
      <c r="E25" s="127">
        <f>IFERROR(INDEX(年齢階層×在院期間区分F3＿寛解・院内寛解[#All],MATCH($AO25,年齢階層×在院期間区分F3＿寛解・院内寛解[[#All],[行ラベル]],0),MATCH($AT$3,年齢階層×在院期間区分F3＿寛解・院内寛解[#Headers],0)),0)+IFERROR(INDEX(年齢階層×在院期間区分F3＿寛解・院内寛解[#All],MATCH($AO25,年齢階層×在院期間区分F3＿寛解・院内寛解[[#All],[行ラベル]],0),MATCH($AU$3,年齢階層×在院期間区分F3＿寛解・院内寛解[#Headers],0)),0)+IFERROR(INDEX(年齢階層×在院期間区分F3＿寛解・院内寛解[#All],MATCH($AO25,年齢階層×在院期間区分F3＿寛解・院内寛解[[#All],[行ラベル]],0),MATCH($AV$3,年齢階層×在院期間区分F3＿寛解・院内寛解[#Headers],0)),0)+IFERROR(INDEX(年齢階層×在院期間区分F3＿寛解・院内寛解[#All],MATCH($AO25,年齢階層×在院期間区分F3＿寛解・院内寛解[[#All],[行ラベル]],0),MATCH($AW$3,年齢階層×在院期間区分F3＿寛解・院内寛解[#Headers],0)),0)+IFERROR(INDEX(年齢階層×在院期間区分F3＿寛解・院内寛解[#All],MATCH($AO25,年齢階層×在院期間区分F3＿寛解・院内寛解[[#All],[行ラベル]],0),MATCH($AX$3,年齢階層×在院期間区分F3＿寛解・院内寛解[#Headers],0)),0)</f>
        <v>11</v>
      </c>
      <c r="F25" s="128">
        <f t="shared" si="8"/>
        <v>0.22916666666666666</v>
      </c>
      <c r="G25" s="127">
        <f>IFERROR(INDEX(年齢階層×在院期間区分F3＿寛解・院内寛解[#All],MATCH($AO25,年齢階層×在院期間区分F3＿寛解・院内寛解[[#All],[行ラベル]],0),MATCH($AY$3,年齢階層×在院期間区分F3＿寛解・院内寛解[#Headers],0)),0)+IFERROR(INDEX(年齢階層×在院期間区分F3＿寛解・院内寛解[#All],MATCH($AO25,年齢階層×在院期間区分F3＿寛解・院内寛解[[#All],[行ラベル]],0),MATCH($AZ$3,年齢階層×在院期間区分F3＿寛解・院内寛解[#Headers],0)),0)+IFERROR(INDEX(年齢階層×在院期間区分F3＿寛解・院内寛解[#All],MATCH($AO25,年齢階層×在院期間区分F3＿寛解・院内寛解[[#All],[行ラベル]],0),MATCH($BA$3,年齢階層×在院期間区分F3＿寛解・院内寛解[#Headers],0)),0)+IFERROR(INDEX(年齢階層×在院期間区分F3＿寛解・院内寛解[#All],MATCH($AO25,年齢階層×在院期間区分F3＿寛解・院内寛解[[#All],[行ラベル]],0),MATCH($BB$3,年齢階層×在院期間区分F3＿寛解・院内寛解[#Headers],0)),0)+IFERROR(INDEX(年齢階層×在院期間区分F3＿寛解・院内寛解[#All],MATCH($AO25,年齢階層×在院期間区分F3＿寛解・院内寛解[[#All],[行ラベル]],0),MATCH($BC$3,年齢階層×在院期間区分F3＿寛解・院内寛解[#Headers],0)),0)</f>
        <v>3</v>
      </c>
      <c r="H25" s="128">
        <f t="shared" si="9"/>
        <v>0.375</v>
      </c>
      <c r="I25" s="127">
        <f>IFERROR(INDEX(年齢階層×在院期間区分F3＿寛解・院内寛解[#All],MATCH($AO25,年齢階層×在院期間区分F3＿寛解・院内寛解[[#All],[行ラベル]],0),MATCH($BD$3,年齢階層×在院期間区分F3＿寛解・院内寛解[#Headers],0)),0)+IFERROR(INDEX(年齢階層×在院期間区分F3＿寛解・院内寛解[#All],MATCH($AO25,年齢階層×在院期間区分F3＿寛解・院内寛解[[#All],[行ラベル]],0),MATCH($BE$3,年齢階層×在院期間区分F3＿寛解・院内寛解[#Headers],0)),0)</f>
        <v>1</v>
      </c>
      <c r="J25" s="128">
        <f t="shared" si="10"/>
        <v>0.14285714285714285</v>
      </c>
      <c r="K25" s="127">
        <f t="shared" si="11"/>
        <v>59</v>
      </c>
      <c r="L25" s="128">
        <f t="shared" si="12"/>
        <v>0.19536423841059603</v>
      </c>
      <c r="R25" s="41" t="s">
        <v>7</v>
      </c>
      <c r="S25" s="49">
        <v>15</v>
      </c>
      <c r="T25" s="49">
        <v>26</v>
      </c>
      <c r="U25" s="49">
        <v>1</v>
      </c>
      <c r="V25" s="49">
        <v>2</v>
      </c>
      <c r="W25" s="49">
        <v>5</v>
      </c>
      <c r="X25" s="49">
        <v>1</v>
      </c>
      <c r="Y25" s="49">
        <v>3</v>
      </c>
      <c r="Z25" s="49">
        <v>1</v>
      </c>
      <c r="AA25" s="49">
        <v>1</v>
      </c>
      <c r="AB25" s="49">
        <v>1</v>
      </c>
      <c r="AC25" s="49">
        <v>0</v>
      </c>
      <c r="AD25" s="49">
        <v>1</v>
      </c>
      <c r="AE25" s="49">
        <v>0</v>
      </c>
      <c r="AF25" s="49">
        <v>1</v>
      </c>
      <c r="AG25" s="49">
        <v>1</v>
      </c>
      <c r="AH25" s="49">
        <v>0</v>
      </c>
      <c r="AI25" s="16"/>
      <c r="AJ25" s="16"/>
      <c r="AO25" s="41" t="s">
        <v>7</v>
      </c>
    </row>
    <row r="26" spans="2:57" ht="18.75" customHeight="1" x14ac:dyDescent="0.2">
      <c r="B26" s="149" t="s">
        <v>8</v>
      </c>
      <c r="C26" s="127">
        <f>IFERROR(INDEX(年齢階層×在院期間区分F3＿寛解・院内寛解[#All],MATCH($AO26,年齢階層×在院期間区分F3＿寛解・院内寛解[[#All],[行ラベル]],0),MATCH($AP$3,年齢階層×在院期間区分F3＿寛解・院内寛解[#Headers],0)),0)+IFERROR(INDEX(年齢階層×在院期間区分F3＿寛解・院内寛解[#All],MATCH($AO26,年齢階層×在院期間区分F3＿寛解・院内寛解[[#All],[行ラベル]],0),MATCH($AQ$3,年齢階層×在院期間区分F3＿寛解・院内寛解[#Headers],0)),0)+IFERROR(INDEX(年齢階層×在院期間区分F3＿寛解・院内寛解[#All],MATCH($AO26,年齢階層×在院期間区分F3＿寛解・院内寛解[[#All],[行ラベル]],0),MATCH($AR$3,年齢階層×在院期間区分F3＿寛解・院内寛解[#Headers],0)),0)+IFERROR(INDEX(年齢階層×在院期間区分F3＿寛解・院内寛解[#All],MATCH($AO26,年齢階層×在院期間区分F3＿寛解・院内寛解[[#All],[行ラベル]],0),MATCH($AS$3,年齢階層×在院期間区分F3＿寛解・院内寛解[#Headers],0)),0)</f>
        <v>50</v>
      </c>
      <c r="D26" s="128">
        <f t="shared" si="7"/>
        <v>0.20920502092050208</v>
      </c>
      <c r="E26" s="151">
        <f>IFERROR(INDEX(年齢階層×在院期間区分F3＿寛解・院内寛解[#All],MATCH($AO26,年齢階層×在院期間区分F3＿寛解・院内寛解[[#All],[行ラベル]],0),MATCH($AT$3,年齢階層×在院期間区分F3＿寛解・院内寛解[#Headers],0)),0)+IFERROR(INDEX(年齢階層×在院期間区分F3＿寛解・院内寛解[#All],MATCH($AO26,年齢階層×在院期間区分F3＿寛解・院内寛解[[#All],[行ラベル]],0),MATCH($AU$3,年齢階層×在院期間区分F3＿寛解・院内寛解[#Headers],0)),0)+IFERROR(INDEX(年齢階層×在院期間区分F3＿寛解・院内寛解[#All],MATCH($AO26,年齢階層×在院期間区分F3＿寛解・院内寛解[[#All],[行ラベル]],0),MATCH($AV$3,年齢階層×在院期間区分F3＿寛解・院内寛解[#Headers],0)),0)+IFERROR(INDEX(年齢階層×在院期間区分F3＿寛解・院内寛解[#All],MATCH($AO26,年齢階層×在院期間区分F3＿寛解・院内寛解[[#All],[行ラベル]],0),MATCH($AW$3,年齢階層×在院期間区分F3＿寛解・院内寛解[#Headers],0)),0)+IFERROR(INDEX(年齢階層×在院期間区分F3＿寛解・院内寛解[#All],MATCH($AO26,年齢階層×在院期間区分F3＿寛解・院内寛解[[#All],[行ラベル]],0),MATCH($AX$3,年齢階層×在院期間区分F3＿寛解・院内寛解[#Headers],0)),0)</f>
        <v>18</v>
      </c>
      <c r="F26" s="128">
        <f t="shared" si="8"/>
        <v>0.375</v>
      </c>
      <c r="G26" s="151">
        <f>IFERROR(INDEX(年齢階層×在院期間区分F3＿寛解・院内寛解[#All],MATCH($AO26,年齢階層×在院期間区分F3＿寛解・院内寛解[[#All],[行ラベル]],0),MATCH($AY$3,年齢階層×在院期間区分F3＿寛解・院内寛解[#Headers],0)),0)+IFERROR(INDEX(年齢階層×在院期間区分F3＿寛解・院内寛解[#All],MATCH($AO26,年齢階層×在院期間区分F3＿寛解・院内寛解[[#All],[行ラベル]],0),MATCH($AZ$3,年齢階層×在院期間区分F3＿寛解・院内寛解[#Headers],0)),0)+IFERROR(INDEX(年齢階層×在院期間区分F3＿寛解・院内寛解[#All],MATCH($AO26,年齢階層×在院期間区分F3＿寛解・院内寛解[[#All],[行ラベル]],0),MATCH($BA$3,年齢階層×在院期間区分F3＿寛解・院内寛解[#Headers],0)),0)+IFERROR(INDEX(年齢階層×在院期間区分F3＿寛解・院内寛解[#All],MATCH($AO26,年齢階層×在院期間区分F3＿寛解・院内寛解[[#All],[行ラベル]],0),MATCH($BB$3,年齢階層×在院期間区分F3＿寛解・院内寛解[#Headers],0)),0)+IFERROR(INDEX(年齢階層×在院期間区分F3＿寛解・院内寛解[#All],MATCH($AO26,年齢階層×在院期間区分F3＿寛解・院内寛解[[#All],[行ラベル]],0),MATCH($BC$3,年齢階層×在院期間区分F3＿寛解・院内寛解[#Headers],0)),0)</f>
        <v>3</v>
      </c>
      <c r="H26" s="128">
        <f t="shared" si="9"/>
        <v>0.375</v>
      </c>
      <c r="I26" s="151">
        <f>IFERROR(INDEX(年齢階層×在院期間区分F3＿寛解・院内寛解[#All],MATCH($AO26,年齢階層×在院期間区分F3＿寛解・院内寛解[[#All],[行ラベル]],0),MATCH($BD$3,年齢階層×在院期間区分F3＿寛解・院内寛解[#Headers],0)),0)+IFERROR(INDEX(年齢階層×在院期間区分F3＿寛解・院内寛解[#All],MATCH($AO26,年齢階層×在院期間区分F3＿寛解・院内寛解[[#All],[行ラベル]],0),MATCH($BE$3,年齢階層×在院期間区分F3＿寛解・院内寛解[#Headers],0)),0)</f>
        <v>2</v>
      </c>
      <c r="J26" s="128">
        <f t="shared" si="10"/>
        <v>0.2857142857142857</v>
      </c>
      <c r="K26" s="127">
        <f t="shared" si="11"/>
        <v>73</v>
      </c>
      <c r="L26" s="128">
        <f t="shared" si="12"/>
        <v>0.24172185430463577</v>
      </c>
      <c r="R26" s="41" t="s">
        <v>8</v>
      </c>
      <c r="S26" s="49">
        <v>11</v>
      </c>
      <c r="T26" s="49">
        <v>23</v>
      </c>
      <c r="U26" s="49">
        <v>6</v>
      </c>
      <c r="V26" s="49">
        <v>10</v>
      </c>
      <c r="W26" s="49">
        <v>3</v>
      </c>
      <c r="X26" s="49">
        <v>2</v>
      </c>
      <c r="Y26" s="49">
        <v>7</v>
      </c>
      <c r="Z26" s="49">
        <v>3</v>
      </c>
      <c r="AA26" s="49">
        <v>3</v>
      </c>
      <c r="AB26" s="49">
        <v>0</v>
      </c>
      <c r="AC26" s="49">
        <v>2</v>
      </c>
      <c r="AD26" s="49">
        <v>0</v>
      </c>
      <c r="AE26" s="49">
        <v>1</v>
      </c>
      <c r="AF26" s="49">
        <v>0</v>
      </c>
      <c r="AG26" s="49">
        <v>1</v>
      </c>
      <c r="AH26" s="49">
        <v>1</v>
      </c>
      <c r="AI26" s="16"/>
      <c r="AJ26" s="16"/>
      <c r="AO26" s="41" t="s">
        <v>8</v>
      </c>
    </row>
    <row r="27" spans="2:57" ht="18.75" customHeight="1" x14ac:dyDescent="0.2">
      <c r="B27" s="149" t="s">
        <v>9</v>
      </c>
      <c r="C27" s="127">
        <f>IFERROR(INDEX(年齢階層×在院期間区分F3＿寛解・院内寛解[#All],MATCH($AO27,年齢階層×在院期間区分F3＿寛解・院内寛解[[#All],[行ラベル]],0),MATCH($AP$3,年齢階層×在院期間区分F3＿寛解・院内寛解[#Headers],0)),0)+IFERROR(INDEX(年齢階層×在院期間区分F3＿寛解・院内寛解[#All],MATCH($AO27,年齢階層×在院期間区分F3＿寛解・院内寛解[[#All],[行ラベル]],0),MATCH($AQ$3,年齢階層×在院期間区分F3＿寛解・院内寛解[#Headers],0)),0)+IFERROR(INDEX(年齢階層×在院期間区分F3＿寛解・院内寛解[#All],MATCH($AO27,年齢階層×在院期間区分F3＿寛解・院内寛解[[#All],[行ラベル]],0),MATCH($AR$3,年齢階層×在院期間区分F3＿寛解・院内寛解[#Headers],0)),0)+IFERROR(INDEX(年齢階層×在院期間区分F3＿寛解・院内寛解[#All],MATCH($AO27,年齢階層×在院期間区分F3＿寛解・院内寛解[[#All],[行ラベル]],0),MATCH($AS$3,年齢階層×在院期間区分F3＿寛解・院内寛解[#Headers],0)),0)</f>
        <v>26</v>
      </c>
      <c r="D27" s="128">
        <f t="shared" si="7"/>
        <v>0.10878661087866109</v>
      </c>
      <c r="E27" s="127">
        <f>IFERROR(INDEX(年齢階層×在院期間区分F3＿寛解・院内寛解[#All],MATCH($AO27,年齢階層×在院期間区分F3＿寛解・院内寛解[[#All],[行ラベル]],0),MATCH($AT$3,年齢階層×在院期間区分F3＿寛解・院内寛解[#Headers],0)),0)+IFERROR(INDEX(年齢階層×在院期間区分F3＿寛解・院内寛解[#All],MATCH($AO27,年齢階層×在院期間区分F3＿寛解・院内寛解[[#All],[行ラベル]],0),MATCH($AU$3,年齢階層×在院期間区分F3＿寛解・院内寛解[#Headers],0)),0)+IFERROR(INDEX(年齢階層×在院期間区分F3＿寛解・院内寛解[#All],MATCH($AO27,年齢階層×在院期間区分F3＿寛解・院内寛解[[#All],[行ラベル]],0),MATCH($AV$3,年齢階層×在院期間区分F3＿寛解・院内寛解[#Headers],0)),0)+IFERROR(INDEX(年齢階層×在院期間区分F3＿寛解・院内寛解[#All],MATCH($AO27,年齢階層×在院期間区分F3＿寛解・院内寛解[[#All],[行ラベル]],0),MATCH($AW$3,年齢階層×在院期間区分F3＿寛解・院内寛解[#Headers],0)),0)+IFERROR(INDEX(年齢階層×在院期間区分F3＿寛解・院内寛解[#All],MATCH($AO27,年齢階層×在院期間区分F3＿寛解・院内寛解[[#All],[行ラベル]],0),MATCH($AX$3,年齢階層×在院期間区分F3＿寛解・院内寛解[#Headers],0)),0)</f>
        <v>8</v>
      </c>
      <c r="F27" s="128">
        <f t="shared" si="8"/>
        <v>0.16666666666666666</v>
      </c>
      <c r="G27" s="127">
        <f>IFERROR(INDEX(年齢階層×在院期間区分F3＿寛解・院内寛解[#All],MATCH($AO27,年齢階層×在院期間区分F3＿寛解・院内寛解[[#All],[行ラベル]],0),MATCH($AY$3,年齢階層×在院期間区分F3＿寛解・院内寛解[#Headers],0)),0)+IFERROR(INDEX(年齢階層×在院期間区分F3＿寛解・院内寛解[#All],MATCH($AO27,年齢階層×在院期間区分F3＿寛解・院内寛解[[#All],[行ラベル]],0),MATCH($AZ$3,年齢階層×在院期間区分F3＿寛解・院内寛解[#Headers],0)),0)+IFERROR(INDEX(年齢階層×在院期間区分F3＿寛解・院内寛解[#All],MATCH($AO27,年齢階層×在院期間区分F3＿寛解・院内寛解[[#All],[行ラベル]],0),MATCH($BA$3,年齢階層×在院期間区分F3＿寛解・院内寛解[#Headers],0)),0)+IFERROR(INDEX(年齢階層×在院期間区分F3＿寛解・院内寛解[#All],MATCH($AO27,年齢階層×在院期間区分F3＿寛解・院内寛解[[#All],[行ラベル]],0),MATCH($BB$3,年齢階層×在院期間区分F3＿寛解・院内寛解[#Headers],0)),0)+IFERROR(INDEX(年齢階層×在院期間区分F3＿寛解・院内寛解[#All],MATCH($AO27,年齢階層×在院期間区分F3＿寛解・院内寛解[[#All],[行ラベル]],0),MATCH($BC$3,年齢階層×在院期間区分F3＿寛解・院内寛解[#Headers],0)),0)</f>
        <v>2</v>
      </c>
      <c r="H27" s="128">
        <f t="shared" si="9"/>
        <v>0.25</v>
      </c>
      <c r="I27" s="150">
        <f>IFERROR(INDEX(年齢階層×在院期間区分F3＿寛解・院内寛解[#All],MATCH($AO27,年齢階層×在院期間区分F3＿寛解・院内寛解[[#All],[行ラベル]],0),MATCH($BD$3,年齢階層×在院期間区分F3＿寛解・院内寛解[#Headers],0)),0)+IFERROR(INDEX(年齢階層×在院期間区分F3＿寛解・院内寛解[#All],MATCH($AO27,年齢階層×在院期間区分F3＿寛解・院内寛解[[#All],[行ラベル]],0),MATCH($BE$3,年齢階層×在院期間区分F3＿寛解・院内寛解[#Headers],0)),0)</f>
        <v>4</v>
      </c>
      <c r="J27" s="128">
        <f t="shared" si="10"/>
        <v>0.5714285714285714</v>
      </c>
      <c r="K27" s="127">
        <f t="shared" si="11"/>
        <v>40</v>
      </c>
      <c r="L27" s="128">
        <f t="shared" si="12"/>
        <v>0.13245033112582782</v>
      </c>
      <c r="R27" s="41" t="s">
        <v>9</v>
      </c>
      <c r="S27" s="49">
        <v>6</v>
      </c>
      <c r="T27" s="49">
        <v>8</v>
      </c>
      <c r="U27" s="49">
        <v>8</v>
      </c>
      <c r="V27" s="49">
        <v>4</v>
      </c>
      <c r="W27" s="49">
        <v>1</v>
      </c>
      <c r="X27" s="49">
        <v>2</v>
      </c>
      <c r="Y27" s="49">
        <v>2</v>
      </c>
      <c r="Z27" s="49">
        <v>2</v>
      </c>
      <c r="AA27" s="49">
        <v>1</v>
      </c>
      <c r="AB27" s="49">
        <v>1</v>
      </c>
      <c r="AC27" s="49">
        <v>0</v>
      </c>
      <c r="AD27" s="49">
        <v>0</v>
      </c>
      <c r="AE27" s="49">
        <v>1</v>
      </c>
      <c r="AF27" s="49">
        <v>0</v>
      </c>
      <c r="AG27" s="49">
        <v>3</v>
      </c>
      <c r="AH27" s="49">
        <v>1</v>
      </c>
      <c r="AI27" s="16"/>
      <c r="AJ27" s="16"/>
      <c r="AO27" s="41" t="s">
        <v>9</v>
      </c>
    </row>
    <row r="28" spans="2:57" ht="18.75" customHeight="1" thickBot="1" x14ac:dyDescent="0.25">
      <c r="B28" s="152" t="s">
        <v>10</v>
      </c>
      <c r="C28" s="153">
        <f>IFERROR(INDEX(年齢階層×在院期間区分F3＿寛解・院内寛解[#All],MATCH($AO28,年齢階層×在院期間区分F3＿寛解・院内寛解[[#All],[行ラベル]],0),MATCH($AP$3,年齢階層×在院期間区分F3＿寛解・院内寛解[#Headers],0)),0)+IFERROR(INDEX(年齢階層×在院期間区分F3＿寛解・院内寛解[#All],MATCH($AO28,年齢階層×在院期間区分F3＿寛解・院内寛解[[#All],[行ラベル]],0),MATCH($AQ$3,年齢階層×在院期間区分F3＿寛解・院内寛解[#Headers],0)),0)+IFERROR(INDEX(年齢階層×在院期間区分F3＿寛解・院内寛解[#All],MATCH($AO28,年齢階層×在院期間区分F3＿寛解・院内寛解[[#All],[行ラベル]],0),MATCH($AR$3,年齢階層×在院期間区分F3＿寛解・院内寛解[#Headers],0)),0)+IFERROR(INDEX(年齢階層×在院期間区分F3＿寛解・院内寛解[#All],MATCH($AO28,年齢階層×在院期間区分F3＿寛解・院内寛解[[#All],[行ラベル]],0),MATCH($AS$3,年齢階層×在院期間区分F3＿寛解・院内寛解[#Headers],0)),0)</f>
        <v>1</v>
      </c>
      <c r="D28" s="132">
        <f t="shared" si="7"/>
        <v>4.1841004184100415E-3</v>
      </c>
      <c r="E28" s="153">
        <f>IFERROR(INDEX(年齢階層×在院期間区分F3＿寛解・院内寛解[#All],MATCH($AO28,年齢階層×在院期間区分F3＿寛解・院内寛解[[#All],[行ラベル]],0),MATCH($AT$3,年齢階層×在院期間区分F3＿寛解・院内寛解[#Headers],0)),0)+IFERROR(INDEX(年齢階層×在院期間区分F3＿寛解・院内寛解[#All],MATCH($AO28,年齢階層×在院期間区分F3＿寛解・院内寛解[[#All],[行ラベル]],0),MATCH($AU$3,年齢階層×在院期間区分F3＿寛解・院内寛解[#Headers],0)),0)+IFERROR(INDEX(年齢階層×在院期間区分F3＿寛解・院内寛解[#All],MATCH($AO28,年齢階層×在院期間区分F3＿寛解・院内寛解[[#All],[行ラベル]],0),MATCH($AV$3,年齢階層×在院期間区分F3＿寛解・院内寛解[#Headers],0)),0)+IFERROR(INDEX(年齢階層×在院期間区分F3＿寛解・院内寛解[#All],MATCH($AO28,年齢階層×在院期間区分F3＿寛解・院内寛解[[#All],[行ラベル]],0),MATCH($AW$3,年齢階層×在院期間区分F3＿寛解・院内寛解[#Headers],0)),0)+IFERROR(INDEX(年齢階層×在院期間区分F3＿寛解・院内寛解[#All],MATCH($AO28,年齢階層×在院期間区分F3＿寛解・院内寛解[[#All],[行ラベル]],0),MATCH($AX$3,年齢階層×在院期間区分F3＿寛解・院内寛解[#Headers],0)),0)</f>
        <v>0</v>
      </c>
      <c r="F28" s="132">
        <f t="shared" si="8"/>
        <v>0</v>
      </c>
      <c r="G28" s="153">
        <f>IFERROR(INDEX(年齢階層×在院期間区分F3＿寛解・院内寛解[#All],MATCH($AO28,年齢階層×在院期間区分F3＿寛解・院内寛解[[#All],[行ラベル]],0),MATCH($AY$3,年齢階層×在院期間区分F3＿寛解・院内寛解[#Headers],0)),0)+IFERROR(INDEX(年齢階層×在院期間区分F3＿寛解・院内寛解[#All],MATCH($AO28,年齢階層×在院期間区分F3＿寛解・院内寛解[[#All],[行ラベル]],0),MATCH($AZ$3,年齢階層×在院期間区分F3＿寛解・院内寛解[#Headers],0)),0)+IFERROR(INDEX(年齢階層×在院期間区分F3＿寛解・院内寛解[#All],MATCH($AO28,年齢階層×在院期間区分F3＿寛解・院内寛解[[#All],[行ラベル]],0),MATCH($BA$3,年齢階層×在院期間区分F3＿寛解・院内寛解[#Headers],0)),0)+IFERROR(INDEX(年齢階層×在院期間区分F3＿寛解・院内寛解[#All],MATCH($AO28,年齢階層×在院期間区分F3＿寛解・院内寛解[[#All],[行ラベル]],0),MATCH($BB$3,年齢階層×在院期間区分F3＿寛解・院内寛解[#Headers],0)),0)+IFERROR(INDEX(年齢階層×在院期間区分F3＿寛解・院内寛解[#All],MATCH($AO28,年齢階層×在院期間区分F3＿寛解・院内寛解[[#All],[行ラベル]],0),MATCH($BC$3,年齢階層×在院期間区分F3＿寛解・院内寛解[#Headers],0)),0)</f>
        <v>0</v>
      </c>
      <c r="H28" s="132">
        <f t="shared" si="9"/>
        <v>0</v>
      </c>
      <c r="I28" s="130">
        <f>IFERROR(INDEX(年齢階層×在院期間区分F3＿寛解・院内寛解[#All],MATCH($AO28,年齢階層×在院期間区分F3＿寛解・院内寛解[[#All],[行ラベル]],0),MATCH($BD$3,年齢階層×在院期間区分F3＿寛解・院内寛解[#Headers],0)),0)+IFERROR(INDEX(年齢階層×在院期間区分F3＿寛解・院内寛解[#All],MATCH($AO28,年齢階層×在院期間区分F3＿寛解・院内寛解[[#All],[行ラベル]],0),MATCH($BE$3,年齢階層×在院期間区分F3＿寛解・院内寛解[#Headers],0)),0)</f>
        <v>0</v>
      </c>
      <c r="J28" s="132">
        <f t="shared" si="10"/>
        <v>0</v>
      </c>
      <c r="K28" s="130">
        <f t="shared" si="11"/>
        <v>1</v>
      </c>
      <c r="L28" s="132">
        <f t="shared" si="12"/>
        <v>3.3112582781456954E-3</v>
      </c>
      <c r="M28" s="51"/>
      <c r="N28" s="16"/>
      <c r="O28" s="16"/>
      <c r="P28" s="16"/>
      <c r="R28" s="41" t="s">
        <v>10</v>
      </c>
      <c r="S28" s="49">
        <v>1</v>
      </c>
      <c r="T28" s="49">
        <v>0</v>
      </c>
      <c r="U28" s="49">
        <v>0</v>
      </c>
      <c r="V28" s="49">
        <v>0</v>
      </c>
      <c r="W28" s="49">
        <v>0</v>
      </c>
      <c r="X28" s="49">
        <v>0</v>
      </c>
      <c r="Y28" s="49">
        <v>0</v>
      </c>
      <c r="Z28" s="49">
        <v>0</v>
      </c>
      <c r="AA28" s="49">
        <v>0</v>
      </c>
      <c r="AB28" s="49">
        <v>0</v>
      </c>
      <c r="AC28" s="49">
        <v>0</v>
      </c>
      <c r="AD28" s="49">
        <v>0</v>
      </c>
      <c r="AE28" s="49">
        <v>0</v>
      </c>
      <c r="AF28" s="49">
        <v>0</v>
      </c>
      <c r="AG28" s="49">
        <v>0</v>
      </c>
      <c r="AH28" s="49">
        <v>0</v>
      </c>
      <c r="AI28" s="16"/>
      <c r="AJ28" s="16"/>
      <c r="AO28" s="41" t="s">
        <v>10</v>
      </c>
    </row>
    <row r="29" spans="2:57" ht="18.75" customHeight="1" thickTop="1" thickBot="1" x14ac:dyDescent="0.25">
      <c r="B29" s="154" t="s">
        <v>149</v>
      </c>
      <c r="C29" s="155">
        <f t="shared" ref="C29:L29" si="13">SUM(C20:C28)</f>
        <v>239</v>
      </c>
      <c r="D29" s="162">
        <f t="shared" si="13"/>
        <v>1</v>
      </c>
      <c r="E29" s="155">
        <f t="shared" si="13"/>
        <v>48</v>
      </c>
      <c r="F29" s="162">
        <f t="shared" si="13"/>
        <v>1</v>
      </c>
      <c r="G29" s="155">
        <f t="shared" si="13"/>
        <v>8</v>
      </c>
      <c r="H29" s="162">
        <f t="shared" si="13"/>
        <v>1</v>
      </c>
      <c r="I29" s="155">
        <f t="shared" si="13"/>
        <v>7</v>
      </c>
      <c r="J29" s="162">
        <f t="shared" si="13"/>
        <v>1</v>
      </c>
      <c r="K29" s="155">
        <f t="shared" si="13"/>
        <v>302</v>
      </c>
      <c r="L29" s="162">
        <f t="shared" si="13"/>
        <v>1</v>
      </c>
      <c r="R29" s="798" t="s">
        <v>727</v>
      </c>
      <c r="S29" s="296" t="s">
        <v>677</v>
      </c>
      <c r="T29" s="296" t="s">
        <v>678</v>
      </c>
      <c r="U29" s="296" t="s">
        <v>679</v>
      </c>
      <c r="V29" s="296" t="s">
        <v>680</v>
      </c>
      <c r="W29" s="296" t="s">
        <v>681</v>
      </c>
      <c r="X29" s="296" t="s">
        <v>682</v>
      </c>
      <c r="Y29" s="296" t="s">
        <v>683</v>
      </c>
      <c r="Z29" s="296" t="s">
        <v>340</v>
      </c>
      <c r="AA29" s="296" t="s">
        <v>684</v>
      </c>
      <c r="AB29" s="296" t="s">
        <v>685</v>
      </c>
      <c r="AC29" s="296" t="s">
        <v>686</v>
      </c>
      <c r="AD29" s="296" t="s">
        <v>687</v>
      </c>
      <c r="AE29" s="296" t="s">
        <v>688</v>
      </c>
      <c r="AF29" s="296" t="s">
        <v>689</v>
      </c>
      <c r="AG29" s="296" t="s">
        <v>690</v>
      </c>
      <c r="AH29" s="295" t="s">
        <v>691</v>
      </c>
      <c r="AI29" s="16"/>
      <c r="AJ29" s="16"/>
      <c r="AO29" s="16"/>
    </row>
    <row r="30" spans="2:57" ht="18.75" customHeight="1" thickTop="1" x14ac:dyDescent="0.2">
      <c r="B30" s="166" t="s">
        <v>85</v>
      </c>
      <c r="C30" s="167">
        <f>IFERROR(INDEX(年齢階層×在院期間区分F3_65歳未満以上＿寛解・院内寛解[#All],MATCH($AO30,年齢階層×在院期間区分F3_65歳未満以上＿寛解・院内寛解[[#All],[列1]],0),MATCH($AP$3,年齢階層×在院期間区分F3_65歳未満以上＿寛解・院内寛解[#Headers],0)),0)+IFERROR(INDEX(年齢階層×在院期間区分F3_65歳未満以上＿寛解・院内寛解[#All],MATCH($AO30,年齢階層×在院期間区分F3_65歳未満以上＿寛解・院内寛解[[#All],[列1]],0),MATCH($AQ$3,年齢階層×在院期間区分F3_65歳未満以上＿寛解・院内寛解[#Headers],0)),0)+IFERROR(INDEX(年齢階層×在院期間区分F3_65歳未満以上＿寛解・院内寛解[#All],MATCH($AO30,年齢階層×在院期間区分F3_65歳未満以上＿寛解・院内寛解[[#All],[列1]],0),MATCH($AR$3,年齢階層×在院期間区分F3_65歳未満以上＿寛解・院内寛解[#Headers],0)),0)+IFERROR(INDEX(年齢階層×在院期間区分F3_65歳未満以上＿寛解・院内寛解[#All],MATCH($AO30,年齢階層×在院期間区分F3_65歳未満以上＿寛解・院内寛解[[#All],[列1]],0),MATCH($AS$3,年齢階層×在院期間区分F3_65歳未満以上＿寛解・院内寛解[#Headers],0)),0)</f>
        <v>140</v>
      </c>
      <c r="D30" s="143">
        <f>IFERROR(C30/$C$29,"-")</f>
        <v>0.58577405857740583</v>
      </c>
      <c r="E30" s="167">
        <f>IFERROR(INDEX(年齢階層×在院期間区分F3_65歳未満以上＿寛解・院内寛解[#All],MATCH($AO30,年齢階層×在院期間区分F3_65歳未満以上＿寛解・院内寛解[[#All],[列1]],0),MATCH($AT$3,年齢階層×在院期間区分F3_65歳未満以上＿寛解・院内寛解[#Headers],0)),0)+IFERROR(INDEX(年齢階層×在院期間区分F3_65歳未満以上＿寛解・院内寛解[#All],MATCH($AO30,年齢階層×在院期間区分F3_65歳未満以上＿寛解・院内寛解[[#All],[列1]],0),MATCH($AU$3,年齢階層×在院期間区分F3_65歳未満以上＿寛解・院内寛解[#Headers],0)),0)+IFERROR(INDEX(年齢階層×在院期間区分F3_65歳未満以上＿寛解・院内寛解[#All],MATCH($AO30,年齢階層×在院期間区分F3_65歳未満以上＿寛解・院内寛解[[#All],[列1]],0),MATCH($AV$3,年齢階層×在院期間区分F3_65歳未満以上＿寛解・院内寛解[#Headers],0)),0)+IFERROR(INDEX(年齢階層×在院期間区分F3_65歳未満以上＿寛解・院内寛解[#All],MATCH($AO30,年齢階層×在院期間区分F3_65歳未満以上＿寛解・院内寛解[[#All],[列1]],0),MATCH($AW$3,年齢階層×在院期間区分F3_65歳未満以上＿寛解・院内寛解[#Headers],0)),0)+IFERROR(INDEX(年齢階層×在院期間区分F3_65歳未満以上＿寛解・院内寛解[#All],MATCH($AO30,年齢階層×在院期間区分F3_65歳未満以上＿寛解・院内寛解[[#All],[列1]],0),MATCH($AX$3,年齢階層×在院期間区分F3_65歳未満以上＿寛解・院内寛解[#Headers],0)),0)</f>
        <v>15</v>
      </c>
      <c r="F30" s="143">
        <f>IFERROR(E30/$E$29,"-")</f>
        <v>0.3125</v>
      </c>
      <c r="G30" s="167">
        <f>IFERROR(INDEX(年齢階層×在院期間区分F3_65歳未満以上＿寛解・院内寛解[#All],MATCH($AO30,年齢階層×在院期間区分F3_65歳未満以上＿寛解・院内寛解[[#All],[列1]],0),MATCH($AY$3,年齢階層×在院期間区分F3_65歳未満以上＿寛解・院内寛解[#Headers],0)),0)+IFERROR(INDEX(年齢階層×在院期間区分F3_65歳未満以上＿寛解・院内寛解[#All],MATCH($AO30,年齢階層×在院期間区分F3_65歳未満以上＿寛解・院内寛解[[#All],[列1]],0),MATCH($AZ$3,年齢階層×在院期間区分F3_65歳未満以上＿寛解・院内寛解[#Headers],0)),0)+IFERROR(INDEX(年齢階層×在院期間区分F3_65歳未満以上＿寛解・院内寛解[#All],MATCH($AO30,年齢階層×在院期間区分F3_65歳未満以上＿寛解・院内寛解[[#All],[列1]],0),MATCH($BA$3,年齢階層×在院期間区分F3_65歳未満以上＿寛解・院内寛解[#Headers],0)),0)+IFERROR(INDEX(年齢階層×在院期間区分F3_65歳未満以上＿寛解・院内寛解[#All],MATCH($AO30,年齢階層×在院期間区分F3_65歳未満以上＿寛解・院内寛解[[#All],[列1]],0),MATCH($BB$3,年齢階層×在院期間区分F3_65歳未満以上＿寛解・院内寛解[#Headers],0)),0)+IFERROR(INDEX(年齢階層×在院期間区分F3_65歳未満以上＿寛解・院内寛解[#All],MATCH($AO30,年齢階層×在院期間区分F3_65歳未満以上＿寛解・院内寛解[[#All],[列1]],0),MATCH($BC$3,年齢階層×在院期間区分F3_65歳未満以上＿寛解・院内寛解[#Headers],0)),0)</f>
        <v>0</v>
      </c>
      <c r="H30" s="143">
        <f>IFERROR(G30/$G$29,"-")</f>
        <v>0</v>
      </c>
      <c r="I30" s="167">
        <f>IFERROR(INDEX(年齢階層×在院期間区分F3_65歳未満以上＿寛解・院内寛解[#All],MATCH($AO30,年齢階層×在院期間区分F3_65歳未満以上＿寛解・院内寛解[[#All],[列1]],0),MATCH($BD$3,年齢階層×在院期間区分F3_65歳未満以上＿寛解・院内寛解[#Headers],0)),0)+IFERROR(INDEX(年齢階層×在院期間区分F3_65歳未満以上＿寛解・院内寛解[#All],MATCH($AO30,年齢階層×在院期間区分F3_65歳未満以上＿寛解・院内寛解[[#All],[列1]],0),MATCH($BE$3,年齢階層×在院期間区分F3_65歳未満以上＿寛解・院内寛解[#Headers],0)),0)</f>
        <v>1</v>
      </c>
      <c r="J30" s="143">
        <f>IFERROR(I30/$I$29,"-")</f>
        <v>0.14285714285714285</v>
      </c>
      <c r="K30" s="167">
        <f>C30+E30+G30+I30</f>
        <v>156</v>
      </c>
      <c r="L30" s="143">
        <f>IFERROR(K30/$K$29,"-")</f>
        <v>0.51655629139072845</v>
      </c>
      <c r="R30" s="41" t="s">
        <v>284</v>
      </c>
      <c r="S30" s="49">
        <v>60</v>
      </c>
      <c r="T30" s="49">
        <v>63</v>
      </c>
      <c r="U30" s="49">
        <v>10</v>
      </c>
      <c r="V30" s="49">
        <v>7</v>
      </c>
      <c r="W30" s="49">
        <v>8</v>
      </c>
      <c r="X30" s="49">
        <v>1</v>
      </c>
      <c r="Y30" s="49">
        <v>2</v>
      </c>
      <c r="Z30" s="49">
        <v>3</v>
      </c>
      <c r="AA30" s="49">
        <v>1</v>
      </c>
      <c r="AB30" s="49">
        <v>0</v>
      </c>
      <c r="AC30" s="49">
        <v>0</v>
      </c>
      <c r="AD30" s="49">
        <v>0</v>
      </c>
      <c r="AE30" s="49">
        <v>0</v>
      </c>
      <c r="AF30" s="49">
        <v>0</v>
      </c>
      <c r="AG30" s="49">
        <v>1</v>
      </c>
      <c r="AH30" s="49">
        <v>0</v>
      </c>
      <c r="AI30" s="16"/>
      <c r="AJ30" s="16"/>
      <c r="AO30" s="55" t="s">
        <v>145</v>
      </c>
    </row>
    <row r="31" spans="2:57" ht="18.75" customHeight="1" x14ac:dyDescent="0.2">
      <c r="B31" s="168" t="s">
        <v>82</v>
      </c>
      <c r="C31" s="167">
        <f>IFERROR(INDEX(年齢階層×在院期間区分F3_65歳未満以上＿寛解・院内寛解[#All],MATCH($AO31,年齢階層×在院期間区分F3_65歳未満以上＿寛解・院内寛解[[#All],[列1]],0),MATCH($AP$3,年齢階層×在院期間区分F3_65歳未満以上＿寛解・院内寛解[#Headers],0)),0)+IFERROR(INDEX(年齢階層×在院期間区分F3_65歳未満以上＿寛解・院内寛解[#All],MATCH($AO31,年齢階層×在院期間区分F3_65歳未満以上＿寛解・院内寛解[[#All],[列1]],0),MATCH($AQ$3,年齢階層×在院期間区分F3_65歳未満以上＿寛解・院内寛解[#Headers],0)),0)+IFERROR(INDEX(年齢階層×在院期間区分F3_65歳未満以上＿寛解・院内寛解[#All],MATCH($AO31,年齢階層×在院期間区分F3_65歳未満以上＿寛解・院内寛解[[#All],[列1]],0),MATCH($AR$3,年齢階層×在院期間区分F3_65歳未満以上＿寛解・院内寛解[#Headers],0)),0)+IFERROR(INDEX(年齢階層×在院期間区分F3_65歳未満以上＿寛解・院内寛解[#All],MATCH($AO31,年齢階層×在院期間区分F3_65歳未満以上＿寛解・院内寛解[[#All],[列1]],0),MATCH($AS$3,年齢階層×在院期間区分F3_65歳未満以上＿寛解・院内寛解[#Headers],0)),0)</f>
        <v>99</v>
      </c>
      <c r="D31" s="160">
        <f>IFERROR(C31/$C$29,"-")</f>
        <v>0.41422594142259417</v>
      </c>
      <c r="E31" s="167">
        <f>IFERROR(INDEX(年齢階層×在院期間区分F3_65歳未満以上＿寛解・院内寛解[#All],MATCH($AO31,年齢階層×在院期間区分F3_65歳未満以上＿寛解・院内寛解[[#All],[列1]],0),MATCH($AT$3,年齢階層×在院期間区分F3_65歳未満以上＿寛解・院内寛解[#Headers],0)),0)+IFERROR(INDEX(年齢階層×在院期間区分F3_65歳未満以上＿寛解・院内寛解[#All],MATCH($AO31,年齢階層×在院期間区分F3_65歳未満以上＿寛解・院内寛解[[#All],[列1]],0),MATCH($AU$3,年齢階層×在院期間区分F3_65歳未満以上＿寛解・院内寛解[#Headers],0)),0)+IFERROR(INDEX(年齢階層×在院期間区分F3_65歳未満以上＿寛解・院内寛解[#All],MATCH($AO31,年齢階層×在院期間区分F3_65歳未満以上＿寛解・院内寛解[[#All],[列1]],0),MATCH($AV$3,年齢階層×在院期間区分F3_65歳未満以上＿寛解・院内寛解[#Headers],0)),0)+IFERROR(INDEX(年齢階層×在院期間区分F3_65歳未満以上＿寛解・院内寛解[#All],MATCH($AO31,年齢階層×在院期間区分F3_65歳未満以上＿寛解・院内寛解[[#All],[列1]],0),MATCH($AW$3,年齢階層×在院期間区分F3_65歳未満以上＿寛解・院内寛解[#Headers],0)),0)+IFERROR(INDEX(年齢階層×在院期間区分F3_65歳未満以上＿寛解・院内寛解[#All],MATCH($AO31,年齢階層×在院期間区分F3_65歳未満以上＿寛解・院内寛解[[#All],[列1]],0),MATCH($AX$3,年齢階層×在院期間区分F3_65歳未満以上＿寛解・院内寛解[#Headers],0)),0)</f>
        <v>33</v>
      </c>
      <c r="F31" s="160">
        <f>IFERROR(E31/$E$29,"-")</f>
        <v>0.6875</v>
      </c>
      <c r="G31" s="167">
        <f>IFERROR(INDEX(年齢階層×在院期間区分F3_65歳未満以上＿寛解・院内寛解[#All],MATCH($AO31,年齢階層×在院期間区分F3_65歳未満以上＿寛解・院内寛解[[#All],[列1]],0),MATCH($AY$3,年齢階層×在院期間区分F3_65歳未満以上＿寛解・院内寛解[#Headers],0)),0)+IFERROR(INDEX(年齢階層×在院期間区分F3_65歳未満以上＿寛解・院内寛解[#All],MATCH($AO31,年齢階層×在院期間区分F3_65歳未満以上＿寛解・院内寛解[[#All],[列1]],0),MATCH($AZ$3,年齢階層×在院期間区分F3_65歳未満以上＿寛解・院内寛解[#Headers],0)),0)+IFERROR(INDEX(年齢階層×在院期間区分F3_65歳未満以上＿寛解・院内寛解[#All],MATCH($AO31,年齢階層×在院期間区分F3_65歳未満以上＿寛解・院内寛解[[#All],[列1]],0),MATCH($BA$3,年齢階層×在院期間区分F3_65歳未満以上＿寛解・院内寛解[#Headers],0)),0)+IFERROR(INDEX(年齢階層×在院期間区分F3_65歳未満以上＿寛解・院内寛解[#All],MATCH($AO31,年齢階層×在院期間区分F3_65歳未満以上＿寛解・院内寛解[[#All],[列1]],0),MATCH($BB$3,年齢階層×在院期間区分F3_65歳未満以上＿寛解・院内寛解[#Headers],0)),0)+IFERROR(INDEX(年齢階層×在院期間区分F3_65歳未満以上＿寛解・院内寛解[#All],MATCH($AO31,年齢階層×在院期間区分F3_65歳未満以上＿寛解・院内寛解[[#All],[列1]],0),MATCH($BC$3,年齢階層×在院期間区分F3_65歳未満以上＿寛解・院内寛解[#Headers],0)),0)</f>
        <v>8</v>
      </c>
      <c r="H31" s="160">
        <f>IFERROR(G31/$G$29,"-")</f>
        <v>1</v>
      </c>
      <c r="I31" s="167">
        <f>IFERROR(INDEX(年齢階層×在院期間区分F3_65歳未満以上＿寛解・院内寛解[#All],MATCH($AO31,年齢階層×在院期間区分F3_65歳未満以上＿寛解・院内寛解[[#All],[列1]],0),MATCH($BD$3,年齢階層×在院期間区分F3_65歳未満以上＿寛解・院内寛解[#Headers],0)),0)+IFERROR(INDEX(年齢階層×在院期間区分F3_65歳未満以上＿寛解・院内寛解[#All],MATCH($AO31,年齢階層×在院期間区分F3_65歳未満以上＿寛解・院内寛解[[#All],[列1]],0),MATCH($BE$3,年齢階層×在院期間区分F3_65歳未満以上＿寛解・院内寛解[#Headers],0)),0)</f>
        <v>6</v>
      </c>
      <c r="J31" s="160">
        <f>IFERROR(I31/$I$29,"-")</f>
        <v>0.8571428571428571</v>
      </c>
      <c r="K31" s="167">
        <f>C31+E31+G31+I31</f>
        <v>146</v>
      </c>
      <c r="L31" s="160">
        <f>IFERROR(K31/$K$29,"-")</f>
        <v>0.48344370860927155</v>
      </c>
      <c r="R31" s="55" t="s">
        <v>285</v>
      </c>
      <c r="S31" s="49">
        <v>26</v>
      </c>
      <c r="T31" s="49">
        <v>43</v>
      </c>
      <c r="U31" s="49">
        <v>14</v>
      </c>
      <c r="V31" s="49">
        <v>16</v>
      </c>
      <c r="W31" s="49">
        <v>6</v>
      </c>
      <c r="X31" s="49">
        <v>5</v>
      </c>
      <c r="Y31" s="49">
        <v>11</v>
      </c>
      <c r="Z31" s="49">
        <v>6</v>
      </c>
      <c r="AA31" s="49">
        <v>5</v>
      </c>
      <c r="AB31" s="49">
        <v>2</v>
      </c>
      <c r="AC31" s="49">
        <v>2</v>
      </c>
      <c r="AD31" s="49">
        <v>1</v>
      </c>
      <c r="AE31" s="49">
        <v>2</v>
      </c>
      <c r="AF31" s="49">
        <v>1</v>
      </c>
      <c r="AG31" s="49">
        <v>4</v>
      </c>
      <c r="AH31" s="49">
        <v>2</v>
      </c>
      <c r="AO31" s="55" t="s">
        <v>81</v>
      </c>
    </row>
    <row r="32" spans="2:57" x14ac:dyDescent="0.2">
      <c r="F32" s="50"/>
      <c r="H32" s="50"/>
      <c r="J32" s="50"/>
      <c r="K32" s="32"/>
    </row>
    <row r="34" spans="2:22" x14ac:dyDescent="0.2">
      <c r="C34" s="40"/>
      <c r="D34" s="48"/>
      <c r="E34" s="48"/>
      <c r="F34" s="48"/>
      <c r="G34" s="48"/>
      <c r="H34" s="48"/>
      <c r="I34" s="48"/>
      <c r="J34" s="48"/>
      <c r="K34" s="48"/>
      <c r="L34" s="48"/>
      <c r="M34" s="48"/>
      <c r="N34" s="48"/>
      <c r="O34" s="48"/>
      <c r="P34" s="48"/>
      <c r="Q34" s="48"/>
      <c r="R34" s="48"/>
      <c r="S34" s="48"/>
      <c r="T34" s="48"/>
      <c r="U34" s="40"/>
    </row>
    <row r="35" spans="2:22" x14ac:dyDescent="0.2">
      <c r="B35" s="25"/>
      <c r="C35" s="17"/>
      <c r="D35" s="17"/>
      <c r="E35" s="17"/>
      <c r="F35" s="17"/>
      <c r="G35" s="17"/>
      <c r="H35" s="17"/>
      <c r="I35" s="17"/>
      <c r="J35" s="17"/>
      <c r="K35" s="17"/>
      <c r="L35" s="17"/>
      <c r="M35" s="17"/>
      <c r="N35" s="17"/>
      <c r="O35" s="17"/>
      <c r="P35" s="17"/>
      <c r="Q35" s="17"/>
      <c r="R35" s="17"/>
      <c r="S35" s="17"/>
      <c r="T35" s="17"/>
      <c r="U35" s="17"/>
      <c r="V35" s="17"/>
    </row>
    <row r="36" spans="2:22" x14ac:dyDescent="0.2">
      <c r="B36" s="25"/>
      <c r="C36" s="17"/>
      <c r="D36" s="17"/>
      <c r="E36" s="17"/>
      <c r="F36" s="17"/>
      <c r="G36" s="17"/>
      <c r="H36" s="17"/>
      <c r="I36" s="17"/>
      <c r="J36" s="17"/>
      <c r="K36" s="17"/>
      <c r="L36" s="17"/>
      <c r="M36" s="17"/>
      <c r="N36" s="17"/>
      <c r="O36" s="17"/>
      <c r="P36" s="17"/>
      <c r="Q36" s="17"/>
      <c r="R36" s="17"/>
      <c r="S36" s="17"/>
      <c r="T36" s="17"/>
      <c r="U36" s="17"/>
      <c r="V36" s="17"/>
    </row>
    <row r="37" spans="2:22" x14ac:dyDescent="0.2">
      <c r="B37" s="52"/>
      <c r="C37" s="53"/>
      <c r="D37" s="53"/>
      <c r="E37" s="53"/>
      <c r="F37" s="53"/>
      <c r="G37" s="53"/>
      <c r="H37" s="53"/>
      <c r="I37" s="53"/>
      <c r="J37" s="53"/>
      <c r="K37" s="53"/>
      <c r="L37" s="53"/>
      <c r="M37" s="53"/>
      <c r="N37" s="53"/>
      <c r="O37" s="53"/>
      <c r="P37" s="53"/>
      <c r="Q37" s="53"/>
      <c r="R37" s="53"/>
      <c r="S37" s="53"/>
      <c r="T37" s="53"/>
      <c r="U37" s="53"/>
      <c r="V37" s="53"/>
    </row>
    <row r="38" spans="2:22" ht="35.25" customHeight="1" x14ac:dyDescent="0.2"/>
    <row r="39" spans="2:22" x14ac:dyDescent="0.2">
      <c r="B39" s="25"/>
      <c r="C39" s="17"/>
      <c r="D39" s="17"/>
      <c r="E39" s="17"/>
      <c r="F39" s="17"/>
      <c r="G39" s="17"/>
      <c r="H39" s="17"/>
      <c r="I39" s="17"/>
      <c r="J39" s="17"/>
      <c r="K39" s="17"/>
      <c r="L39" s="17"/>
      <c r="M39" s="17"/>
      <c r="N39" s="17"/>
      <c r="O39" s="17"/>
      <c r="P39" s="17"/>
      <c r="Q39" s="17"/>
      <c r="R39" s="17"/>
      <c r="S39" s="17"/>
      <c r="T39" s="17"/>
      <c r="U39" s="17"/>
      <c r="V39" s="17"/>
    </row>
    <row r="40" spans="2:22" x14ac:dyDescent="0.2">
      <c r="B40" s="25"/>
      <c r="C40" s="17"/>
      <c r="D40" s="17"/>
      <c r="E40" s="17"/>
      <c r="F40" s="17"/>
      <c r="G40" s="17"/>
      <c r="H40" s="17"/>
      <c r="I40" s="17"/>
      <c r="J40" s="17"/>
      <c r="K40" s="17"/>
      <c r="L40" s="17"/>
      <c r="M40" s="17"/>
      <c r="N40" s="17"/>
      <c r="O40" s="17"/>
      <c r="P40" s="17"/>
      <c r="Q40" s="17"/>
      <c r="R40" s="17"/>
      <c r="S40" s="17"/>
      <c r="T40" s="17"/>
      <c r="U40" s="17"/>
      <c r="V40" s="17"/>
    </row>
    <row r="41" spans="2:22" x14ac:dyDescent="0.2">
      <c r="B41" s="25"/>
      <c r="C41" s="17"/>
      <c r="D41" s="17"/>
      <c r="E41" s="17"/>
      <c r="F41" s="17"/>
      <c r="G41" s="17"/>
      <c r="H41" s="17"/>
      <c r="I41" s="17"/>
      <c r="J41" s="17"/>
      <c r="K41" s="17"/>
      <c r="L41" s="17"/>
      <c r="M41" s="17"/>
      <c r="N41" s="17"/>
      <c r="O41" s="17"/>
      <c r="P41" s="17"/>
      <c r="Q41" s="17"/>
      <c r="R41" s="17"/>
      <c r="S41" s="17"/>
      <c r="T41" s="17"/>
      <c r="U41" s="17"/>
      <c r="V41" s="17"/>
    </row>
  </sheetData>
  <mergeCells count="14">
    <mergeCell ref="B2:B3"/>
    <mergeCell ref="C2:L2"/>
    <mergeCell ref="C3:D3"/>
    <mergeCell ref="E3:F3"/>
    <mergeCell ref="G3:H3"/>
    <mergeCell ref="I3:J3"/>
    <mergeCell ref="K3:L3"/>
    <mergeCell ref="B18:B19"/>
    <mergeCell ref="C18:L18"/>
    <mergeCell ref="C19:D19"/>
    <mergeCell ref="E19:F19"/>
    <mergeCell ref="G19:H19"/>
    <mergeCell ref="I19:J19"/>
    <mergeCell ref="K19:L19"/>
  </mergeCells>
  <phoneticPr fontId="2"/>
  <printOptions horizontalCentered="1"/>
  <pageMargins left="0.70866141732283472" right="0.70866141732283472" top="0.74803149606299213" bottom="0.74803149606299213" header="0.31496062992125984" footer="0.31496062992125984"/>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9698" r:id="rId4" name="Button 2">
              <controlPr defaultSize="0" print="0" autoFill="0" autoPict="0" macro="[0]!データ削除24">
                <anchor moveWithCells="1" sizeWithCells="1">
                  <from>
                    <xdr:col>12</xdr:col>
                    <xdr:colOff>617220</xdr:colOff>
                    <xdr:row>2</xdr:row>
                    <xdr:rowOff>0</xdr:rowOff>
                  </from>
                  <to>
                    <xdr:col>15</xdr:col>
                    <xdr:colOff>640080</xdr:colOff>
                    <xdr:row>4</xdr:row>
                    <xdr:rowOff>91440</xdr:rowOff>
                  </to>
                </anchor>
              </controlPr>
            </control>
          </mc:Choice>
        </mc:AlternateContent>
      </controls>
    </mc:Choice>
  </mc:AlternateContent>
  <tableParts count="4">
    <tablePart r:id="rId5"/>
    <tablePart r:id="rId6"/>
    <tablePart r:id="rId7"/>
    <tablePart r:id="rId8"/>
  </tablePar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8FA49-165E-482A-9C79-088D00049815}">
  <sheetPr codeName="Sheet32">
    <tabColor theme="9" tint="-0.499984740745262"/>
    <pageSetUpPr fitToPage="1"/>
  </sheetPr>
  <dimension ref="A1:BB31"/>
  <sheetViews>
    <sheetView showGridLines="0" view="pageBreakPreview" zoomScale="80" zoomScaleNormal="80" zoomScaleSheetLayoutView="80" workbookViewId="0"/>
  </sheetViews>
  <sheetFormatPr defaultColWidth="13.77734375" defaultRowHeight="17.399999999999999" x14ac:dyDescent="0.2"/>
  <cols>
    <col min="1" max="1" width="15.6640625" style="676" customWidth="1"/>
    <col min="2" max="10" width="8.77734375" style="676" customWidth="1"/>
    <col min="11" max="11" width="8" style="676" hidden="1" customWidth="1"/>
    <col min="12" max="12" width="8.109375" style="676" hidden="1" customWidth="1"/>
    <col min="13" max="13" width="9.77734375" style="676" hidden="1" customWidth="1"/>
    <col min="14" max="15" width="11.21875" style="676" hidden="1" customWidth="1"/>
    <col min="16" max="16" width="8.109375" style="676" hidden="1" customWidth="1"/>
    <col min="17" max="17" width="11.21875" style="676" hidden="1" customWidth="1"/>
    <col min="18" max="18" width="12.88671875" style="676" hidden="1" customWidth="1"/>
    <col min="19" max="19" width="14.33203125" style="676" hidden="1" customWidth="1"/>
    <col min="20" max="21" width="11.21875" style="676" hidden="1" customWidth="1"/>
    <col min="22" max="22" width="14.33203125" style="676" hidden="1" customWidth="1"/>
    <col min="23" max="23" width="12.88671875" style="676" hidden="1" customWidth="1"/>
    <col min="24" max="26" width="11.21875" style="676" hidden="1" customWidth="1"/>
    <col min="27" max="30" width="9.77734375" style="676" hidden="1" customWidth="1"/>
    <col min="31" max="31" width="8.109375" style="676" hidden="1" customWidth="1"/>
    <col min="32" max="32" width="4.77734375" style="676" hidden="1" customWidth="1"/>
    <col min="33" max="33" width="6.21875" style="676" hidden="1" customWidth="1"/>
    <col min="34" max="35" width="13.77734375" style="676" customWidth="1"/>
    <col min="36" max="36" width="6.77734375" style="676" hidden="1" customWidth="1"/>
    <col min="37" max="54" width="6.77734375" style="676" customWidth="1"/>
    <col min="55" max="16384" width="13.77734375" style="676"/>
  </cols>
  <sheetData>
    <row r="1" spans="1:54" s="677" customFormat="1" ht="19.2" x14ac:dyDescent="0.2">
      <c r="A1" s="2" t="s">
        <v>502</v>
      </c>
    </row>
    <row r="2" spans="1:54" ht="18" thickBot="1" x14ac:dyDescent="0.25">
      <c r="A2" s="4"/>
    </row>
    <row r="3" spans="1:54" ht="18.75" customHeight="1" thickTop="1" x14ac:dyDescent="0.2">
      <c r="A3" s="359"/>
      <c r="B3" s="359" t="s">
        <v>356</v>
      </c>
      <c r="C3" s="359" t="s">
        <v>357</v>
      </c>
      <c r="D3" s="359" t="s">
        <v>358</v>
      </c>
      <c r="E3" s="359" t="s">
        <v>359</v>
      </c>
      <c r="F3" s="359" t="s">
        <v>360</v>
      </c>
      <c r="G3" s="359" t="s">
        <v>361</v>
      </c>
      <c r="H3" s="359" t="s">
        <v>362</v>
      </c>
      <c r="I3" s="359" t="s">
        <v>363</v>
      </c>
      <c r="J3" s="359" t="s">
        <v>61</v>
      </c>
      <c r="L3" s="805" t="s">
        <v>436</v>
      </c>
      <c r="M3" s="806" t="s">
        <v>364</v>
      </c>
      <c r="N3" s="807" t="s">
        <v>365</v>
      </c>
      <c r="O3" s="808" t="s">
        <v>366</v>
      </c>
      <c r="P3" s="808" t="s">
        <v>367</v>
      </c>
      <c r="Q3" s="808" t="s">
        <v>368</v>
      </c>
      <c r="R3" s="808" t="s">
        <v>369</v>
      </c>
      <c r="S3" s="808" t="s">
        <v>370</v>
      </c>
      <c r="T3" s="808" t="s">
        <v>371</v>
      </c>
      <c r="U3" s="808" t="s">
        <v>372</v>
      </c>
      <c r="V3" s="808" t="s">
        <v>373</v>
      </c>
      <c r="W3" s="808" t="s">
        <v>386</v>
      </c>
      <c r="X3" s="808" t="s">
        <v>387</v>
      </c>
      <c r="Y3" s="808" t="s">
        <v>388</v>
      </c>
      <c r="Z3" s="808" t="s">
        <v>389</v>
      </c>
      <c r="AA3" s="808" t="s">
        <v>390</v>
      </c>
      <c r="AB3" s="808" t="s">
        <v>391</v>
      </c>
      <c r="AC3" s="808" t="s">
        <v>392</v>
      </c>
      <c r="AD3" s="808" t="s">
        <v>393</v>
      </c>
      <c r="AE3" s="809" t="s">
        <v>394</v>
      </c>
      <c r="AF3" s="946" t="s">
        <v>501</v>
      </c>
      <c r="AJ3" s="810" t="s">
        <v>364</v>
      </c>
      <c r="AK3" s="810"/>
      <c r="AL3" s="810"/>
      <c r="AM3" s="810"/>
      <c r="AN3" s="810"/>
      <c r="AO3" s="810"/>
      <c r="AP3" s="810"/>
      <c r="AQ3" s="810"/>
      <c r="AR3" s="810"/>
      <c r="AS3" s="810"/>
      <c r="AT3" s="810"/>
      <c r="AU3" s="810"/>
      <c r="AV3" s="810"/>
      <c r="AW3" s="810"/>
      <c r="AX3" s="810"/>
      <c r="AY3" s="810"/>
      <c r="AZ3" s="810"/>
      <c r="BA3" s="810"/>
      <c r="BB3" s="810"/>
    </row>
    <row r="4" spans="1:54" ht="18.75" customHeight="1" x14ac:dyDescent="0.2">
      <c r="A4" s="1062" t="s">
        <v>2</v>
      </c>
      <c r="B4" s="597">
        <f>HLOOKUP($AJ$3,'6-Ⅰ①'!$M$3:$AE$16,2,FALSE)+HLOOKUP($AJ$4,'6-Ⅰ①'!$M$3:$AE$16,2,FALSE)+HLOOKUP($AJ$5,'6-Ⅰ①'!$M$3:$AE$16,2,FALSE)</f>
        <v>11</v>
      </c>
      <c r="C4" s="597">
        <f>HLOOKUP($AJ$6,'6-Ⅰ①'!$M$3:$AE$16,2,FALSE)+HLOOKUP($AJ$7,'6-Ⅰ①'!$M$3:$AE$16,2,FALSE)</f>
        <v>3</v>
      </c>
      <c r="D4" s="597">
        <f>HLOOKUP($AJ$8,'6-Ⅰ①'!$M$3:$AE$16,2,FALSE)+HLOOKUP($AJ$9,'6-Ⅰ①'!$M$3:$AE$16,2,FALSE)+HLOOKUP($AJ$10,'6-Ⅰ①'!$M$3:$AE$16,2,FALSE)+HLOOKUP($AJ$11,'6-Ⅰ①'!$M$3:$AE$16,2,FALSE)</f>
        <v>44</v>
      </c>
      <c r="E4" s="597">
        <f>HLOOKUP($AJ$12,'6-Ⅰ①'!$M$3:$AE$16,2,FALSE)+HLOOKUP($AJ$13,'6-Ⅰ①'!$M$3:$AE$16,2,FALSE)+HLOOKUP($AJ$14,'6-Ⅰ①'!$M$3:$AE$16,2,FALSE)</f>
        <v>6</v>
      </c>
      <c r="F4" s="597">
        <f>HLOOKUP($AJ$15,'6-Ⅰ①'!$M$3:$AE$16,2,FALSE)+HLOOKUP($AJ$16,'6-Ⅰ①'!$M$3:$AE$16,2,FALSE)</f>
        <v>4</v>
      </c>
      <c r="G4" s="597">
        <f>HLOOKUP($AJ$17,'6-Ⅰ①'!$M$3:$AE$16,2,FALSE)+HLOOKUP($AJ$18,'6-Ⅰ①'!$M$3:$AE$16,2,FALSE)+HLOOKUP($AJ$19,'6-Ⅰ①'!$M$3:$AE$16,2,FALSE)</f>
        <v>18</v>
      </c>
      <c r="H4" s="597">
        <f>HLOOKUP($AJ$20,'6-Ⅰ①'!$M$3:$AE$16,2,FALSE)</f>
        <v>25</v>
      </c>
      <c r="I4" s="597">
        <f>HLOOKUP($AJ$21,'6-Ⅰ①'!$M$3:$AE$16,2,FALSE)</f>
        <v>54</v>
      </c>
      <c r="J4" s="599">
        <f>SUM(B4:I4)</f>
        <v>165</v>
      </c>
      <c r="L4" s="365" t="s">
        <v>2</v>
      </c>
      <c r="M4" s="811">
        <v>0</v>
      </c>
      <c r="N4" s="811">
        <v>8</v>
      </c>
      <c r="O4" s="811">
        <v>3</v>
      </c>
      <c r="P4" s="811">
        <v>0</v>
      </c>
      <c r="Q4" s="811">
        <v>3</v>
      </c>
      <c r="R4" s="811">
        <v>40</v>
      </c>
      <c r="S4" s="811">
        <v>0</v>
      </c>
      <c r="T4" s="811">
        <v>4</v>
      </c>
      <c r="U4" s="811">
        <v>0</v>
      </c>
      <c r="V4" s="811">
        <v>3</v>
      </c>
      <c r="W4" s="811">
        <v>1</v>
      </c>
      <c r="X4" s="811">
        <v>2</v>
      </c>
      <c r="Y4" s="811">
        <v>1</v>
      </c>
      <c r="Z4" s="811">
        <v>3</v>
      </c>
      <c r="AA4" s="811">
        <v>2</v>
      </c>
      <c r="AB4" s="811">
        <v>7</v>
      </c>
      <c r="AC4" s="811">
        <v>9</v>
      </c>
      <c r="AD4" s="811">
        <v>25</v>
      </c>
      <c r="AE4" s="812">
        <v>54</v>
      </c>
      <c r="AF4" s="945"/>
      <c r="AJ4" s="810" t="s">
        <v>365</v>
      </c>
      <c r="AL4" s="810"/>
    </row>
    <row r="5" spans="1:54" ht="18.75" customHeight="1" x14ac:dyDescent="0.2">
      <c r="A5" s="1066"/>
      <c r="B5" s="598">
        <f t="shared" ref="B5:J5" si="0">B4/B$24</f>
        <v>6.8407960199004976E-3</v>
      </c>
      <c r="C5" s="598">
        <f t="shared" si="0"/>
        <v>1.6547159404302261E-3</v>
      </c>
      <c r="D5" s="598">
        <f t="shared" si="0"/>
        <v>3.3008252063015754E-2</v>
      </c>
      <c r="E5" s="598">
        <f t="shared" si="0"/>
        <v>4.9301561216105174E-3</v>
      </c>
      <c r="F5" s="598">
        <f t="shared" si="0"/>
        <v>3.2653061224489797E-3</v>
      </c>
      <c r="G5" s="598">
        <f t="shared" si="0"/>
        <v>3.8200339558573855E-3</v>
      </c>
      <c r="H5" s="598">
        <f t="shared" si="0"/>
        <v>0.1497005988023952</v>
      </c>
      <c r="I5" s="598">
        <f t="shared" si="0"/>
        <v>2.7950310559006212E-2</v>
      </c>
      <c r="J5" s="598">
        <f t="shared" si="0"/>
        <v>1.1779824373527523E-2</v>
      </c>
      <c r="L5" s="365" t="s">
        <v>3</v>
      </c>
      <c r="M5" s="813">
        <v>4</v>
      </c>
      <c r="N5" s="813">
        <v>29</v>
      </c>
      <c r="O5" s="813">
        <v>5</v>
      </c>
      <c r="P5" s="813">
        <v>4</v>
      </c>
      <c r="Q5" s="813">
        <v>26</v>
      </c>
      <c r="R5" s="813">
        <v>30</v>
      </c>
      <c r="S5" s="813">
        <v>8</v>
      </c>
      <c r="T5" s="813">
        <v>4</v>
      </c>
      <c r="U5" s="813">
        <v>2</v>
      </c>
      <c r="V5" s="813">
        <v>22</v>
      </c>
      <c r="W5" s="813">
        <v>16</v>
      </c>
      <c r="X5" s="813">
        <v>4</v>
      </c>
      <c r="Y5" s="813">
        <v>5</v>
      </c>
      <c r="Z5" s="813">
        <v>18</v>
      </c>
      <c r="AA5" s="813">
        <v>28</v>
      </c>
      <c r="AB5" s="813">
        <v>32</v>
      </c>
      <c r="AC5" s="813">
        <v>23</v>
      </c>
      <c r="AD5" s="813">
        <v>21</v>
      </c>
      <c r="AE5" s="814">
        <v>77</v>
      </c>
      <c r="AF5" s="945"/>
      <c r="AJ5" s="810" t="s">
        <v>366</v>
      </c>
      <c r="AL5" s="810"/>
    </row>
    <row r="6" spans="1:54" ht="18.75" customHeight="1" x14ac:dyDescent="0.2">
      <c r="A6" s="1062" t="s">
        <v>3</v>
      </c>
      <c r="B6" s="597">
        <f>HLOOKUP($AJ$3,'6-Ⅰ①'!$M$3:$AE$16,3,FALSE)+HLOOKUP($AJ$4,'6-Ⅰ①'!$M$3:$AE$16,3,FALSE)+HLOOKUP($AJ$5,'6-Ⅰ①'!$M$3:$AE$16,3,FALSE)</f>
        <v>38</v>
      </c>
      <c r="C6" s="597">
        <f>HLOOKUP($AJ$6,'6-Ⅰ①'!$M$3:$AE$16,3,FALSE)+HLOOKUP($AJ$7,'6-Ⅰ①'!$M$3:$AE$16,3,FALSE)</f>
        <v>30</v>
      </c>
      <c r="D6" s="597">
        <f>HLOOKUP($AJ$8,'6-Ⅰ①'!$M$3:$AE$16,3,FALSE)+HLOOKUP($AJ$9,'6-Ⅰ①'!$M$3:$AE$16,3,FALSE)+HLOOKUP($AJ$10,'6-Ⅰ①'!$M$3:$AE$16,3,FALSE)+HLOOKUP($AJ$11,'6-Ⅰ①'!$M$3:$AE$16,3,FALSE)</f>
        <v>44</v>
      </c>
      <c r="E6" s="597">
        <f>HLOOKUP($AJ$12,'6-Ⅰ①'!$M$3:$AE$16,3,FALSE)+HLOOKUP($AJ$13,'6-Ⅰ①'!$M$3:$AE$16,3,FALSE)+HLOOKUP($AJ$14,'6-Ⅰ①'!$M$3:$AE$16,3,FALSE)</f>
        <v>42</v>
      </c>
      <c r="F6" s="597">
        <f>HLOOKUP($AJ$15,'6-Ⅰ①'!$M$3:$AE$16,3,FALSE)+HLOOKUP($AJ$16,'6-Ⅰ①'!$M$3:$AE$16,3,FALSE)</f>
        <v>23</v>
      </c>
      <c r="G6" s="597">
        <f>HLOOKUP($AJ$17,'6-Ⅰ①'!$M$3:$AE$16,3,FALSE)+HLOOKUP($AJ$18,'6-Ⅰ①'!$M$3:$AE$16,3,FALSE)+HLOOKUP($AJ$19,'6-Ⅰ①'!$M$3:$AE$16,3,FALSE)</f>
        <v>83</v>
      </c>
      <c r="H6" s="597">
        <f>HLOOKUP($AJ$20,'6-Ⅰ①'!$M$3:$AE$16,3,FALSE)</f>
        <v>21</v>
      </c>
      <c r="I6" s="597">
        <f>HLOOKUP($AJ$21,'6-Ⅰ①'!$M$3:$AE$16,3,FALSE)</f>
        <v>77</v>
      </c>
      <c r="J6" s="599">
        <f>SUM(B6:I6)</f>
        <v>358</v>
      </c>
      <c r="L6" s="365" t="s">
        <v>4</v>
      </c>
      <c r="M6" s="811">
        <v>5</v>
      </c>
      <c r="N6" s="811">
        <v>55</v>
      </c>
      <c r="O6" s="811">
        <v>6</v>
      </c>
      <c r="P6" s="811">
        <v>19</v>
      </c>
      <c r="Q6" s="811">
        <v>29</v>
      </c>
      <c r="R6" s="811">
        <v>40</v>
      </c>
      <c r="S6" s="811">
        <v>9</v>
      </c>
      <c r="T6" s="811">
        <v>8</v>
      </c>
      <c r="U6" s="811">
        <v>0</v>
      </c>
      <c r="V6" s="811">
        <v>21</v>
      </c>
      <c r="W6" s="811">
        <v>12</v>
      </c>
      <c r="X6" s="811">
        <v>12</v>
      </c>
      <c r="Y6" s="811">
        <v>11</v>
      </c>
      <c r="Z6" s="811">
        <v>24</v>
      </c>
      <c r="AA6" s="811">
        <v>35</v>
      </c>
      <c r="AB6" s="811">
        <v>53</v>
      </c>
      <c r="AC6" s="811">
        <v>39</v>
      </c>
      <c r="AD6" s="811">
        <v>15</v>
      </c>
      <c r="AE6" s="812">
        <v>84</v>
      </c>
      <c r="AF6" s="945"/>
      <c r="AJ6" s="810" t="s">
        <v>367</v>
      </c>
      <c r="AL6" s="810"/>
    </row>
    <row r="7" spans="1:54" ht="18.75" customHeight="1" x14ac:dyDescent="0.2">
      <c r="A7" s="1063"/>
      <c r="B7" s="598">
        <f t="shared" ref="B7:J7" si="1">B6/B$24</f>
        <v>2.36318407960199E-2</v>
      </c>
      <c r="C7" s="598">
        <f t="shared" si="1"/>
        <v>1.6547159404302261E-2</v>
      </c>
      <c r="D7" s="598">
        <f t="shared" si="1"/>
        <v>3.3008252063015754E-2</v>
      </c>
      <c r="E7" s="598">
        <f t="shared" si="1"/>
        <v>3.4511092851273621E-2</v>
      </c>
      <c r="F7" s="598">
        <f t="shared" si="1"/>
        <v>1.8775510204081632E-2</v>
      </c>
      <c r="G7" s="598">
        <f t="shared" si="1"/>
        <v>1.7614601018675721E-2</v>
      </c>
      <c r="H7" s="598">
        <f t="shared" si="1"/>
        <v>0.12574850299401197</v>
      </c>
      <c r="I7" s="598">
        <f t="shared" si="1"/>
        <v>3.9855072463768113E-2</v>
      </c>
      <c r="J7" s="598">
        <f t="shared" si="1"/>
        <v>2.5558649246805169E-2</v>
      </c>
      <c r="L7" s="365" t="s">
        <v>5</v>
      </c>
      <c r="M7" s="813">
        <v>14</v>
      </c>
      <c r="N7" s="813">
        <v>79</v>
      </c>
      <c r="O7" s="813">
        <v>18</v>
      </c>
      <c r="P7" s="813">
        <v>59</v>
      </c>
      <c r="Q7" s="813">
        <v>46</v>
      </c>
      <c r="R7" s="813">
        <v>74</v>
      </c>
      <c r="S7" s="813">
        <v>17</v>
      </c>
      <c r="T7" s="813">
        <v>14</v>
      </c>
      <c r="U7" s="813">
        <v>12</v>
      </c>
      <c r="V7" s="813">
        <v>63</v>
      </c>
      <c r="W7" s="813">
        <v>28</v>
      </c>
      <c r="X7" s="813">
        <v>27</v>
      </c>
      <c r="Y7" s="813">
        <v>22</v>
      </c>
      <c r="Z7" s="813">
        <v>69</v>
      </c>
      <c r="AA7" s="813">
        <v>74</v>
      </c>
      <c r="AB7" s="813">
        <v>125</v>
      </c>
      <c r="AC7" s="813">
        <v>82</v>
      </c>
      <c r="AD7" s="813">
        <v>29</v>
      </c>
      <c r="AE7" s="814">
        <v>176</v>
      </c>
      <c r="AF7" s="945"/>
      <c r="AJ7" s="810" t="s">
        <v>368</v>
      </c>
      <c r="AL7" s="810"/>
    </row>
    <row r="8" spans="1:54" ht="18.75" customHeight="1" x14ac:dyDescent="0.2">
      <c r="A8" s="1062" t="s">
        <v>4</v>
      </c>
      <c r="B8" s="597">
        <f>HLOOKUP($AJ$3,'6-Ⅰ①'!$M$3:$AE$16,4,FALSE)+HLOOKUP($AJ$4,'6-Ⅰ①'!$M$3:$AE$16,4,FALSE)+HLOOKUP($AJ$5,'6-Ⅰ①'!$M$3:$AE$16,4,FALSE)</f>
        <v>66</v>
      </c>
      <c r="C8" s="597">
        <f>HLOOKUP($AJ$6,'6-Ⅰ①'!$M$3:$AE$16,4,FALSE)+HLOOKUP($AJ$7,'6-Ⅰ①'!$M$3:$AE$16,4,FALSE)</f>
        <v>48</v>
      </c>
      <c r="D8" s="597">
        <f>HLOOKUP($AJ$8,'6-Ⅰ①'!$M$3:$AE$16,4,FALSE)+HLOOKUP($AJ$9,'6-Ⅰ①'!$M$3:$AE$16,4,FALSE)+HLOOKUP($AJ$10,'6-Ⅰ①'!$M$3:$AE$16,4,FALSE)+HLOOKUP($AJ$11,'6-Ⅰ①'!$M$3:$AE$16,4,FALSE)</f>
        <v>57</v>
      </c>
      <c r="E8" s="597">
        <f>HLOOKUP($AJ$12,'6-Ⅰ①'!$M$3:$AE$16,4,FALSE)+HLOOKUP($AJ$13,'6-Ⅰ①'!$M$3:$AE$16,4,FALSE)+HLOOKUP($AJ$14,'6-Ⅰ①'!$M$3:$AE$16,4,FALSE)</f>
        <v>45</v>
      </c>
      <c r="F8" s="597">
        <f>HLOOKUP($AJ$15,'6-Ⅰ①'!$M$3:$AE$16,4,FALSE)+HLOOKUP($AJ$16,'6-Ⅰ①'!$M$3:$AE$16,4,FALSE)</f>
        <v>35</v>
      </c>
      <c r="G8" s="597">
        <f>HLOOKUP($AJ$17,'6-Ⅰ①'!$M$3:$AE$16,4,FALSE)+HLOOKUP($AJ$18,'6-Ⅰ①'!$M$3:$AE$16,4,FALSE)+HLOOKUP($AJ$19,'6-Ⅰ①'!$M$3:$AE$16,4,FALSE)</f>
        <v>127</v>
      </c>
      <c r="H8" s="597">
        <f>HLOOKUP($AJ$20,'6-Ⅰ①'!$M$3:$AE$16,4,FALSE)</f>
        <v>15</v>
      </c>
      <c r="I8" s="597">
        <f>HLOOKUP($AJ$21,'6-Ⅰ①'!$M$3:$AE$16,4,FALSE)</f>
        <v>84</v>
      </c>
      <c r="J8" s="599">
        <f>SUM(B8:I8)</f>
        <v>477</v>
      </c>
      <c r="L8" s="365" t="s">
        <v>6</v>
      </c>
      <c r="M8" s="811">
        <v>50</v>
      </c>
      <c r="N8" s="811">
        <v>176</v>
      </c>
      <c r="O8" s="811">
        <v>51</v>
      </c>
      <c r="P8" s="811">
        <v>171</v>
      </c>
      <c r="Q8" s="811">
        <v>89</v>
      </c>
      <c r="R8" s="811">
        <v>139</v>
      </c>
      <c r="S8" s="811">
        <v>44</v>
      </c>
      <c r="T8" s="811">
        <v>36</v>
      </c>
      <c r="U8" s="811">
        <v>16</v>
      </c>
      <c r="V8" s="811">
        <v>140</v>
      </c>
      <c r="W8" s="811">
        <v>53</v>
      </c>
      <c r="X8" s="811">
        <v>38</v>
      </c>
      <c r="Y8" s="811">
        <v>72</v>
      </c>
      <c r="Z8" s="811">
        <v>154</v>
      </c>
      <c r="AA8" s="811">
        <v>213</v>
      </c>
      <c r="AB8" s="811">
        <v>277</v>
      </c>
      <c r="AC8" s="811">
        <v>147</v>
      </c>
      <c r="AD8" s="811">
        <v>33</v>
      </c>
      <c r="AE8" s="812">
        <v>339</v>
      </c>
      <c r="AF8" s="945"/>
      <c r="AJ8" s="810" t="s">
        <v>369</v>
      </c>
      <c r="AL8" s="810"/>
    </row>
    <row r="9" spans="1:54" ht="18.75" customHeight="1" x14ac:dyDescent="0.2">
      <c r="A9" s="1063"/>
      <c r="B9" s="598">
        <f t="shared" ref="B9:J9" si="2">B8/B$24</f>
        <v>4.1044776119402986E-2</v>
      </c>
      <c r="C9" s="598">
        <f t="shared" si="2"/>
        <v>2.6475455046883617E-2</v>
      </c>
      <c r="D9" s="598">
        <f t="shared" si="2"/>
        <v>4.2760690172543137E-2</v>
      </c>
      <c r="E9" s="598">
        <f t="shared" si="2"/>
        <v>3.697617091207888E-2</v>
      </c>
      <c r="F9" s="598">
        <f t="shared" si="2"/>
        <v>2.8571428571428571E-2</v>
      </c>
      <c r="G9" s="598">
        <f t="shared" si="2"/>
        <v>2.6952461799660443E-2</v>
      </c>
      <c r="H9" s="598">
        <f t="shared" si="2"/>
        <v>8.9820359281437126E-2</v>
      </c>
      <c r="I9" s="598">
        <f t="shared" si="2"/>
        <v>4.3478260869565216E-2</v>
      </c>
      <c r="J9" s="598">
        <f t="shared" si="2"/>
        <v>3.4054401370743198E-2</v>
      </c>
      <c r="L9" s="365" t="s">
        <v>7</v>
      </c>
      <c r="M9" s="813">
        <v>91</v>
      </c>
      <c r="N9" s="813">
        <v>106</v>
      </c>
      <c r="O9" s="813">
        <v>56</v>
      </c>
      <c r="P9" s="813">
        <v>218</v>
      </c>
      <c r="Q9" s="813">
        <v>98</v>
      </c>
      <c r="R9" s="813">
        <v>99</v>
      </c>
      <c r="S9" s="813">
        <v>27</v>
      </c>
      <c r="T9" s="813">
        <v>38</v>
      </c>
      <c r="U9" s="813">
        <v>21</v>
      </c>
      <c r="V9" s="813">
        <v>146</v>
      </c>
      <c r="W9" s="813">
        <v>51</v>
      </c>
      <c r="X9" s="813">
        <v>49</v>
      </c>
      <c r="Y9" s="813">
        <v>90</v>
      </c>
      <c r="Z9" s="813">
        <v>149</v>
      </c>
      <c r="AA9" s="813">
        <v>264</v>
      </c>
      <c r="AB9" s="813">
        <v>328</v>
      </c>
      <c r="AC9" s="813">
        <v>186</v>
      </c>
      <c r="AD9" s="813">
        <v>17</v>
      </c>
      <c r="AE9" s="814">
        <v>312</v>
      </c>
      <c r="AF9" s="945"/>
      <c r="AJ9" s="810" t="s">
        <v>370</v>
      </c>
      <c r="AL9" s="810"/>
    </row>
    <row r="10" spans="1:54" ht="18.75" customHeight="1" x14ac:dyDescent="0.2">
      <c r="A10" s="1062" t="s">
        <v>5</v>
      </c>
      <c r="B10" s="597">
        <f>HLOOKUP($AJ$3,'6-Ⅰ①'!$M$3:$AE$16,5,FALSE)+HLOOKUP($AJ$4,'6-Ⅰ①'!$M$3:$AE$16,5,FALSE)+HLOOKUP($AJ$5,'6-Ⅰ①'!$M$3:$AE$16,5,FALSE)</f>
        <v>111</v>
      </c>
      <c r="C10" s="597">
        <f>HLOOKUP($AJ$6,'6-Ⅰ①'!$M$3:$AE$16,5,FALSE)+HLOOKUP($AJ$7,'6-Ⅰ①'!$M$3:$AE$16,5,FALSE)</f>
        <v>105</v>
      </c>
      <c r="D10" s="597">
        <f>HLOOKUP($AJ$8,'6-Ⅰ①'!$M$3:$AE$16,5,FALSE)+HLOOKUP($AJ$9,'6-Ⅰ①'!$M$3:$AE$16,5,FALSE)+HLOOKUP($AJ$10,'6-Ⅰ①'!$M$3:$AE$16,5,FALSE)+HLOOKUP($AJ$11,'6-Ⅰ①'!$M$3:$AE$16,5,FALSE)</f>
        <v>117</v>
      </c>
      <c r="E10" s="597">
        <f>HLOOKUP($AJ$12,'6-Ⅰ①'!$M$3:$AE$16,5,FALSE)+HLOOKUP($AJ$13,'6-Ⅰ①'!$M$3:$AE$16,5,FALSE)+HLOOKUP($AJ$14,'6-Ⅰ①'!$M$3:$AE$16,5,FALSE)</f>
        <v>118</v>
      </c>
      <c r="F10" s="597">
        <f>HLOOKUP($AJ$15,'6-Ⅰ①'!$M$3:$AE$16,5,FALSE)+HLOOKUP($AJ$16,'6-Ⅰ①'!$M$3:$AE$16,5,FALSE)</f>
        <v>91</v>
      </c>
      <c r="G10" s="597">
        <f>HLOOKUP($AJ$17,'6-Ⅰ①'!$M$3:$AE$16,5,FALSE)+HLOOKUP($AJ$18,'6-Ⅰ①'!$M$3:$AE$16,5,FALSE)+HLOOKUP($AJ$19,'6-Ⅰ①'!$M$3:$AE$16,5,FALSE)</f>
        <v>281</v>
      </c>
      <c r="H10" s="597">
        <f>HLOOKUP($AJ$20,'6-Ⅰ①'!$M$3:$AE$16,5,FALSE)</f>
        <v>29</v>
      </c>
      <c r="I10" s="597">
        <f>HLOOKUP($AJ$21,'6-Ⅰ①'!$M$3:$AE$16,5,FALSE)</f>
        <v>176</v>
      </c>
      <c r="J10" s="599">
        <f>SUM(B10:I10)</f>
        <v>1028</v>
      </c>
      <c r="L10" s="365" t="s">
        <v>8</v>
      </c>
      <c r="M10" s="811">
        <v>160</v>
      </c>
      <c r="N10" s="811">
        <v>192</v>
      </c>
      <c r="O10" s="811">
        <v>79</v>
      </c>
      <c r="P10" s="811">
        <v>313</v>
      </c>
      <c r="Q10" s="811">
        <v>147</v>
      </c>
      <c r="R10" s="811">
        <v>144</v>
      </c>
      <c r="S10" s="811">
        <v>49</v>
      </c>
      <c r="T10" s="811">
        <v>65</v>
      </c>
      <c r="U10" s="811">
        <v>60</v>
      </c>
      <c r="V10" s="811">
        <v>162</v>
      </c>
      <c r="W10" s="811">
        <v>76</v>
      </c>
      <c r="X10" s="811">
        <v>22</v>
      </c>
      <c r="Y10" s="811">
        <v>127</v>
      </c>
      <c r="Z10" s="811">
        <v>163</v>
      </c>
      <c r="AA10" s="811">
        <v>391</v>
      </c>
      <c r="AB10" s="811">
        <v>483</v>
      </c>
      <c r="AC10" s="811">
        <v>250</v>
      </c>
      <c r="AD10" s="811">
        <v>18</v>
      </c>
      <c r="AE10" s="812">
        <v>431</v>
      </c>
      <c r="AF10" s="945"/>
      <c r="AJ10" s="810" t="s">
        <v>371</v>
      </c>
      <c r="AL10" s="810"/>
    </row>
    <row r="11" spans="1:54" ht="18.75" customHeight="1" x14ac:dyDescent="0.2">
      <c r="A11" s="1063"/>
      <c r="B11" s="598">
        <f t="shared" ref="B11:J11" si="3">B10/B$24</f>
        <v>6.9029850746268662E-2</v>
      </c>
      <c r="C11" s="598">
        <f t="shared" si="3"/>
        <v>5.7915057915057917E-2</v>
      </c>
      <c r="D11" s="598">
        <f t="shared" si="3"/>
        <v>8.7771942985746434E-2</v>
      </c>
      <c r="E11" s="598">
        <f t="shared" si="3"/>
        <v>9.6959737058340184E-2</v>
      </c>
      <c r="F11" s="598">
        <f t="shared" si="3"/>
        <v>7.4285714285714288E-2</v>
      </c>
      <c r="G11" s="598">
        <f t="shared" si="3"/>
        <v>5.9634974533106962E-2</v>
      </c>
      <c r="H11" s="598">
        <f t="shared" si="3"/>
        <v>0.17365269461077845</v>
      </c>
      <c r="I11" s="598">
        <f t="shared" si="3"/>
        <v>9.1097308488612833E-2</v>
      </c>
      <c r="J11" s="598">
        <f t="shared" si="3"/>
        <v>7.3391875490826014E-2</v>
      </c>
      <c r="L11" s="365" t="s">
        <v>9</v>
      </c>
      <c r="M11" s="813">
        <v>162</v>
      </c>
      <c r="N11" s="813">
        <v>146</v>
      </c>
      <c r="O11" s="813">
        <v>39</v>
      </c>
      <c r="P11" s="813">
        <v>343</v>
      </c>
      <c r="Q11" s="813">
        <v>138</v>
      </c>
      <c r="R11" s="813">
        <v>124</v>
      </c>
      <c r="S11" s="813">
        <v>51</v>
      </c>
      <c r="T11" s="813">
        <v>53</v>
      </c>
      <c r="U11" s="813">
        <v>50</v>
      </c>
      <c r="V11" s="813">
        <v>132</v>
      </c>
      <c r="W11" s="813">
        <v>87</v>
      </c>
      <c r="X11" s="813">
        <v>16</v>
      </c>
      <c r="Y11" s="813">
        <v>81</v>
      </c>
      <c r="Z11" s="813">
        <v>170</v>
      </c>
      <c r="AA11" s="813">
        <v>446</v>
      </c>
      <c r="AB11" s="813">
        <v>525</v>
      </c>
      <c r="AC11" s="813">
        <v>305</v>
      </c>
      <c r="AD11" s="813">
        <v>9</v>
      </c>
      <c r="AE11" s="814">
        <v>373</v>
      </c>
      <c r="AF11" s="945"/>
      <c r="AJ11" s="810" t="s">
        <v>372</v>
      </c>
      <c r="AL11" s="810"/>
    </row>
    <row r="12" spans="1:54" ht="18.75" customHeight="1" x14ac:dyDescent="0.2">
      <c r="A12" s="1062" t="s">
        <v>6</v>
      </c>
      <c r="B12" s="597">
        <f>HLOOKUP($AJ$3,'6-Ⅰ①'!$M$3:$AE$16,6,FALSE)+HLOOKUP($AJ$4,'6-Ⅰ①'!$M$3:$AE$16,6,FALSE)+HLOOKUP($AJ$5,'6-Ⅰ①'!$M$3:$AE$16,6,FALSE)</f>
        <v>277</v>
      </c>
      <c r="C12" s="597">
        <f>HLOOKUP($AJ$6,'6-Ⅰ①'!$M$3:$AE$16,6,FALSE)+HLOOKUP($AJ$7,'6-Ⅰ①'!$M$3:$AE$16,6,FALSE)</f>
        <v>260</v>
      </c>
      <c r="D12" s="597">
        <f>HLOOKUP($AJ$8,'6-Ⅰ①'!$M$3:$AE$16,6,FALSE)+HLOOKUP($AJ$9,'6-Ⅰ①'!$M$3:$AE$16,6,FALSE)+HLOOKUP($AJ$10,'6-Ⅰ①'!$M$3:$AE$16,6,FALSE)+HLOOKUP($AJ$11,'6-Ⅰ①'!$M$3:$AE$16,6,FALSE)</f>
        <v>235</v>
      </c>
      <c r="E12" s="597">
        <f>HLOOKUP($AJ$12,'6-Ⅰ①'!$M$3:$AE$16,6,FALSE)+HLOOKUP($AJ$13,'6-Ⅰ①'!$M$3:$AE$16,6,FALSE)+HLOOKUP($AJ$14,'6-Ⅰ①'!$M$3:$AE$16,6,FALSE)</f>
        <v>231</v>
      </c>
      <c r="F12" s="597">
        <f>HLOOKUP($AJ$15,'6-Ⅰ①'!$M$3:$AE$16,6,FALSE)+HLOOKUP($AJ$16,'6-Ⅰ①'!$M$3:$AE$16,6,FALSE)</f>
        <v>226</v>
      </c>
      <c r="G12" s="597">
        <f>HLOOKUP($AJ$17,'6-Ⅰ①'!$M$3:$AE$16,6,FALSE)+HLOOKUP($AJ$18,'6-Ⅰ①'!$M$3:$AE$16,6,FALSE)+HLOOKUP($AJ$19,'6-Ⅰ①'!$M$3:$AE$16,6,FALSE)</f>
        <v>637</v>
      </c>
      <c r="H12" s="597">
        <f>HLOOKUP($AJ$20,'6-Ⅰ①'!$M$3:$AE$16,6,FALSE)</f>
        <v>33</v>
      </c>
      <c r="I12" s="597">
        <f>HLOOKUP($AJ$21,'6-Ⅰ①'!$M$3:$AE$16,6,FALSE)</f>
        <v>339</v>
      </c>
      <c r="J12" s="599">
        <f>SUM(B12:I12)</f>
        <v>2238</v>
      </c>
      <c r="L12" s="365" t="s">
        <v>10</v>
      </c>
      <c r="M12" s="811">
        <v>38</v>
      </c>
      <c r="N12" s="811">
        <v>32</v>
      </c>
      <c r="O12" s="811">
        <v>4</v>
      </c>
      <c r="P12" s="811">
        <v>69</v>
      </c>
      <c r="Q12" s="811">
        <v>41</v>
      </c>
      <c r="R12" s="811">
        <v>31</v>
      </c>
      <c r="S12" s="811">
        <v>3</v>
      </c>
      <c r="T12" s="811">
        <v>9</v>
      </c>
      <c r="U12" s="811">
        <v>12</v>
      </c>
      <c r="V12" s="811">
        <v>15</v>
      </c>
      <c r="W12" s="811">
        <v>19</v>
      </c>
      <c r="X12" s="811">
        <v>0</v>
      </c>
      <c r="Y12" s="811">
        <v>17</v>
      </c>
      <c r="Z12" s="811">
        <v>49</v>
      </c>
      <c r="AA12" s="811">
        <v>146</v>
      </c>
      <c r="AB12" s="811">
        <v>159</v>
      </c>
      <c r="AC12" s="811">
        <v>83</v>
      </c>
      <c r="AD12" s="811">
        <v>0</v>
      </c>
      <c r="AE12" s="812">
        <v>86</v>
      </c>
      <c r="AF12" s="945"/>
      <c r="AJ12" s="810" t="s">
        <v>373</v>
      </c>
      <c r="AL12" s="810"/>
    </row>
    <row r="13" spans="1:54" ht="18.75" customHeight="1" x14ac:dyDescent="0.2">
      <c r="A13" s="1063"/>
      <c r="B13" s="598">
        <f t="shared" ref="B13:J13" si="4">B12/B$24</f>
        <v>0.17226368159203981</v>
      </c>
      <c r="C13" s="598">
        <f t="shared" si="4"/>
        <v>0.14340871483728626</v>
      </c>
      <c r="D13" s="598">
        <f t="shared" si="4"/>
        <v>0.17629407351837958</v>
      </c>
      <c r="E13" s="598">
        <f t="shared" si="4"/>
        <v>0.18981101068200493</v>
      </c>
      <c r="F13" s="598">
        <f t="shared" si="4"/>
        <v>0.18448979591836734</v>
      </c>
      <c r="G13" s="598">
        <f t="shared" si="4"/>
        <v>0.13518675721561971</v>
      </c>
      <c r="H13" s="598">
        <f t="shared" si="4"/>
        <v>0.19760479041916168</v>
      </c>
      <c r="I13" s="598">
        <f t="shared" si="4"/>
        <v>0.17546583850931677</v>
      </c>
      <c r="J13" s="598">
        <f t="shared" si="4"/>
        <v>0.15977725423002784</v>
      </c>
      <c r="L13" s="365" t="s">
        <v>61</v>
      </c>
      <c r="M13" s="813">
        <f>SUM(M4:M12)</f>
        <v>524</v>
      </c>
      <c r="N13" s="813">
        <f t="shared" ref="N13:AE13" si="5">SUM(N4:N12)</f>
        <v>823</v>
      </c>
      <c r="O13" s="813">
        <f t="shared" si="5"/>
        <v>261</v>
      </c>
      <c r="P13" s="813">
        <f t="shared" si="5"/>
        <v>1196</v>
      </c>
      <c r="Q13" s="813">
        <f t="shared" si="5"/>
        <v>617</v>
      </c>
      <c r="R13" s="813">
        <f t="shared" si="5"/>
        <v>721</v>
      </c>
      <c r="S13" s="813">
        <f t="shared" si="5"/>
        <v>208</v>
      </c>
      <c r="T13" s="813">
        <f t="shared" si="5"/>
        <v>231</v>
      </c>
      <c r="U13" s="813">
        <f t="shared" si="5"/>
        <v>173</v>
      </c>
      <c r="V13" s="813">
        <f t="shared" si="5"/>
        <v>704</v>
      </c>
      <c r="W13" s="813">
        <f t="shared" si="5"/>
        <v>343</v>
      </c>
      <c r="X13" s="813">
        <f t="shared" si="5"/>
        <v>170</v>
      </c>
      <c r="Y13" s="813">
        <f t="shared" si="5"/>
        <v>426</v>
      </c>
      <c r="Z13" s="813">
        <f t="shared" si="5"/>
        <v>799</v>
      </c>
      <c r="AA13" s="813">
        <f t="shared" si="5"/>
        <v>1599</v>
      </c>
      <c r="AB13" s="813">
        <f t="shared" si="5"/>
        <v>1989</v>
      </c>
      <c r="AC13" s="813">
        <f t="shared" si="5"/>
        <v>1124</v>
      </c>
      <c r="AD13" s="813">
        <f t="shared" si="5"/>
        <v>167</v>
      </c>
      <c r="AE13" s="814">
        <f t="shared" si="5"/>
        <v>1932</v>
      </c>
      <c r="AF13" s="945"/>
      <c r="AJ13" s="810" t="s">
        <v>386</v>
      </c>
      <c r="AL13" s="810"/>
    </row>
    <row r="14" spans="1:54" ht="18.75" customHeight="1" thickBot="1" x14ac:dyDescent="0.25">
      <c r="A14" s="1062" t="s">
        <v>7</v>
      </c>
      <c r="B14" s="597">
        <f>HLOOKUP($AJ$3,'6-Ⅰ①'!$M$3:$AE$16,7,FALSE)+HLOOKUP($AJ$4,'6-Ⅰ①'!$M$3:$AE$16,7,FALSE)+HLOOKUP($AJ$5,'6-Ⅰ①'!$M$3:$AE$16,7,FALSE)</f>
        <v>253</v>
      </c>
      <c r="C14" s="597">
        <f>HLOOKUP($AJ$6,'6-Ⅰ①'!$M$3:$AE$16,7,FALSE)+HLOOKUP($AJ$7,'6-Ⅰ①'!$M$3:$AE$16,7,FALSE)</f>
        <v>316</v>
      </c>
      <c r="D14" s="597">
        <f>HLOOKUP($AJ$8,'6-Ⅰ①'!$M$3:$AE$16,7,FALSE)+HLOOKUP($AJ$9,'6-Ⅰ①'!$M$3:$AE$16,7,FALSE)+HLOOKUP($AJ$10,'6-Ⅰ①'!$M$3:$AE$16,7,FALSE)+HLOOKUP($AJ$11,'6-Ⅰ①'!$M$3:$AE$16,7,FALSE)</f>
        <v>185</v>
      </c>
      <c r="E14" s="597">
        <f>HLOOKUP($AJ$12,'6-Ⅰ①'!$M$3:$AE$16,7,FALSE)+HLOOKUP($AJ$13,'6-Ⅰ①'!$M$3:$AE$16,7,FALSE)+HLOOKUP($AJ$14,'6-Ⅰ①'!$M$3:$AE$16,7,FALSE)</f>
        <v>246</v>
      </c>
      <c r="F14" s="597">
        <f>HLOOKUP($AJ$15,'6-Ⅰ①'!$M$3:$AE$16,7,FALSE)+HLOOKUP($AJ$16,'6-Ⅰ①'!$M$3:$AE$16,7,FALSE)</f>
        <v>239</v>
      </c>
      <c r="G14" s="597">
        <f>HLOOKUP($AJ$17,'6-Ⅰ①'!$M$3:$AE$16,7,FALSE)+HLOOKUP($AJ$18,'6-Ⅰ①'!$M$3:$AE$16,7,FALSE)+HLOOKUP($AJ$19,'6-Ⅰ①'!$M$3:$AE$16,7,FALSE)</f>
        <v>778</v>
      </c>
      <c r="H14" s="597">
        <f>HLOOKUP($AJ$20,'6-Ⅰ①'!$M$3:$AE$16,7,FALSE)</f>
        <v>17</v>
      </c>
      <c r="I14" s="597">
        <f>HLOOKUP($AJ$21,'6-Ⅰ①'!$M$3:$AE$16,7,FALSE)</f>
        <v>312</v>
      </c>
      <c r="J14" s="599">
        <f>SUM(B14:I14)</f>
        <v>2346</v>
      </c>
      <c r="M14" s="815" t="s">
        <v>482</v>
      </c>
      <c r="N14" s="816" t="s">
        <v>483</v>
      </c>
      <c r="O14" s="816" t="s">
        <v>484</v>
      </c>
      <c r="P14" s="816" t="s">
        <v>485</v>
      </c>
      <c r="Q14" s="816" t="s">
        <v>486</v>
      </c>
      <c r="R14" s="816" t="s">
        <v>487</v>
      </c>
      <c r="S14" s="816" t="s">
        <v>488</v>
      </c>
      <c r="T14" s="816" t="s">
        <v>489</v>
      </c>
      <c r="U14" s="816" t="s">
        <v>490</v>
      </c>
      <c r="V14" s="816" t="s">
        <v>491</v>
      </c>
      <c r="W14" s="816" t="s">
        <v>492</v>
      </c>
      <c r="X14" s="816" t="s">
        <v>493</v>
      </c>
      <c r="Y14" s="816" t="s">
        <v>494</v>
      </c>
      <c r="Z14" s="816" t="s">
        <v>495</v>
      </c>
      <c r="AA14" s="816" t="s">
        <v>496</v>
      </c>
      <c r="AB14" s="816" t="s">
        <v>497</v>
      </c>
      <c r="AC14" s="816" t="s">
        <v>498</v>
      </c>
      <c r="AD14" s="816" t="s">
        <v>499</v>
      </c>
      <c r="AE14" s="817" t="s">
        <v>500</v>
      </c>
      <c r="AF14" s="816" t="s">
        <v>501</v>
      </c>
      <c r="AJ14" s="810" t="s">
        <v>387</v>
      </c>
      <c r="AL14" s="810"/>
    </row>
    <row r="15" spans="1:54" ht="18.75" customHeight="1" thickTop="1" thickBot="1" x14ac:dyDescent="0.25">
      <c r="A15" s="1063"/>
      <c r="B15" s="598">
        <f t="shared" ref="B15:J15" si="6">B14/B$24</f>
        <v>0.15733830845771143</v>
      </c>
      <c r="C15" s="598">
        <f t="shared" si="6"/>
        <v>0.17429674572531714</v>
      </c>
      <c r="D15" s="598">
        <f t="shared" si="6"/>
        <v>0.13878469617404351</v>
      </c>
      <c r="E15" s="598">
        <f t="shared" si="6"/>
        <v>0.20213640098603122</v>
      </c>
      <c r="F15" s="598">
        <f t="shared" si="6"/>
        <v>0.19510204081632654</v>
      </c>
      <c r="G15" s="598">
        <f t="shared" si="6"/>
        <v>0.16511035653650255</v>
      </c>
      <c r="H15" s="598">
        <f t="shared" si="6"/>
        <v>0.10179640718562874</v>
      </c>
      <c r="I15" s="598">
        <f t="shared" si="6"/>
        <v>0.16149068322981366</v>
      </c>
      <c r="J15" s="598">
        <f t="shared" si="6"/>
        <v>0.16748768472906403</v>
      </c>
      <c r="L15" s="365" t="s">
        <v>145</v>
      </c>
      <c r="M15" s="818">
        <v>110</v>
      </c>
      <c r="N15" s="819">
        <v>406</v>
      </c>
      <c r="O15" s="820">
        <v>109</v>
      </c>
      <c r="P15" s="820">
        <v>368</v>
      </c>
      <c r="Q15" s="820">
        <v>240</v>
      </c>
      <c r="R15" s="820">
        <v>388</v>
      </c>
      <c r="S15" s="820">
        <v>93</v>
      </c>
      <c r="T15" s="820">
        <v>83</v>
      </c>
      <c r="U15" s="820">
        <v>40</v>
      </c>
      <c r="V15" s="820">
        <v>324</v>
      </c>
      <c r="W15" s="820">
        <v>132</v>
      </c>
      <c r="X15" s="820">
        <v>112</v>
      </c>
      <c r="Y15" s="820">
        <v>160</v>
      </c>
      <c r="Z15" s="820">
        <v>343</v>
      </c>
      <c r="AA15" s="820">
        <v>484</v>
      </c>
      <c r="AB15" s="820">
        <v>671</v>
      </c>
      <c r="AC15" s="820">
        <v>393</v>
      </c>
      <c r="AD15" s="820">
        <v>130</v>
      </c>
      <c r="AE15" s="814">
        <v>905</v>
      </c>
      <c r="AJ15" s="810" t="s">
        <v>388</v>
      </c>
      <c r="AL15" s="810"/>
    </row>
    <row r="16" spans="1:54" ht="18.75" customHeight="1" thickTop="1" x14ac:dyDescent="0.2">
      <c r="A16" s="1062" t="s">
        <v>8</v>
      </c>
      <c r="B16" s="597">
        <f>HLOOKUP($AJ$3,'6-Ⅰ①'!$M$3:$AE$16,8,FALSE)+HLOOKUP($AJ$4,'6-Ⅰ①'!$M$3:$AE$16,8,FALSE)+HLOOKUP($AJ$5,'6-Ⅰ①'!$M$3:$AE$16,8,FALSE)</f>
        <v>431</v>
      </c>
      <c r="C16" s="597">
        <f>HLOOKUP($AJ$6,'6-Ⅰ①'!$M$3:$AE$16,8,FALSE)+HLOOKUP($AJ$7,'6-Ⅰ①'!$M$3:$AE$16,8,FALSE)</f>
        <v>460</v>
      </c>
      <c r="D16" s="597">
        <f>HLOOKUP($AJ$8,'6-Ⅰ①'!$M$3:$AE$16,8,FALSE)+HLOOKUP($AJ$9,'6-Ⅰ①'!$M$3:$AE$16,8,FALSE)+HLOOKUP($AJ$10,'6-Ⅰ①'!$M$3:$AE$16,8,FALSE)+HLOOKUP($AJ$11,'6-Ⅰ①'!$M$3:$AE$16,8,FALSE)</f>
        <v>318</v>
      </c>
      <c r="E16" s="597">
        <f>HLOOKUP($AJ$12,'6-Ⅰ①'!$M$3:$AE$16,8,FALSE)+HLOOKUP($AJ$13,'6-Ⅰ①'!$M$3:$AE$16,8,FALSE)+HLOOKUP($AJ$14,'6-Ⅰ①'!$M$3:$AE$16,8,FALSE)</f>
        <v>260</v>
      </c>
      <c r="F16" s="597">
        <f>HLOOKUP($AJ$15,'6-Ⅰ①'!$M$3:$AE$16,8,FALSE)+HLOOKUP($AJ$16,'6-Ⅰ①'!$M$3:$AE$16,8,FALSE)</f>
        <v>290</v>
      </c>
      <c r="G16" s="597">
        <f>HLOOKUP($AJ$17,'6-Ⅰ①'!$M$3:$AE$16,8,FALSE)+HLOOKUP($AJ$18,'6-Ⅰ①'!$M$3:$AE$16,8,FALSE)+HLOOKUP($AJ$19,'6-Ⅰ①'!$M$3:$AE$16,8,FALSE)</f>
        <v>1124</v>
      </c>
      <c r="H16" s="597">
        <f>HLOOKUP($AJ$20,'6-Ⅰ①'!$M$3:$AE$16,8,FALSE)</f>
        <v>18</v>
      </c>
      <c r="I16" s="597">
        <f>HLOOKUP($AJ$21,'6-Ⅰ①'!$M$3:$AE$16,8,FALSE)</f>
        <v>431</v>
      </c>
      <c r="J16" s="599">
        <f>SUM(B16:I16)</f>
        <v>3332</v>
      </c>
      <c r="L16" s="365" t="s">
        <v>246</v>
      </c>
      <c r="M16" s="818">
        <v>414</v>
      </c>
      <c r="N16" s="821">
        <v>417</v>
      </c>
      <c r="O16" s="821">
        <v>152</v>
      </c>
      <c r="P16" s="821">
        <v>828</v>
      </c>
      <c r="Q16" s="821">
        <v>377</v>
      </c>
      <c r="R16" s="821">
        <v>333</v>
      </c>
      <c r="S16" s="821">
        <v>115</v>
      </c>
      <c r="T16" s="821">
        <v>148</v>
      </c>
      <c r="U16" s="821">
        <v>133</v>
      </c>
      <c r="V16" s="821">
        <v>380</v>
      </c>
      <c r="W16" s="821">
        <v>211</v>
      </c>
      <c r="X16" s="821">
        <v>58</v>
      </c>
      <c r="Y16" s="821">
        <v>266</v>
      </c>
      <c r="Z16" s="821">
        <v>456</v>
      </c>
      <c r="AA16" s="821">
        <v>1115</v>
      </c>
      <c r="AB16" s="821">
        <v>1318</v>
      </c>
      <c r="AC16" s="821">
        <v>731</v>
      </c>
      <c r="AD16" s="821">
        <v>37</v>
      </c>
      <c r="AE16" s="812">
        <v>1027</v>
      </c>
      <c r="AJ16" s="810" t="s">
        <v>389</v>
      </c>
      <c r="AL16" s="810"/>
    </row>
    <row r="17" spans="1:38" ht="18.75" customHeight="1" x14ac:dyDescent="0.2">
      <c r="A17" s="1063"/>
      <c r="B17" s="598">
        <f t="shared" ref="B17:J17" si="7">B16/B$24</f>
        <v>0.26803482587064675</v>
      </c>
      <c r="C17" s="598">
        <f t="shared" si="7"/>
        <v>0.25372311086596799</v>
      </c>
      <c r="D17" s="598">
        <f t="shared" si="7"/>
        <v>0.2385596399099775</v>
      </c>
      <c r="E17" s="598">
        <f t="shared" si="7"/>
        <v>0.21364009860312244</v>
      </c>
      <c r="F17" s="598">
        <f t="shared" si="7"/>
        <v>0.23673469387755103</v>
      </c>
      <c r="G17" s="598">
        <f t="shared" si="7"/>
        <v>0.23853989813242785</v>
      </c>
      <c r="H17" s="598">
        <f t="shared" si="7"/>
        <v>0.10778443113772455</v>
      </c>
      <c r="I17" s="598">
        <f t="shared" si="7"/>
        <v>0.22308488612836438</v>
      </c>
      <c r="J17" s="598">
        <f t="shared" si="7"/>
        <v>0.23788105947026486</v>
      </c>
      <c r="AJ17" s="810" t="s">
        <v>390</v>
      </c>
      <c r="AL17" s="810"/>
    </row>
    <row r="18" spans="1:38" ht="18.75" customHeight="1" x14ac:dyDescent="0.2">
      <c r="A18" s="1062" t="s">
        <v>9</v>
      </c>
      <c r="B18" s="597">
        <f>HLOOKUP($AJ$3,'6-Ⅰ①'!$M$3:$AE$16,9,FALSE)+HLOOKUP($AJ$4,'6-Ⅰ①'!$M$3:$AE$16,9,FALSE)+HLOOKUP($AJ$5,'6-Ⅰ①'!$M$3:$AE$16,9,FALSE)</f>
        <v>347</v>
      </c>
      <c r="C18" s="597">
        <f>HLOOKUP($AJ$6,'6-Ⅰ①'!$M$3:$AE$16,9,FALSE)+HLOOKUP($AJ$7,'6-Ⅰ①'!$M$3:$AE$16,9,FALSE)</f>
        <v>481</v>
      </c>
      <c r="D18" s="597">
        <f>HLOOKUP($AJ$8,'6-Ⅰ①'!$M$3:$AE$16,9,FALSE)+HLOOKUP($AJ$9,'6-Ⅰ①'!$M$3:$AE$16,9,FALSE)+HLOOKUP($AJ$10,'6-Ⅰ①'!$M$3:$AE$16,9,FALSE)+HLOOKUP($AJ$11,'6-Ⅰ①'!$M$3:$AE$16,9,FALSE)</f>
        <v>278</v>
      </c>
      <c r="E18" s="597">
        <f>HLOOKUP($AJ$12,'6-Ⅰ①'!$M$3:$AE$16,9,FALSE)+HLOOKUP($AJ$13,'6-Ⅰ①'!$M$3:$AE$16,9,FALSE)+HLOOKUP($AJ$14,'6-Ⅰ①'!$M$3:$AE$16,9,FALSE)</f>
        <v>235</v>
      </c>
      <c r="F18" s="597">
        <f>HLOOKUP($AJ$15,'6-Ⅰ①'!$M$3:$AE$16,9,FALSE)+HLOOKUP($AJ$16,'6-Ⅰ①'!$M$3:$AE$16,9,FALSE)</f>
        <v>251</v>
      </c>
      <c r="G18" s="597">
        <f>HLOOKUP($AJ$17,'6-Ⅰ①'!$M$3:$AE$16,9,FALSE)+HLOOKUP($AJ$18,'6-Ⅰ①'!$M$3:$AE$16,9,FALSE)+HLOOKUP($AJ$19,'6-Ⅰ①'!$M$3:$AE$16,9,FALSE)</f>
        <v>1276</v>
      </c>
      <c r="H18" s="597">
        <f>HLOOKUP($AJ$20,'6-Ⅰ①'!$M$3:$AE$16,9,FALSE)</f>
        <v>9</v>
      </c>
      <c r="I18" s="597">
        <f>HLOOKUP($AJ$21,'6-Ⅰ①'!$M$3:$AE$16,9,FALSE)</f>
        <v>373</v>
      </c>
      <c r="J18" s="599">
        <f>SUM(B18:I18)</f>
        <v>3250</v>
      </c>
      <c r="AJ18" s="810" t="s">
        <v>391</v>
      </c>
      <c r="AL18" s="810"/>
    </row>
    <row r="19" spans="1:38" ht="18.75" customHeight="1" x14ac:dyDescent="0.2">
      <c r="A19" s="1063"/>
      <c r="B19" s="598">
        <f t="shared" ref="B19:J19" si="8">B18/B$24</f>
        <v>0.21579601990049752</v>
      </c>
      <c r="C19" s="598">
        <f t="shared" si="8"/>
        <v>0.26530612244897961</v>
      </c>
      <c r="D19" s="598">
        <f t="shared" si="8"/>
        <v>0.20855213803450862</v>
      </c>
      <c r="E19" s="598">
        <f t="shared" si="8"/>
        <v>0.19309778142974526</v>
      </c>
      <c r="F19" s="598">
        <f t="shared" si="8"/>
        <v>0.20489795918367346</v>
      </c>
      <c r="G19" s="598">
        <f t="shared" si="8"/>
        <v>0.27079796264855688</v>
      </c>
      <c r="H19" s="598">
        <f t="shared" si="8"/>
        <v>5.3892215568862277E-2</v>
      </c>
      <c r="I19" s="598">
        <f t="shared" si="8"/>
        <v>0.19306418219461699</v>
      </c>
      <c r="J19" s="598">
        <f t="shared" si="8"/>
        <v>0.23202684372099663</v>
      </c>
      <c r="AJ19" s="810" t="s">
        <v>392</v>
      </c>
      <c r="AL19" s="810"/>
    </row>
    <row r="20" spans="1:38" ht="18.75" customHeight="1" x14ac:dyDescent="0.2">
      <c r="A20" s="1062" t="s">
        <v>10</v>
      </c>
      <c r="B20" s="597">
        <f>HLOOKUP($AJ$3,'6-Ⅰ①'!$M$3:$AE$16,10,FALSE)+HLOOKUP($AJ$4,'6-Ⅰ①'!$M$3:$AE$16,10,FALSE)+HLOOKUP($AJ$5,'6-Ⅰ①'!$M$3:$AE$16,10,FALSE)</f>
        <v>74</v>
      </c>
      <c r="C20" s="597">
        <f>HLOOKUP($AJ$6,'6-Ⅰ①'!$M$3:$AE$16,10,FALSE)+HLOOKUP($AJ$7,'6-Ⅰ①'!$M$3:$AE$16,10,FALSE)</f>
        <v>110</v>
      </c>
      <c r="D20" s="597">
        <f>HLOOKUP($AJ$8,'6-Ⅰ①'!$M$3:$AE$16,10,FALSE)+HLOOKUP($AJ$9,'6-Ⅰ①'!$M$3:$AE$16,10,FALSE)+HLOOKUP($AJ$10,'6-Ⅰ①'!$M$3:$AE$16,10,FALSE)+HLOOKUP($AJ$11,'6-Ⅰ①'!$M$3:$AE$16,10,FALSE)</f>
        <v>55</v>
      </c>
      <c r="E20" s="597">
        <f>HLOOKUP($AJ$12,'6-Ⅰ①'!$M$3:$AE$16,10,FALSE)+HLOOKUP($AJ$13,'6-Ⅰ①'!$M$3:$AE$16,10,FALSE)+HLOOKUP($AJ$14,'6-Ⅰ①'!$M$3:$AE$16,10,FALSE)</f>
        <v>34</v>
      </c>
      <c r="F20" s="597">
        <f>HLOOKUP($AJ$15,'6-Ⅰ①'!$M$3:$AE$16,10,FALSE)+HLOOKUP($AJ$16,'6-Ⅰ①'!$M$3:$AE$16,10,FALSE)</f>
        <v>66</v>
      </c>
      <c r="G20" s="597">
        <f>HLOOKUP($AJ$17,'6-Ⅰ①'!$M$3:$AE$16,10,FALSE)+HLOOKUP($AJ$18,'6-Ⅰ①'!$M$3:$AE$16,10,FALSE)+HLOOKUP($AJ$19,'6-Ⅰ①'!$M$3:$AE$16,10,FALSE)</f>
        <v>388</v>
      </c>
      <c r="H20" s="597">
        <f>HLOOKUP($AJ$20,'6-Ⅰ①'!$M$3:$AE$16,10,FALSE)</f>
        <v>0</v>
      </c>
      <c r="I20" s="597">
        <f>HLOOKUP($AJ$21,'6-Ⅰ①'!$M$3:$AE$16,10,FALSE)</f>
        <v>86</v>
      </c>
      <c r="J20" s="599">
        <f>SUM(B20:I20)</f>
        <v>813</v>
      </c>
      <c r="AJ20" s="810" t="s">
        <v>393</v>
      </c>
      <c r="AL20" s="810"/>
    </row>
    <row r="21" spans="1:38" ht="18.75" customHeight="1" x14ac:dyDescent="0.2">
      <c r="A21" s="1063"/>
      <c r="B21" s="598">
        <f t="shared" ref="B21:J21" si="9">B20/B$24</f>
        <v>4.6019900497512436E-2</v>
      </c>
      <c r="C21" s="598">
        <f t="shared" si="9"/>
        <v>6.0672917815774961E-2</v>
      </c>
      <c r="D21" s="598">
        <f t="shared" si="9"/>
        <v>4.1260315078769691E-2</v>
      </c>
      <c r="E21" s="598">
        <f t="shared" si="9"/>
        <v>2.7937551355792935E-2</v>
      </c>
      <c r="F21" s="598">
        <f t="shared" si="9"/>
        <v>5.3877551020408164E-2</v>
      </c>
      <c r="G21" s="598">
        <f t="shared" si="9"/>
        <v>8.234295415959253E-2</v>
      </c>
      <c r="H21" s="598">
        <f t="shared" si="9"/>
        <v>0</v>
      </c>
      <c r="I21" s="598">
        <f t="shared" si="9"/>
        <v>4.4513457556935816E-2</v>
      </c>
      <c r="J21" s="598">
        <f t="shared" si="9"/>
        <v>5.80424073677447E-2</v>
      </c>
      <c r="AJ21" s="810" t="s">
        <v>394</v>
      </c>
      <c r="AL21" s="810"/>
    </row>
    <row r="22" spans="1:38" ht="18.75" customHeight="1" x14ac:dyDescent="0.2">
      <c r="A22" s="1062" t="s">
        <v>347</v>
      </c>
      <c r="B22" s="597">
        <v>0</v>
      </c>
      <c r="C22" s="597">
        <v>0</v>
      </c>
      <c r="D22" s="597">
        <v>0</v>
      </c>
      <c r="E22" s="597">
        <v>0</v>
      </c>
      <c r="F22" s="597">
        <v>0</v>
      </c>
      <c r="G22" s="597">
        <v>0</v>
      </c>
      <c r="H22" s="597">
        <v>0</v>
      </c>
      <c r="I22" s="597">
        <v>0</v>
      </c>
      <c r="J22" s="599">
        <f>SUM(B22:I22)</f>
        <v>0</v>
      </c>
    </row>
    <row r="23" spans="1:38" x14ac:dyDescent="0.2">
      <c r="A23" s="1063"/>
      <c r="B23" s="598">
        <f t="shared" ref="B23:J23" si="10">B22/B$24</f>
        <v>0</v>
      </c>
      <c r="C23" s="598">
        <f t="shared" si="10"/>
        <v>0</v>
      </c>
      <c r="D23" s="598">
        <f t="shared" si="10"/>
        <v>0</v>
      </c>
      <c r="E23" s="598">
        <f t="shared" si="10"/>
        <v>0</v>
      </c>
      <c r="F23" s="598">
        <f t="shared" si="10"/>
        <v>0</v>
      </c>
      <c r="G23" s="598">
        <f t="shared" si="10"/>
        <v>0</v>
      </c>
      <c r="H23" s="598">
        <f t="shared" si="10"/>
        <v>0</v>
      </c>
      <c r="I23" s="598">
        <f t="shared" si="10"/>
        <v>0</v>
      </c>
      <c r="J23" s="598">
        <f t="shared" si="10"/>
        <v>0</v>
      </c>
    </row>
    <row r="24" spans="1:38" x14ac:dyDescent="0.2">
      <c r="A24" s="1064" t="s">
        <v>149</v>
      </c>
      <c r="B24" s="360">
        <f>SUM(M13:O13)</f>
        <v>1608</v>
      </c>
      <c r="C24" s="360">
        <f>SUM(P13:Q13)</f>
        <v>1813</v>
      </c>
      <c r="D24" s="360">
        <f>SUM(R13:U13)</f>
        <v>1333</v>
      </c>
      <c r="E24" s="360">
        <f>SUM(V13:X13)</f>
        <v>1217</v>
      </c>
      <c r="F24" s="360">
        <f>SUM(Y13:Z13)</f>
        <v>1225</v>
      </c>
      <c r="G24" s="360">
        <f>SUM(AA13:AC13)</f>
        <v>4712</v>
      </c>
      <c r="H24" s="360">
        <f>AD13</f>
        <v>167</v>
      </c>
      <c r="I24" s="360">
        <f>AE13</f>
        <v>1932</v>
      </c>
      <c r="J24" s="361">
        <f>SUM(B24:I24)</f>
        <v>14007</v>
      </c>
    </row>
    <row r="25" spans="1:38" x14ac:dyDescent="0.2">
      <c r="A25" s="1065"/>
      <c r="B25" s="362">
        <f t="shared" ref="B25:J25" si="11">SUM(B5,B7,B9,B11,B13,B15,B17,B19,B21)</f>
        <v>1</v>
      </c>
      <c r="C25" s="362">
        <f t="shared" si="11"/>
        <v>1</v>
      </c>
      <c r="D25" s="362">
        <f t="shared" si="11"/>
        <v>1</v>
      </c>
      <c r="E25" s="362">
        <f t="shared" si="11"/>
        <v>1</v>
      </c>
      <c r="F25" s="362">
        <f t="shared" si="11"/>
        <v>1</v>
      </c>
      <c r="G25" s="362">
        <f t="shared" si="11"/>
        <v>1</v>
      </c>
      <c r="H25" s="362">
        <f t="shared" si="11"/>
        <v>0.99999999999999989</v>
      </c>
      <c r="I25" s="362">
        <f t="shared" si="11"/>
        <v>1</v>
      </c>
      <c r="J25" s="362">
        <f t="shared" si="11"/>
        <v>0.99999999999999989</v>
      </c>
    </row>
    <row r="26" spans="1:38" x14ac:dyDescent="0.2">
      <c r="A26" s="1062" t="s">
        <v>503</v>
      </c>
      <c r="B26" s="599">
        <f>HLOOKUP($AJ$3,'6-Ⅰ①'!$M$3:$AE$16,13,FALSE)+HLOOKUP($AJ$4,'6-Ⅰ①'!$M$3:$AE$16,13,FALSE)+HLOOKUP($AJ$5,'6-Ⅰ①'!$M$3:$AE$16,13,FALSE)</f>
        <v>625</v>
      </c>
      <c r="C26" s="599">
        <f>HLOOKUP($AJ$6,'6-Ⅰ①'!$M$3:$AE$16,13,FALSE)+HLOOKUP($AJ$7,'6-Ⅰ①'!$M$3:$AE$16,13,FALSE)</f>
        <v>608</v>
      </c>
      <c r="D26" s="599">
        <f>HLOOKUP($AJ$8,'6-Ⅰ①'!$M$3:$AE$16,13,FALSE)+HLOOKUP($AJ$9,'6-Ⅰ①'!$M$3:$AE$16,13,FALSE)+HLOOKUP($AJ$10,'6-Ⅰ①'!$M$3:$AE$16,13,FALSE)+HLOOKUP($AJ$11,'6-Ⅰ①'!$M$3:$AE$16,13,FALSE)</f>
        <v>604</v>
      </c>
      <c r="E26" s="599">
        <f>HLOOKUP($AJ$12,'6-Ⅰ①'!$M$3:$AE$16,13,FALSE)+HLOOKUP($AJ$13,'6-Ⅰ①'!$M$3:$AE$16,13,FALSE)+HLOOKUP($AJ$14,'6-Ⅰ①'!$M$3:$AE$16,13,FALSE)</f>
        <v>568</v>
      </c>
      <c r="F26" s="599">
        <f>HLOOKUP($AJ$15,'6-Ⅰ①'!$M$3:$AE$16,13,FALSE)+HLOOKUP($AJ$16,'6-Ⅰ①'!$M$3:$AE$16,13,FALSE)</f>
        <v>503</v>
      </c>
      <c r="G26" s="599">
        <f>HLOOKUP($AJ$17,'6-Ⅰ①'!$M$3:$AE$16,13,FALSE)+HLOOKUP($AJ$18,'6-Ⅰ①'!$M$3:$AE$16,13,FALSE)+HLOOKUP($AJ$19,'6-Ⅰ①'!$M$3:$AE$16,13,FALSE)</f>
        <v>1548</v>
      </c>
      <c r="H26" s="599">
        <f>HLOOKUP($AJ$20,'6-Ⅰ①'!$M$3:$AE$16,13,FALSE)</f>
        <v>130</v>
      </c>
      <c r="I26" s="599">
        <f>HLOOKUP($AJ$21,'6-Ⅰ①'!$M$3:$AE$16,13,FALSE)</f>
        <v>905</v>
      </c>
      <c r="J26" s="599">
        <f>SUM(B26:I26)</f>
        <v>5491</v>
      </c>
    </row>
    <row r="27" spans="1:38" x14ac:dyDescent="0.2">
      <c r="A27" s="1063"/>
      <c r="B27" s="822">
        <f t="shared" ref="B27:J27" si="12">B26/B$24</f>
        <v>0.38868159203980102</v>
      </c>
      <c r="C27" s="822">
        <f t="shared" si="12"/>
        <v>0.33535576392719252</v>
      </c>
      <c r="D27" s="822">
        <f t="shared" si="12"/>
        <v>0.45311327831957987</v>
      </c>
      <c r="E27" s="822">
        <f t="shared" si="12"/>
        <v>0.46672144617912903</v>
      </c>
      <c r="F27" s="822">
        <f t="shared" si="12"/>
        <v>0.41061224489795917</v>
      </c>
      <c r="G27" s="822">
        <f t="shared" si="12"/>
        <v>0.32852292020373514</v>
      </c>
      <c r="H27" s="822">
        <f t="shared" si="12"/>
        <v>0.77844311377245512</v>
      </c>
      <c r="I27" s="822">
        <f t="shared" si="12"/>
        <v>0.46842650103519667</v>
      </c>
      <c r="J27" s="822">
        <f t="shared" si="12"/>
        <v>0.39201827657599769</v>
      </c>
    </row>
    <row r="28" spans="1:38" x14ac:dyDescent="0.2">
      <c r="A28" s="1062" t="s">
        <v>83</v>
      </c>
      <c r="B28" s="597">
        <f>HLOOKUP($AJ$3,'6-Ⅰ①'!$M$3:$AE$16,14,FALSE)+HLOOKUP($AJ$4,'6-Ⅰ①'!$M$3:$AE$16,14,FALSE)+HLOOKUP($AJ$5,'6-Ⅰ①'!$M$3:$AE$16,14,FALSE)</f>
        <v>983</v>
      </c>
      <c r="C28" s="597">
        <f>HLOOKUP($AJ$6,'6-Ⅰ①'!$M$3:$AE$16,14,FALSE)+HLOOKUP($AJ$7,'6-Ⅰ①'!$M$3:$AE$16,14,FALSE)</f>
        <v>1205</v>
      </c>
      <c r="D28" s="597">
        <f>HLOOKUP($AJ$8,'6-Ⅰ①'!$M$3:$AE$16,14,FALSE)+HLOOKUP($AJ$9,'6-Ⅰ①'!$M$3:$AE$16,14,FALSE)+HLOOKUP($AJ$10,'6-Ⅰ①'!$M$3:$AE$16,14,FALSE)+HLOOKUP($AJ$11,'6-Ⅰ①'!$M$3:$AE$16,14,FALSE)</f>
        <v>729</v>
      </c>
      <c r="E28" s="597">
        <f>HLOOKUP($AJ$12,'6-Ⅰ①'!$M$3:$AE$16,14,FALSE)+HLOOKUP($AJ$13,'6-Ⅰ①'!$M$3:$AE$16,14,FALSE)+HLOOKUP($AJ$14,'6-Ⅰ①'!$M$3:$AE$16,14,FALSE)</f>
        <v>649</v>
      </c>
      <c r="F28" s="597">
        <f>HLOOKUP($AJ$15,'6-Ⅰ①'!$M$3:$AE$16,14,FALSE)+HLOOKUP($AJ$16,'6-Ⅰ①'!$M$3:$AE$16,14,FALSE)</f>
        <v>722</v>
      </c>
      <c r="G28" s="597">
        <f>HLOOKUP($AJ$17,'6-Ⅰ①'!$M$3:$AE$16,14,FALSE)+HLOOKUP($AJ$18,'6-Ⅰ①'!$M$3:$AE$16,14,FALSE)+HLOOKUP($AJ$19,'6-Ⅰ①'!$M$3:$AE$16,14,FALSE)</f>
        <v>3164</v>
      </c>
      <c r="H28" s="597">
        <f>HLOOKUP($AJ$20,'6-Ⅰ①'!$M$3:$AE$16,14,FALSE)</f>
        <v>37</v>
      </c>
      <c r="I28" s="597">
        <f>HLOOKUP($AJ$21,'6-Ⅰ①'!$M$3:$AE$16,14,FALSE)</f>
        <v>1027</v>
      </c>
      <c r="J28" s="599">
        <f>SUM(B28:I28)</f>
        <v>8516</v>
      </c>
    </row>
    <row r="29" spans="1:38" x14ac:dyDescent="0.2">
      <c r="A29" s="1063"/>
      <c r="B29" s="822">
        <f t="shared" ref="B29:J29" si="13">B28/B$24</f>
        <v>0.61131840796019898</v>
      </c>
      <c r="C29" s="822">
        <f t="shared" si="13"/>
        <v>0.66464423607280754</v>
      </c>
      <c r="D29" s="822">
        <f t="shared" si="13"/>
        <v>0.54688672168042007</v>
      </c>
      <c r="E29" s="822">
        <f t="shared" si="13"/>
        <v>0.53327855382087097</v>
      </c>
      <c r="F29" s="822">
        <f t="shared" si="13"/>
        <v>0.58938775510204078</v>
      </c>
      <c r="G29" s="822">
        <f t="shared" si="13"/>
        <v>0.67147707979626481</v>
      </c>
      <c r="H29" s="822">
        <f t="shared" si="13"/>
        <v>0.22155688622754491</v>
      </c>
      <c r="I29" s="822">
        <f t="shared" si="13"/>
        <v>0.53157349896480333</v>
      </c>
      <c r="J29" s="822">
        <f t="shared" si="13"/>
        <v>0.60798172342400225</v>
      </c>
    </row>
    <row r="30" spans="1:38" x14ac:dyDescent="0.2">
      <c r="A30" s="1062" t="s">
        <v>347</v>
      </c>
      <c r="B30" s="597">
        <v>0</v>
      </c>
      <c r="C30" s="597">
        <v>0</v>
      </c>
      <c r="D30" s="597">
        <v>0</v>
      </c>
      <c r="E30" s="597">
        <v>0</v>
      </c>
      <c r="F30" s="597">
        <v>0</v>
      </c>
      <c r="G30" s="597">
        <v>0</v>
      </c>
      <c r="H30" s="597">
        <v>0</v>
      </c>
      <c r="I30" s="597">
        <v>0</v>
      </c>
      <c r="J30" s="599">
        <f>SUM(B30:I30)</f>
        <v>0</v>
      </c>
    </row>
    <row r="31" spans="1:38" x14ac:dyDescent="0.2">
      <c r="A31" s="1063"/>
      <c r="B31" s="598">
        <f t="shared" ref="B31:J31" si="14">B30/B$24</f>
        <v>0</v>
      </c>
      <c r="C31" s="598">
        <f t="shared" si="14"/>
        <v>0</v>
      </c>
      <c r="D31" s="598">
        <f t="shared" si="14"/>
        <v>0</v>
      </c>
      <c r="E31" s="598">
        <f t="shared" si="14"/>
        <v>0</v>
      </c>
      <c r="F31" s="598">
        <f t="shared" si="14"/>
        <v>0</v>
      </c>
      <c r="G31" s="598">
        <f t="shared" si="14"/>
        <v>0</v>
      </c>
      <c r="H31" s="598">
        <f t="shared" si="14"/>
        <v>0</v>
      </c>
      <c r="I31" s="598">
        <f t="shared" si="14"/>
        <v>0</v>
      </c>
      <c r="J31" s="598">
        <f t="shared" si="14"/>
        <v>0</v>
      </c>
    </row>
  </sheetData>
  <mergeCells count="14">
    <mergeCell ref="A14:A15"/>
    <mergeCell ref="A4:A5"/>
    <mergeCell ref="A6:A7"/>
    <mergeCell ref="A8:A9"/>
    <mergeCell ref="A10:A11"/>
    <mergeCell ref="A12:A13"/>
    <mergeCell ref="A28:A29"/>
    <mergeCell ref="A30:A31"/>
    <mergeCell ref="A16:A17"/>
    <mergeCell ref="A18:A19"/>
    <mergeCell ref="A20:A21"/>
    <mergeCell ref="A22:A23"/>
    <mergeCell ref="A24:A25"/>
    <mergeCell ref="A26:A27"/>
  </mergeCells>
  <phoneticPr fontId="2"/>
  <printOptions horizontalCentered="1"/>
  <pageMargins left="0.70866141732283472" right="0.70866141732283472" top="0.74803149606299213" bottom="0.74803149606299213"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4209" r:id="rId4" name="Button 1">
              <controlPr defaultSize="0" print="0" autoFill="0" autoPict="0" macro="[0]!データ削除_年齢区分病院圏域">
                <anchor moveWithCells="1" sizeWithCells="1">
                  <from>
                    <xdr:col>11</xdr:col>
                    <xdr:colOff>541020</xdr:colOff>
                    <xdr:row>17</xdr:row>
                    <xdr:rowOff>182880</xdr:rowOff>
                  </from>
                  <to>
                    <xdr:col>13</xdr:col>
                    <xdr:colOff>685800</xdr:colOff>
                    <xdr:row>20</xdr:row>
                    <xdr:rowOff>53340</xdr:rowOff>
                  </to>
                </anchor>
              </controlPr>
            </control>
          </mc:Choice>
        </mc:AlternateContent>
      </controls>
    </mc:Choice>
  </mc:AlternateContent>
  <tableParts count="2">
    <tablePart r:id="rId5"/>
    <tablePart r:id="rId6"/>
  </tablePart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68B11-37FE-4EA8-A0F7-3BE56E56C125}">
  <sheetPr codeName="Sheet33">
    <tabColor theme="9" tint="-0.499984740745262"/>
    <pageSetUpPr fitToPage="1"/>
  </sheetPr>
  <dimension ref="A1:AY22"/>
  <sheetViews>
    <sheetView showGridLines="0" view="pageBreakPreview" zoomScale="90" zoomScaleNormal="70" zoomScaleSheetLayoutView="90" workbookViewId="0"/>
  </sheetViews>
  <sheetFormatPr defaultColWidth="13.77734375" defaultRowHeight="17.399999999999999" x14ac:dyDescent="0.2"/>
  <cols>
    <col min="1" max="1" width="15.6640625" style="676" customWidth="1"/>
    <col min="2" max="10" width="8.77734375" style="676" customWidth="1"/>
    <col min="11" max="11" width="7.6640625" style="676" customWidth="1"/>
    <col min="12" max="12" width="5.33203125" style="676" hidden="1" customWidth="1"/>
    <col min="13" max="32" width="9.21875" style="676" hidden="1" customWidth="1"/>
    <col min="33" max="33" width="8.33203125" style="676" hidden="1" customWidth="1"/>
    <col min="34" max="50" width="8.33203125" style="676" customWidth="1"/>
    <col min="51" max="51" width="7" style="676" customWidth="1"/>
    <col min="52" max="16384" width="13.77734375" style="676"/>
  </cols>
  <sheetData>
    <row r="1" spans="1:51" s="677" customFormat="1" ht="19.2" x14ac:dyDescent="0.2">
      <c r="A1" s="2" t="s">
        <v>504</v>
      </c>
    </row>
    <row r="2" spans="1:51" ht="18" thickBot="1" x14ac:dyDescent="0.25">
      <c r="A2" s="4"/>
    </row>
    <row r="3" spans="1:51" ht="18.75" customHeight="1" thickTop="1" thickBot="1" x14ac:dyDescent="0.25">
      <c r="A3" s="359"/>
      <c r="B3" s="359" t="s">
        <v>356</v>
      </c>
      <c r="C3" s="359" t="s">
        <v>357</v>
      </c>
      <c r="D3" s="359" t="s">
        <v>358</v>
      </c>
      <c r="E3" s="359" t="s">
        <v>359</v>
      </c>
      <c r="F3" s="359" t="s">
        <v>360</v>
      </c>
      <c r="G3" s="359" t="s">
        <v>361</v>
      </c>
      <c r="H3" s="359" t="s">
        <v>362</v>
      </c>
      <c r="I3" s="359" t="s">
        <v>363</v>
      </c>
      <c r="J3" s="359" t="s">
        <v>61</v>
      </c>
      <c r="L3" s="823"/>
      <c r="M3" s="824" t="s">
        <v>436</v>
      </c>
      <c r="N3" s="805" t="s">
        <v>364</v>
      </c>
      <c r="O3" s="805" t="s">
        <v>365</v>
      </c>
      <c r="P3" s="805" t="s">
        <v>366</v>
      </c>
      <c r="Q3" s="805" t="s">
        <v>367</v>
      </c>
      <c r="R3" s="805" t="s">
        <v>368</v>
      </c>
      <c r="S3" s="805" t="s">
        <v>369</v>
      </c>
      <c r="T3" s="805" t="s">
        <v>370</v>
      </c>
      <c r="U3" s="805" t="s">
        <v>371</v>
      </c>
      <c r="V3" s="805" t="s">
        <v>372</v>
      </c>
      <c r="W3" s="805" t="s">
        <v>373</v>
      </c>
      <c r="X3" s="805" t="s">
        <v>386</v>
      </c>
      <c r="Y3" s="805" t="s">
        <v>387</v>
      </c>
      <c r="Z3" s="805" t="s">
        <v>388</v>
      </c>
      <c r="AA3" s="805" t="s">
        <v>389</v>
      </c>
      <c r="AB3" s="805" t="s">
        <v>390</v>
      </c>
      <c r="AC3" s="805" t="s">
        <v>391</v>
      </c>
      <c r="AD3" s="805" t="s">
        <v>392</v>
      </c>
      <c r="AE3" s="805" t="s">
        <v>393</v>
      </c>
      <c r="AF3" s="805" t="s">
        <v>394</v>
      </c>
      <c r="AG3" s="365"/>
      <c r="AH3" s="365"/>
      <c r="AI3" s="365"/>
      <c r="AJ3" s="365"/>
      <c r="AK3" s="365"/>
      <c r="AL3" s="365"/>
      <c r="AM3" s="365"/>
      <c r="AN3" s="365"/>
      <c r="AO3" s="365"/>
      <c r="AP3" s="365"/>
      <c r="AQ3" s="365"/>
      <c r="AR3" s="365"/>
      <c r="AS3" s="365"/>
      <c r="AT3" s="365"/>
      <c r="AU3" s="365"/>
      <c r="AV3" s="365"/>
      <c r="AW3" s="365"/>
      <c r="AX3" s="365"/>
      <c r="AY3" s="805"/>
    </row>
    <row r="4" spans="1:51" ht="18.75" customHeight="1" thickTop="1" x14ac:dyDescent="0.2">
      <c r="A4" s="804" t="s">
        <v>505</v>
      </c>
      <c r="B4" s="597">
        <f>SUM(N4:P5)</f>
        <v>5</v>
      </c>
      <c r="C4" s="597">
        <f>SUM(Q4:R5)</f>
        <v>0</v>
      </c>
      <c r="D4" s="597">
        <f>SUM(S4:V5)</f>
        <v>9</v>
      </c>
      <c r="E4" s="597">
        <f>SUM(W4:Y5)</f>
        <v>2</v>
      </c>
      <c r="F4" s="597">
        <f>SUM(Z4:AA5)</f>
        <v>3</v>
      </c>
      <c r="G4" s="597">
        <f>SUM(AB4:AD5)</f>
        <v>6</v>
      </c>
      <c r="H4" s="597">
        <f>SUM(AE4:AE5)</f>
        <v>5</v>
      </c>
      <c r="I4" s="597">
        <f>SUM(AF4:AF5)</f>
        <v>11</v>
      </c>
      <c r="J4" s="599">
        <f>SUM(B4:I4)</f>
        <v>41</v>
      </c>
      <c r="L4" s="825"/>
      <c r="M4" s="826" t="s">
        <v>659</v>
      </c>
      <c r="N4" s="827"/>
      <c r="O4" s="827">
        <v>5</v>
      </c>
      <c r="P4" s="827"/>
      <c r="Q4" s="827"/>
      <c r="R4" s="827"/>
      <c r="S4" s="827">
        <v>8</v>
      </c>
      <c r="T4" s="827">
        <v>1</v>
      </c>
      <c r="U4" s="827"/>
      <c r="V4" s="827"/>
      <c r="W4" s="827"/>
      <c r="X4" s="827"/>
      <c r="Y4" s="827">
        <v>2</v>
      </c>
      <c r="Z4" s="827"/>
      <c r="AA4" s="827">
        <v>3</v>
      </c>
      <c r="AB4" s="827">
        <v>3</v>
      </c>
      <c r="AC4" s="827">
        <v>2</v>
      </c>
      <c r="AD4" s="827">
        <v>1</v>
      </c>
      <c r="AE4" s="827">
        <v>5</v>
      </c>
      <c r="AF4" s="827">
        <v>11</v>
      </c>
      <c r="AG4" s="350"/>
    </row>
    <row r="5" spans="1:51" ht="18.75" customHeight="1" x14ac:dyDescent="0.2">
      <c r="A5" s="620" t="s">
        <v>506</v>
      </c>
      <c r="B5" s="598">
        <f>B4/B$14</f>
        <v>3.1094527363184081E-3</v>
      </c>
      <c r="C5" s="598">
        <f t="shared" ref="C5:J5" si="0">C4/C$14</f>
        <v>0</v>
      </c>
      <c r="D5" s="598">
        <f t="shared" si="0"/>
        <v>6.7516879219804947E-3</v>
      </c>
      <c r="E5" s="598">
        <f t="shared" si="0"/>
        <v>1.6433853738701725E-3</v>
      </c>
      <c r="F5" s="598">
        <f t="shared" si="0"/>
        <v>2.4489795918367346E-3</v>
      </c>
      <c r="G5" s="598">
        <f t="shared" si="0"/>
        <v>1.2733446519524619E-3</v>
      </c>
      <c r="H5" s="598">
        <f t="shared" si="0"/>
        <v>2.9940119760479042E-2</v>
      </c>
      <c r="I5" s="598">
        <f t="shared" si="0"/>
        <v>5.693581780538302E-3</v>
      </c>
      <c r="J5" s="598">
        <f t="shared" si="0"/>
        <v>2.9271078746341116E-3</v>
      </c>
      <c r="L5" s="825"/>
      <c r="M5" s="827" t="s">
        <v>726</v>
      </c>
      <c r="N5" s="827"/>
      <c r="O5" s="827"/>
      <c r="P5" s="827"/>
      <c r="Q5" s="827"/>
      <c r="R5" s="827"/>
      <c r="S5" s="827"/>
      <c r="T5" s="827"/>
      <c r="U5" s="827"/>
      <c r="V5" s="827"/>
      <c r="W5" s="827"/>
      <c r="X5" s="827"/>
      <c r="Y5" s="827"/>
      <c r="Z5" s="827"/>
      <c r="AA5" s="827"/>
      <c r="AB5" s="827"/>
      <c r="AC5" s="827"/>
      <c r="AD5" s="827"/>
      <c r="AE5" s="827"/>
      <c r="AF5" s="827"/>
      <c r="AG5" s="350"/>
    </row>
    <row r="6" spans="1:51" ht="18.75" customHeight="1" x14ac:dyDescent="0.2">
      <c r="A6" s="1062" t="s">
        <v>15</v>
      </c>
      <c r="B6" s="597">
        <f>SUM(入院形態病院圏域[[#This Row],[01豊能北]:[03豊能吹田]])</f>
        <v>669</v>
      </c>
      <c r="C6" s="597">
        <f>SUM(入院形態病院圏域[[#This Row],[04三島]:[05三島高槻]])</f>
        <v>1130</v>
      </c>
      <c r="D6" s="597">
        <f>SUM(入院形態病院圏域[[#This Row],[06北河内枚方]:[09北河内東]])</f>
        <v>791</v>
      </c>
      <c r="E6" s="597">
        <f>SUM(入院形態病院圏域[[#This Row],[10中河内東大阪]:[12中河内南]])</f>
        <v>611</v>
      </c>
      <c r="F6" s="597">
        <f>SUM(入院形態病院圏域[[#This Row],[13南河内北]:[14南河内南]])</f>
        <v>465</v>
      </c>
      <c r="G6" s="597">
        <f>SUM(入院形態病院圏域[[#This Row],[15泉州北]:[17泉州南]])</f>
        <v>1596</v>
      </c>
      <c r="H6" s="597">
        <f>入院形態病院圏域[[#This Row],[18大阪市]]</f>
        <v>73</v>
      </c>
      <c r="I6" s="597">
        <f>入院形態病院圏域[[#This Row],[19堺市]]</f>
        <v>1096</v>
      </c>
      <c r="J6" s="599">
        <f>SUM(B6:I6)</f>
        <v>6431</v>
      </c>
      <c r="L6" s="825"/>
      <c r="M6" s="827" t="s">
        <v>15</v>
      </c>
      <c r="N6" s="827">
        <v>225</v>
      </c>
      <c r="O6" s="827">
        <v>349</v>
      </c>
      <c r="P6" s="827">
        <v>95</v>
      </c>
      <c r="Q6" s="827">
        <v>793</v>
      </c>
      <c r="R6" s="827">
        <v>337</v>
      </c>
      <c r="S6" s="827">
        <v>459</v>
      </c>
      <c r="T6" s="827">
        <v>159</v>
      </c>
      <c r="U6" s="827">
        <v>107</v>
      </c>
      <c r="V6" s="827">
        <v>66</v>
      </c>
      <c r="W6" s="827">
        <v>342</v>
      </c>
      <c r="X6" s="827">
        <v>159</v>
      </c>
      <c r="Y6" s="827">
        <v>110</v>
      </c>
      <c r="Z6" s="827">
        <v>126</v>
      </c>
      <c r="AA6" s="827">
        <v>339</v>
      </c>
      <c r="AB6" s="827">
        <v>432</v>
      </c>
      <c r="AC6" s="827">
        <v>618</v>
      </c>
      <c r="AD6" s="827">
        <v>546</v>
      </c>
      <c r="AE6" s="827">
        <v>73</v>
      </c>
      <c r="AF6" s="827">
        <v>1096</v>
      </c>
      <c r="AG6" s="350"/>
    </row>
    <row r="7" spans="1:51" ht="18.75" customHeight="1" x14ac:dyDescent="0.2">
      <c r="A7" s="1063"/>
      <c r="B7" s="598">
        <f>B6/B$14</f>
        <v>0.41604477611940299</v>
      </c>
      <c r="C7" s="598">
        <f t="shared" ref="C7:J7" si="1">C6/C$14</f>
        <v>0.62327633756205181</v>
      </c>
      <c r="D7" s="598">
        <f t="shared" si="1"/>
        <v>0.5933983495873969</v>
      </c>
      <c r="E7" s="598">
        <f t="shared" si="1"/>
        <v>0.50205423171733776</v>
      </c>
      <c r="F7" s="598">
        <f t="shared" si="1"/>
        <v>0.37959183673469388</v>
      </c>
      <c r="G7" s="598">
        <f t="shared" si="1"/>
        <v>0.33870967741935482</v>
      </c>
      <c r="H7" s="598">
        <f t="shared" si="1"/>
        <v>0.43712574850299402</v>
      </c>
      <c r="I7" s="598">
        <f t="shared" si="1"/>
        <v>0.56728778467908902</v>
      </c>
      <c r="J7" s="598">
        <f t="shared" si="1"/>
        <v>0.45912757906760904</v>
      </c>
      <c r="L7" s="825"/>
      <c r="M7" s="827" t="s">
        <v>16</v>
      </c>
      <c r="N7" s="827">
        <v>299</v>
      </c>
      <c r="O7" s="827">
        <v>469</v>
      </c>
      <c r="P7" s="827">
        <v>166</v>
      </c>
      <c r="Q7" s="827">
        <v>403</v>
      </c>
      <c r="R7" s="827">
        <v>279</v>
      </c>
      <c r="S7" s="827">
        <v>224</v>
      </c>
      <c r="T7" s="827">
        <v>48</v>
      </c>
      <c r="U7" s="827">
        <v>124</v>
      </c>
      <c r="V7" s="827">
        <v>107</v>
      </c>
      <c r="W7" s="827">
        <v>361</v>
      </c>
      <c r="X7" s="827">
        <v>184</v>
      </c>
      <c r="Y7" s="827">
        <v>56</v>
      </c>
      <c r="Z7" s="827">
        <v>300</v>
      </c>
      <c r="AA7" s="827">
        <v>457</v>
      </c>
      <c r="AB7" s="827">
        <v>1163</v>
      </c>
      <c r="AC7" s="827">
        <v>1369</v>
      </c>
      <c r="AD7" s="827">
        <v>577</v>
      </c>
      <c r="AE7" s="827">
        <v>89</v>
      </c>
      <c r="AF7" s="827">
        <v>823</v>
      </c>
      <c r="AG7" s="350"/>
    </row>
    <row r="8" spans="1:51" ht="18.75" customHeight="1" x14ac:dyDescent="0.2">
      <c r="A8" s="1062" t="s">
        <v>16</v>
      </c>
      <c r="B8" s="597">
        <f>SUM(N7:P7)</f>
        <v>934</v>
      </c>
      <c r="C8" s="597">
        <f>SUM(Q7:R7)</f>
        <v>682</v>
      </c>
      <c r="D8" s="597">
        <f>SUM(S7:V7)</f>
        <v>503</v>
      </c>
      <c r="E8" s="597">
        <f>SUM(W7:Y7)</f>
        <v>601</v>
      </c>
      <c r="F8" s="597">
        <f>SUM(Z7:AA7)</f>
        <v>757</v>
      </c>
      <c r="G8" s="597">
        <f>SUM(AB7:AD7)</f>
        <v>3109</v>
      </c>
      <c r="H8" s="597">
        <f>AE7</f>
        <v>89</v>
      </c>
      <c r="I8" s="597">
        <f>AF7</f>
        <v>823</v>
      </c>
      <c r="J8" s="599">
        <f>SUM(B8:I8)</f>
        <v>7498</v>
      </c>
      <c r="L8" s="825"/>
      <c r="M8" s="827" t="s">
        <v>17</v>
      </c>
      <c r="N8" s="827"/>
      <c r="O8" s="827"/>
      <c r="P8" s="827"/>
      <c r="Q8" s="827"/>
      <c r="R8" s="827"/>
      <c r="S8" s="827"/>
      <c r="T8" s="827"/>
      <c r="U8" s="827"/>
      <c r="V8" s="827"/>
      <c r="W8" s="827">
        <v>1</v>
      </c>
      <c r="X8" s="827"/>
      <c r="Y8" s="827"/>
      <c r="Z8" s="827"/>
      <c r="AA8" s="827"/>
      <c r="AB8" s="827">
        <v>1</v>
      </c>
      <c r="AC8" s="827"/>
      <c r="AD8" s="827"/>
      <c r="AE8" s="827"/>
      <c r="AF8" s="827">
        <v>1</v>
      </c>
      <c r="AG8" s="350"/>
    </row>
    <row r="9" spans="1:51" ht="18.75" customHeight="1" x14ac:dyDescent="0.2">
      <c r="A9" s="1063"/>
      <c r="B9" s="598">
        <f>B8/B$14</f>
        <v>0.5808457711442786</v>
      </c>
      <c r="C9" s="598">
        <f t="shared" ref="C9:J9" si="2">C8/C$14</f>
        <v>0.37617209045780475</v>
      </c>
      <c r="D9" s="598">
        <f t="shared" si="2"/>
        <v>0.37734433608402101</v>
      </c>
      <c r="E9" s="598">
        <f t="shared" si="2"/>
        <v>0.49383730484798688</v>
      </c>
      <c r="F9" s="598">
        <f t="shared" si="2"/>
        <v>0.61795918367346936</v>
      </c>
      <c r="G9" s="598">
        <f t="shared" si="2"/>
        <v>0.65980475382003401</v>
      </c>
      <c r="H9" s="598">
        <f t="shared" si="2"/>
        <v>0.53293413173652693</v>
      </c>
      <c r="I9" s="598">
        <f t="shared" si="2"/>
        <v>0.42598343685300205</v>
      </c>
      <c r="J9" s="598">
        <f t="shared" si="2"/>
        <v>0.53530377668308704</v>
      </c>
      <c r="L9" s="825"/>
      <c r="M9" s="827" t="s">
        <v>660</v>
      </c>
      <c r="N9" s="827"/>
      <c r="O9" s="827"/>
      <c r="P9" s="827"/>
      <c r="Q9" s="827"/>
      <c r="R9" s="827">
        <v>1</v>
      </c>
      <c r="S9" s="827">
        <v>1</v>
      </c>
      <c r="T9" s="827"/>
      <c r="U9" s="827"/>
      <c r="V9" s="827"/>
      <c r="W9" s="827"/>
      <c r="X9" s="827"/>
      <c r="Y9" s="827">
        <v>2</v>
      </c>
      <c r="Z9" s="827"/>
      <c r="AA9" s="827"/>
      <c r="AB9" s="827"/>
      <c r="AC9" s="827"/>
      <c r="AD9" s="827"/>
      <c r="AE9" s="827"/>
      <c r="AF9" s="827">
        <v>1</v>
      </c>
      <c r="AG9" s="350"/>
    </row>
    <row r="10" spans="1:51" ht="18.75" customHeight="1" x14ac:dyDescent="0.2">
      <c r="A10" s="1062" t="s">
        <v>17</v>
      </c>
      <c r="B10" s="597">
        <f>SUM(N8:P8)</f>
        <v>0</v>
      </c>
      <c r="C10" s="597">
        <f>SUM(Q8:R8)</f>
        <v>0</v>
      </c>
      <c r="D10" s="597">
        <f>SUM(S8:V8)</f>
        <v>0</v>
      </c>
      <c r="E10" s="597">
        <f>SUM(W8:Y8)</f>
        <v>1</v>
      </c>
      <c r="F10" s="597">
        <f>SUM(Z8:AA8)</f>
        <v>0</v>
      </c>
      <c r="G10" s="597">
        <f>SUM(AB8:AD8)</f>
        <v>1</v>
      </c>
      <c r="H10" s="597">
        <f>AE8</f>
        <v>0</v>
      </c>
      <c r="I10" s="597">
        <f>AF8</f>
        <v>1</v>
      </c>
      <c r="J10" s="599">
        <f>SUM(B10:I10)</f>
        <v>3</v>
      </c>
      <c r="L10" s="825"/>
      <c r="M10" s="827" t="s">
        <v>661</v>
      </c>
      <c r="N10" s="827"/>
      <c r="O10" s="827"/>
      <c r="P10" s="827"/>
      <c r="Q10" s="827"/>
      <c r="R10" s="827"/>
      <c r="S10" s="827">
        <v>29</v>
      </c>
      <c r="T10" s="827"/>
      <c r="U10" s="827"/>
      <c r="V10" s="827"/>
      <c r="W10" s="827"/>
      <c r="X10" s="827"/>
      <c r="Y10" s="827"/>
      <c r="Z10" s="827"/>
      <c r="AA10" s="827"/>
      <c r="AB10" s="827"/>
      <c r="AC10" s="827"/>
      <c r="AD10" s="827"/>
      <c r="AE10" s="827"/>
      <c r="AF10" s="827"/>
      <c r="AG10" s="350"/>
    </row>
    <row r="11" spans="1:51" ht="18.75" customHeight="1" x14ac:dyDescent="0.2">
      <c r="A11" s="1063"/>
      <c r="B11" s="598">
        <f>B10/B$14</f>
        <v>0</v>
      </c>
      <c r="C11" s="598">
        <f t="shared" ref="C11:J11" si="3">C10/C$14</f>
        <v>0</v>
      </c>
      <c r="D11" s="598">
        <f t="shared" si="3"/>
        <v>0</v>
      </c>
      <c r="E11" s="598">
        <f t="shared" si="3"/>
        <v>8.2169268693508624E-4</v>
      </c>
      <c r="F11" s="598">
        <f t="shared" si="3"/>
        <v>0</v>
      </c>
      <c r="G11" s="598">
        <f t="shared" si="3"/>
        <v>2.1222410865874363E-4</v>
      </c>
      <c r="H11" s="598">
        <f t="shared" si="3"/>
        <v>0</v>
      </c>
      <c r="I11" s="598">
        <f t="shared" si="3"/>
        <v>5.1759834368530024E-4</v>
      </c>
      <c r="J11" s="598">
        <f t="shared" si="3"/>
        <v>2.1417862497322766E-4</v>
      </c>
      <c r="L11" s="825"/>
      <c r="M11" s="827"/>
      <c r="N11" s="827"/>
      <c r="O11" s="827"/>
      <c r="P11" s="827"/>
      <c r="Q11" s="827"/>
      <c r="R11" s="827"/>
      <c r="S11" s="827"/>
      <c r="T11" s="827"/>
      <c r="U11" s="827"/>
      <c r="V11" s="827"/>
      <c r="W11" s="827"/>
      <c r="X11" s="827"/>
      <c r="Y11" s="827"/>
      <c r="Z11" s="827"/>
      <c r="AA11" s="827"/>
      <c r="AB11" s="827"/>
      <c r="AC11" s="827"/>
      <c r="AD11" s="827"/>
      <c r="AE11" s="827"/>
      <c r="AF11" s="827"/>
      <c r="AG11" s="350"/>
    </row>
    <row r="12" spans="1:51" ht="18.75" customHeight="1" x14ac:dyDescent="0.2">
      <c r="A12" s="1062" t="s">
        <v>18</v>
      </c>
      <c r="B12" s="597">
        <f>SUM(N9:P11)</f>
        <v>0</v>
      </c>
      <c r="C12" s="597">
        <f>SUM(Q9:R11)</f>
        <v>1</v>
      </c>
      <c r="D12" s="597">
        <f>SUM(S9:V11)</f>
        <v>30</v>
      </c>
      <c r="E12" s="597">
        <f>SUM(W9:Y11)</f>
        <v>2</v>
      </c>
      <c r="F12" s="597">
        <f>SUM(Z9:AA11)</f>
        <v>0</v>
      </c>
      <c r="G12" s="597">
        <f>SUM(AB9:AD11)</f>
        <v>0</v>
      </c>
      <c r="H12" s="597">
        <f>SUM(AE9:AE11)</f>
        <v>0</v>
      </c>
      <c r="I12" s="597">
        <f>SUM(AF9:AF11)</f>
        <v>1</v>
      </c>
      <c r="J12" s="599">
        <f>SUM(B12:I12)</f>
        <v>34</v>
      </c>
      <c r="AG12" s="350"/>
    </row>
    <row r="13" spans="1:51" ht="18.75" customHeight="1" x14ac:dyDescent="0.2">
      <c r="A13" s="1063"/>
      <c r="B13" s="598">
        <f>B12/B$14</f>
        <v>0</v>
      </c>
      <c r="C13" s="598">
        <f t="shared" ref="C13:J13" si="4">C12/C$14</f>
        <v>5.5157198014340876E-4</v>
      </c>
      <c r="D13" s="598">
        <f t="shared" si="4"/>
        <v>2.2505626406601649E-2</v>
      </c>
      <c r="E13" s="598">
        <f t="shared" si="4"/>
        <v>1.6433853738701725E-3</v>
      </c>
      <c r="F13" s="598">
        <f t="shared" si="4"/>
        <v>0</v>
      </c>
      <c r="G13" s="598">
        <f t="shared" si="4"/>
        <v>0</v>
      </c>
      <c r="H13" s="598">
        <f t="shared" si="4"/>
        <v>0</v>
      </c>
      <c r="I13" s="598">
        <f t="shared" si="4"/>
        <v>5.1759834368530024E-4</v>
      </c>
      <c r="J13" s="598">
        <f t="shared" si="4"/>
        <v>2.4273577496965802E-3</v>
      </c>
      <c r="AG13" s="350"/>
    </row>
    <row r="14" spans="1:51" ht="18.75" customHeight="1" x14ac:dyDescent="0.2">
      <c r="A14" s="1064" t="s">
        <v>149</v>
      </c>
      <c r="B14" s="360">
        <f>B4+B6+B8+B10+B12</f>
        <v>1608</v>
      </c>
      <c r="C14" s="360">
        <f t="shared" ref="C14:I14" si="5">C4+C6+C8+C10+C12</f>
        <v>1813</v>
      </c>
      <c r="D14" s="360">
        <f t="shared" si="5"/>
        <v>1333</v>
      </c>
      <c r="E14" s="360">
        <f t="shared" si="5"/>
        <v>1217</v>
      </c>
      <c r="F14" s="360">
        <f t="shared" si="5"/>
        <v>1225</v>
      </c>
      <c r="G14" s="360">
        <f t="shared" si="5"/>
        <v>4712</v>
      </c>
      <c r="H14" s="360">
        <f t="shared" si="5"/>
        <v>167</v>
      </c>
      <c r="I14" s="360">
        <f t="shared" si="5"/>
        <v>1932</v>
      </c>
      <c r="J14" s="361">
        <f>SUM(B14:I14)</f>
        <v>14007</v>
      </c>
      <c r="AG14" s="350"/>
    </row>
    <row r="15" spans="1:51" ht="18.75" customHeight="1" x14ac:dyDescent="0.2">
      <c r="A15" s="1063"/>
      <c r="B15" s="362">
        <f>SUM(B5,B7,B9,B11,B13)</f>
        <v>1</v>
      </c>
      <c r="C15" s="362">
        <f>SUM(C5,C7,C9,C11,C13)</f>
        <v>1</v>
      </c>
      <c r="D15" s="362">
        <f t="shared" ref="D15:J15" si="6">SUM(D5,D7,D9,D11,D13)</f>
        <v>1</v>
      </c>
      <c r="E15" s="362">
        <f t="shared" si="6"/>
        <v>1.0000000000000002</v>
      </c>
      <c r="F15" s="362">
        <f t="shared" si="6"/>
        <v>1</v>
      </c>
      <c r="G15" s="362">
        <f t="shared" si="6"/>
        <v>1</v>
      </c>
      <c r="H15" s="362">
        <f t="shared" si="6"/>
        <v>1</v>
      </c>
      <c r="I15" s="362">
        <f t="shared" si="6"/>
        <v>0.99999999999999978</v>
      </c>
      <c r="J15" s="362">
        <f t="shared" si="6"/>
        <v>1</v>
      </c>
      <c r="AG15" s="350"/>
    </row>
    <row r="16" spans="1:51" x14ac:dyDescent="0.2">
      <c r="AG16" s="350"/>
    </row>
    <row r="17" spans="1:33" x14ac:dyDescent="0.2">
      <c r="B17" s="26"/>
      <c r="AG17" s="350"/>
    </row>
    <row r="18" spans="1:33" x14ac:dyDescent="0.2">
      <c r="AG18" s="350"/>
    </row>
    <row r="19" spans="1:33" x14ac:dyDescent="0.2">
      <c r="AG19" s="350"/>
    </row>
    <row r="20" spans="1:33" x14ac:dyDescent="0.2">
      <c r="AG20" s="350"/>
    </row>
    <row r="21" spans="1:33" x14ac:dyDescent="0.2">
      <c r="AG21" s="350"/>
    </row>
    <row r="22" spans="1:33" x14ac:dyDescent="0.2">
      <c r="A22" s="250"/>
      <c r="B22" s="47"/>
      <c r="C22" s="47"/>
      <c r="D22" s="47"/>
      <c r="E22" s="47"/>
      <c r="F22" s="47"/>
      <c r="G22" s="47"/>
      <c r="H22" s="47"/>
      <c r="I22" s="47"/>
      <c r="J22" s="47"/>
      <c r="K22" s="47"/>
      <c r="L22" s="47"/>
      <c r="M22" s="47"/>
      <c r="N22" s="47"/>
      <c r="O22" s="47"/>
      <c r="P22" s="47"/>
      <c r="Q22" s="47"/>
      <c r="R22" s="47"/>
      <c r="S22" s="47"/>
      <c r="AG22" s="350"/>
    </row>
  </sheetData>
  <mergeCells count="5">
    <mergeCell ref="A6:A7"/>
    <mergeCell ref="A8:A9"/>
    <mergeCell ref="A10:A11"/>
    <mergeCell ref="A12:A13"/>
    <mergeCell ref="A14:A15"/>
  </mergeCells>
  <phoneticPr fontId="2"/>
  <printOptions horizontalCentered="1"/>
  <pageMargins left="0.70866141732283472" right="0.70866141732283472" top="0.74803149606299213" bottom="0.74803149606299213"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5233" r:id="rId4" name="Button 1">
              <controlPr defaultSize="0" print="0" autoFill="0" autoPict="0" macro="[0]!データ削除_入院形態病院圏域">
                <anchor moveWithCells="1" sizeWithCells="1">
                  <from>
                    <xdr:col>12</xdr:col>
                    <xdr:colOff>22860</xdr:colOff>
                    <xdr:row>16</xdr:row>
                    <xdr:rowOff>144780</xdr:rowOff>
                  </from>
                  <to>
                    <xdr:col>13</xdr:col>
                    <xdr:colOff>518160</xdr:colOff>
                    <xdr:row>17</xdr:row>
                    <xdr:rowOff>213360</xdr:rowOff>
                  </to>
                </anchor>
              </controlPr>
            </control>
          </mc:Choice>
        </mc:AlternateContent>
      </controls>
    </mc:Choice>
  </mc:AlternateContent>
  <tableParts count="1">
    <tablePart r:id="rId5"/>
  </tablePart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FABE3-87CE-4302-A67C-227AA0614020}">
  <sheetPr codeName="Sheet34">
    <tabColor theme="9" tint="-0.499984740745262"/>
    <pageSetUpPr fitToPage="1"/>
  </sheetPr>
  <dimension ref="A1:AI55"/>
  <sheetViews>
    <sheetView showGridLines="0" view="pageBreakPreview" zoomScale="70" zoomScaleNormal="80" zoomScaleSheetLayoutView="70" workbookViewId="0"/>
  </sheetViews>
  <sheetFormatPr defaultColWidth="13.77734375" defaultRowHeight="17.399999999999999" x14ac:dyDescent="0.2"/>
  <cols>
    <col min="1" max="1" width="27.44140625" style="676" customWidth="1"/>
    <col min="2" max="10" width="8.77734375" style="676" customWidth="1"/>
    <col min="11" max="11" width="8.6640625" style="676" customWidth="1"/>
    <col min="12" max="12" width="11" style="676" hidden="1" customWidth="1"/>
    <col min="13" max="13" width="10.77734375" style="676" hidden="1" customWidth="1"/>
    <col min="14" max="15" width="12.44140625" style="676" hidden="1" customWidth="1"/>
    <col min="16" max="16" width="8.88671875" style="676" hidden="1" customWidth="1"/>
    <col min="17" max="17" width="12.44140625" style="676" hidden="1" customWidth="1"/>
    <col min="18" max="18" width="14.21875" style="676" hidden="1" customWidth="1"/>
    <col min="19" max="19" width="16.109375" style="676" hidden="1" customWidth="1"/>
    <col min="20" max="21" width="12.44140625" style="676" hidden="1" customWidth="1"/>
    <col min="22" max="22" width="16.109375" style="676" hidden="1" customWidth="1"/>
    <col min="23" max="23" width="14.21875" style="676" hidden="1" customWidth="1"/>
    <col min="24" max="26" width="12.44140625" style="676" hidden="1" customWidth="1"/>
    <col min="27" max="30" width="10.77734375" style="676" hidden="1" customWidth="1"/>
    <col min="31" max="31" width="8.88671875" style="676" hidden="1" customWidth="1"/>
    <col min="32" max="35" width="13.77734375" style="676" hidden="1" customWidth="1"/>
    <col min="36" max="16384" width="13.77734375" style="676"/>
  </cols>
  <sheetData>
    <row r="1" spans="1:34" s="677" customFormat="1" ht="19.2" x14ac:dyDescent="0.2">
      <c r="A1" s="2" t="s">
        <v>507</v>
      </c>
    </row>
    <row r="2" spans="1:34" ht="18" thickBot="1" x14ac:dyDescent="0.25">
      <c r="A2" s="4"/>
    </row>
    <row r="3" spans="1:34" ht="18.75" customHeight="1" thickTop="1" thickBot="1" x14ac:dyDescent="0.25">
      <c r="A3" s="359"/>
      <c r="B3" s="359" t="s">
        <v>356</v>
      </c>
      <c r="C3" s="359" t="s">
        <v>357</v>
      </c>
      <c r="D3" s="359" t="s">
        <v>358</v>
      </c>
      <c r="E3" s="359" t="s">
        <v>359</v>
      </c>
      <c r="F3" s="359" t="s">
        <v>360</v>
      </c>
      <c r="G3" s="359" t="s">
        <v>361</v>
      </c>
      <c r="H3" s="359" t="s">
        <v>362</v>
      </c>
      <c r="I3" s="359" t="s">
        <v>363</v>
      </c>
      <c r="J3" s="359" t="s">
        <v>61</v>
      </c>
      <c r="K3" s="26"/>
      <c r="M3" s="828" t="s">
        <v>436</v>
      </c>
      <c r="N3" s="688" t="s">
        <v>364</v>
      </c>
      <c r="O3" s="688" t="s">
        <v>365</v>
      </c>
      <c r="P3" s="688" t="s">
        <v>366</v>
      </c>
      <c r="Q3" s="688" t="s">
        <v>367</v>
      </c>
      <c r="R3" s="688" t="s">
        <v>368</v>
      </c>
      <c r="S3" s="688" t="s">
        <v>369</v>
      </c>
      <c r="T3" s="688" t="s">
        <v>370</v>
      </c>
      <c r="U3" s="688" t="s">
        <v>371</v>
      </c>
      <c r="V3" s="688" t="s">
        <v>372</v>
      </c>
      <c r="W3" s="688" t="s">
        <v>373</v>
      </c>
      <c r="X3" s="688" t="s">
        <v>386</v>
      </c>
      <c r="Y3" s="688" t="s">
        <v>387</v>
      </c>
      <c r="Z3" s="688" t="s">
        <v>388</v>
      </c>
      <c r="AA3" s="688" t="s">
        <v>389</v>
      </c>
      <c r="AB3" s="688" t="s">
        <v>390</v>
      </c>
      <c r="AC3" s="688" t="s">
        <v>391</v>
      </c>
      <c r="AD3" s="688" t="s">
        <v>392</v>
      </c>
      <c r="AE3" s="688" t="s">
        <v>393</v>
      </c>
      <c r="AF3" s="688" t="s">
        <v>394</v>
      </c>
      <c r="AG3" s="676" t="s">
        <v>396</v>
      </c>
      <c r="AH3" s="688" t="s">
        <v>397</v>
      </c>
    </row>
    <row r="4" spans="1:34" ht="18.75" customHeight="1" thickTop="1" x14ac:dyDescent="0.2">
      <c r="A4" s="1067" t="s">
        <v>374</v>
      </c>
      <c r="B4" s="597">
        <f>B6+B8+B10</f>
        <v>383</v>
      </c>
      <c r="C4" s="597">
        <f>C6+C8+C10</f>
        <v>642</v>
      </c>
      <c r="D4" s="597">
        <f t="shared" ref="D4:I4" si="0">D6+D8+D10</f>
        <v>374</v>
      </c>
      <c r="E4" s="597">
        <f t="shared" si="0"/>
        <v>276</v>
      </c>
      <c r="F4" s="597">
        <f t="shared" si="0"/>
        <v>297</v>
      </c>
      <c r="G4" s="597">
        <f t="shared" si="0"/>
        <v>1714</v>
      </c>
      <c r="H4" s="597">
        <f>H6+H8+H10</f>
        <v>18</v>
      </c>
      <c r="I4" s="597">
        <f t="shared" si="0"/>
        <v>482</v>
      </c>
      <c r="J4" s="599">
        <f>SUM(B4:I4)</f>
        <v>4186</v>
      </c>
      <c r="K4" s="26"/>
      <c r="M4" s="829" t="s">
        <v>273</v>
      </c>
      <c r="N4" s="830">
        <v>109</v>
      </c>
      <c r="O4" s="830">
        <v>68</v>
      </c>
      <c r="P4" s="830">
        <v>5</v>
      </c>
      <c r="Q4" s="830">
        <v>244</v>
      </c>
      <c r="R4" s="830">
        <v>118</v>
      </c>
      <c r="S4" s="830">
        <v>97</v>
      </c>
      <c r="T4" s="830"/>
      <c r="U4" s="830">
        <v>55</v>
      </c>
      <c r="V4" s="830">
        <v>23</v>
      </c>
      <c r="W4" s="830">
        <v>67</v>
      </c>
      <c r="X4" s="830">
        <v>80</v>
      </c>
      <c r="Y4" s="830"/>
      <c r="Z4" s="830">
        <v>45</v>
      </c>
      <c r="AA4" s="830">
        <v>112</v>
      </c>
      <c r="AB4" s="830">
        <v>327</v>
      </c>
      <c r="AC4" s="830">
        <v>349</v>
      </c>
      <c r="AD4" s="830">
        <v>213</v>
      </c>
      <c r="AE4" s="830">
        <v>8</v>
      </c>
      <c r="AF4" s="830">
        <v>291</v>
      </c>
      <c r="AH4" s="831"/>
    </row>
    <row r="5" spans="1:34" ht="18.75" customHeight="1" x14ac:dyDescent="0.2">
      <c r="A5" s="1068"/>
      <c r="B5" s="598">
        <f>B4/B$34</f>
        <v>0.23818407960199006</v>
      </c>
      <c r="C5" s="598">
        <f t="shared" ref="C5:I5" si="1">C4/C$34</f>
        <v>0.3541092112520684</v>
      </c>
      <c r="D5" s="598">
        <f t="shared" si="1"/>
        <v>0.28057014253563389</v>
      </c>
      <c r="E5" s="598">
        <f t="shared" si="1"/>
        <v>0.22678718159408381</v>
      </c>
      <c r="F5" s="598">
        <f t="shared" si="1"/>
        <v>0.24244897959183673</v>
      </c>
      <c r="G5" s="598">
        <f t="shared" si="1"/>
        <v>0.36375212224108661</v>
      </c>
      <c r="H5" s="598">
        <f t="shared" si="1"/>
        <v>0.10778443113772455</v>
      </c>
      <c r="I5" s="598">
        <f t="shared" si="1"/>
        <v>0.24948240165631469</v>
      </c>
      <c r="J5" s="598">
        <f>J4/J$34</f>
        <v>0.2988505747126437</v>
      </c>
      <c r="K5" s="832"/>
      <c r="M5" s="829" t="s">
        <v>262</v>
      </c>
      <c r="N5" s="830">
        <v>16</v>
      </c>
      <c r="O5" s="830">
        <v>8</v>
      </c>
      <c r="P5" s="830">
        <v>1</v>
      </c>
      <c r="Q5" s="830">
        <v>33</v>
      </c>
      <c r="R5" s="830">
        <v>12</v>
      </c>
      <c r="S5" s="830">
        <v>11</v>
      </c>
      <c r="T5" s="830">
        <v>1</v>
      </c>
      <c r="U5" s="830">
        <v>5</v>
      </c>
      <c r="V5" s="830">
        <v>10</v>
      </c>
      <c r="W5" s="830">
        <v>7</v>
      </c>
      <c r="X5" s="830">
        <v>3</v>
      </c>
      <c r="Y5" s="830"/>
      <c r="Z5" s="830">
        <v>1</v>
      </c>
      <c r="AA5" s="830">
        <v>4</v>
      </c>
      <c r="AB5" s="830">
        <v>27</v>
      </c>
      <c r="AC5" s="830">
        <v>38</v>
      </c>
      <c r="AD5" s="830">
        <v>44</v>
      </c>
      <c r="AE5" s="830">
        <v>1</v>
      </c>
      <c r="AF5" s="830">
        <v>30</v>
      </c>
      <c r="AH5" s="830"/>
    </row>
    <row r="6" spans="1:34" ht="18.75" customHeight="1" x14ac:dyDescent="0.2">
      <c r="A6" s="1069" t="s">
        <v>375</v>
      </c>
      <c r="B6" s="597">
        <f>SUM(N4:P4)</f>
        <v>182</v>
      </c>
      <c r="C6" s="597">
        <f>SUM(Q4:R4)</f>
        <v>362</v>
      </c>
      <c r="D6" s="597">
        <f>SUM(S4:V4)</f>
        <v>175</v>
      </c>
      <c r="E6" s="597">
        <f>SUM(W4:Y4)</f>
        <v>147</v>
      </c>
      <c r="F6" s="597">
        <f>SUM(Z4:AA4)</f>
        <v>157</v>
      </c>
      <c r="G6" s="597">
        <f>SUM(AB4:AD4)</f>
        <v>889</v>
      </c>
      <c r="H6" s="597">
        <f>AE4</f>
        <v>8</v>
      </c>
      <c r="I6" s="597">
        <f>AF4</f>
        <v>291</v>
      </c>
      <c r="J6" s="599">
        <f>SUM(B6:I6)</f>
        <v>2211</v>
      </c>
      <c r="K6" s="26"/>
      <c r="M6" s="829" t="s">
        <v>263</v>
      </c>
      <c r="N6" s="830">
        <v>73</v>
      </c>
      <c r="O6" s="830">
        <v>88</v>
      </c>
      <c r="P6" s="830">
        <v>15</v>
      </c>
      <c r="Q6" s="830">
        <v>184</v>
      </c>
      <c r="R6" s="830">
        <v>51</v>
      </c>
      <c r="S6" s="830">
        <v>85</v>
      </c>
      <c r="T6" s="830">
        <v>53</v>
      </c>
      <c r="U6" s="830">
        <v>18</v>
      </c>
      <c r="V6" s="830">
        <v>16</v>
      </c>
      <c r="W6" s="830">
        <v>70</v>
      </c>
      <c r="X6" s="830">
        <v>35</v>
      </c>
      <c r="Y6" s="830">
        <v>14</v>
      </c>
      <c r="Z6" s="830">
        <v>31</v>
      </c>
      <c r="AA6" s="830">
        <v>104</v>
      </c>
      <c r="AB6" s="830">
        <v>278</v>
      </c>
      <c r="AC6" s="830">
        <v>258</v>
      </c>
      <c r="AD6" s="830">
        <v>180</v>
      </c>
      <c r="AE6" s="830">
        <v>9</v>
      </c>
      <c r="AF6" s="830">
        <v>161</v>
      </c>
      <c r="AH6" s="830"/>
    </row>
    <row r="7" spans="1:34" ht="18.75" customHeight="1" x14ac:dyDescent="0.2">
      <c r="A7" s="1070"/>
      <c r="B7" s="598">
        <f>B6/B$34</f>
        <v>0.11318407960199005</v>
      </c>
      <c r="C7" s="598">
        <f t="shared" ref="C7:J7" si="2">C6/C$34</f>
        <v>0.19966905681191396</v>
      </c>
      <c r="D7" s="598">
        <f t="shared" si="2"/>
        <v>0.1312828207051763</v>
      </c>
      <c r="E7" s="598">
        <f t="shared" si="2"/>
        <v>0.12078882497945768</v>
      </c>
      <c r="F7" s="598">
        <f t="shared" si="2"/>
        <v>0.12816326530612246</v>
      </c>
      <c r="G7" s="598">
        <f t="shared" si="2"/>
        <v>0.18866723259762308</v>
      </c>
      <c r="H7" s="598">
        <f t="shared" si="2"/>
        <v>4.790419161676647E-2</v>
      </c>
      <c r="I7" s="598">
        <f t="shared" si="2"/>
        <v>0.15062111801242237</v>
      </c>
      <c r="J7" s="598">
        <f t="shared" si="2"/>
        <v>0.15784964660526879</v>
      </c>
      <c r="K7" s="832"/>
      <c r="M7" s="829" t="s">
        <v>264</v>
      </c>
      <c r="N7" s="830">
        <v>13</v>
      </c>
      <c r="O7" s="830">
        <v>13</v>
      </c>
      <c r="P7" s="830"/>
      <c r="Q7" s="830">
        <v>30</v>
      </c>
      <c r="R7" s="830">
        <v>48</v>
      </c>
      <c r="S7" s="830">
        <v>9</v>
      </c>
      <c r="T7" s="830"/>
      <c r="U7" s="830">
        <v>3</v>
      </c>
      <c r="V7" s="830">
        <v>6</v>
      </c>
      <c r="W7" s="830">
        <v>5</v>
      </c>
      <c r="X7" s="830">
        <v>6</v>
      </c>
      <c r="Y7" s="830">
        <v>1</v>
      </c>
      <c r="Z7" s="830">
        <v>14</v>
      </c>
      <c r="AA7" s="830">
        <v>27</v>
      </c>
      <c r="AB7" s="830">
        <v>275</v>
      </c>
      <c r="AC7" s="830">
        <v>70</v>
      </c>
      <c r="AD7" s="830">
        <v>19</v>
      </c>
      <c r="AE7" s="830">
        <v>4</v>
      </c>
      <c r="AF7" s="830">
        <v>70</v>
      </c>
      <c r="AH7" s="830"/>
    </row>
    <row r="8" spans="1:34" ht="18.75" customHeight="1" x14ac:dyDescent="0.2">
      <c r="A8" s="1069" t="s">
        <v>376</v>
      </c>
      <c r="B8" s="597">
        <f>SUM(N5:P5)</f>
        <v>25</v>
      </c>
      <c r="C8" s="597">
        <f>SUM(Q5:R5)</f>
        <v>45</v>
      </c>
      <c r="D8" s="597">
        <f>SUM(S5:V5)</f>
        <v>27</v>
      </c>
      <c r="E8" s="597">
        <f>SUM(W5:Y5)</f>
        <v>10</v>
      </c>
      <c r="F8" s="597">
        <f>SUM(Z5:AA5)</f>
        <v>5</v>
      </c>
      <c r="G8" s="597">
        <f>SUM(AB5:AD5)</f>
        <v>109</v>
      </c>
      <c r="H8" s="597">
        <f>AE5</f>
        <v>1</v>
      </c>
      <c r="I8" s="597">
        <f>AF5</f>
        <v>30</v>
      </c>
      <c r="J8" s="599">
        <f>SUM(B8:I8)</f>
        <v>252</v>
      </c>
      <c r="K8" s="26"/>
      <c r="M8" s="829" t="s">
        <v>188</v>
      </c>
      <c r="N8" s="830"/>
      <c r="O8" s="830">
        <v>6</v>
      </c>
      <c r="P8" s="830"/>
      <c r="Q8" s="830"/>
      <c r="R8" s="830">
        <v>2</v>
      </c>
      <c r="S8" s="830">
        <v>10</v>
      </c>
      <c r="T8" s="830">
        <v>1</v>
      </c>
      <c r="U8" s="830">
        <v>1</v>
      </c>
      <c r="V8" s="830">
        <v>1</v>
      </c>
      <c r="W8" s="830">
        <v>3</v>
      </c>
      <c r="X8" s="830">
        <v>3</v>
      </c>
      <c r="Y8" s="830">
        <v>1</v>
      </c>
      <c r="Z8" s="830"/>
      <c r="AA8" s="830">
        <v>5</v>
      </c>
      <c r="AB8" s="830">
        <v>3</v>
      </c>
      <c r="AC8" s="830">
        <v>12</v>
      </c>
      <c r="AD8" s="830"/>
      <c r="AE8" s="830"/>
      <c r="AF8" s="830">
        <v>7</v>
      </c>
      <c r="AH8" s="830"/>
    </row>
    <row r="9" spans="1:34" ht="18.75" customHeight="1" x14ac:dyDescent="0.2">
      <c r="A9" s="1070"/>
      <c r="B9" s="598">
        <f>B8/B$34</f>
        <v>1.554726368159204E-2</v>
      </c>
      <c r="C9" s="598">
        <f t="shared" ref="C9:J9" si="3">C8/C$34</f>
        <v>2.4820739106453393E-2</v>
      </c>
      <c r="D9" s="598">
        <f t="shared" si="3"/>
        <v>2.0255063765941484E-2</v>
      </c>
      <c r="E9" s="598">
        <f t="shared" si="3"/>
        <v>8.2169268693508633E-3</v>
      </c>
      <c r="F9" s="598">
        <f t="shared" si="3"/>
        <v>4.0816326530612249E-3</v>
      </c>
      <c r="G9" s="598">
        <f t="shared" si="3"/>
        <v>2.3132427843803056E-2</v>
      </c>
      <c r="H9" s="598">
        <f t="shared" si="3"/>
        <v>5.9880239520958087E-3</v>
      </c>
      <c r="I9" s="598">
        <f t="shared" si="3"/>
        <v>1.5527950310559006E-2</v>
      </c>
      <c r="J9" s="598">
        <f t="shared" si="3"/>
        <v>1.7991004497751123E-2</v>
      </c>
      <c r="K9" s="832"/>
      <c r="M9" s="829" t="s">
        <v>189</v>
      </c>
      <c r="N9" s="830"/>
      <c r="O9" s="830"/>
      <c r="P9" s="830"/>
      <c r="Q9" s="830">
        <v>2</v>
      </c>
      <c r="R9" s="830">
        <v>1</v>
      </c>
      <c r="S9" s="830">
        <v>7</v>
      </c>
      <c r="T9" s="830">
        <v>1</v>
      </c>
      <c r="U9" s="830"/>
      <c r="V9" s="830"/>
      <c r="W9" s="830"/>
      <c r="X9" s="830">
        <v>2</v>
      </c>
      <c r="Y9" s="830">
        <v>1</v>
      </c>
      <c r="Z9" s="830">
        <v>4</v>
      </c>
      <c r="AA9" s="830">
        <v>12</v>
      </c>
      <c r="AB9" s="830">
        <v>4</v>
      </c>
      <c r="AC9" s="830">
        <v>28</v>
      </c>
      <c r="AD9" s="830">
        <v>6</v>
      </c>
      <c r="AE9" s="830"/>
      <c r="AF9" s="830">
        <v>10</v>
      </c>
      <c r="AH9" s="830"/>
    </row>
    <row r="10" spans="1:34" ht="18.75" customHeight="1" x14ac:dyDescent="0.2">
      <c r="A10" s="1069" t="s">
        <v>508</v>
      </c>
      <c r="B10" s="597">
        <f>SUM(N6:P6)</f>
        <v>176</v>
      </c>
      <c r="C10" s="597">
        <f>SUM(Q6:R6)</f>
        <v>235</v>
      </c>
      <c r="D10" s="597">
        <f>SUM(S6:V6)</f>
        <v>172</v>
      </c>
      <c r="E10" s="597">
        <f>SUM(W6:Y6)</f>
        <v>119</v>
      </c>
      <c r="F10" s="597">
        <f>SUM(Z6:AA6)</f>
        <v>135</v>
      </c>
      <c r="G10" s="597">
        <f>SUM(AB6:AD6)</f>
        <v>716</v>
      </c>
      <c r="H10" s="597">
        <f>AE6</f>
        <v>9</v>
      </c>
      <c r="I10" s="597">
        <f>AF6</f>
        <v>161</v>
      </c>
      <c r="J10" s="599">
        <f>SUM(B10:I10)</f>
        <v>1723</v>
      </c>
      <c r="K10" s="26"/>
      <c r="M10" s="829" t="s">
        <v>265</v>
      </c>
      <c r="N10" s="830">
        <v>243</v>
      </c>
      <c r="O10" s="830">
        <v>455</v>
      </c>
      <c r="P10" s="830">
        <v>189</v>
      </c>
      <c r="Q10" s="830">
        <v>584</v>
      </c>
      <c r="R10" s="830">
        <v>264</v>
      </c>
      <c r="S10" s="830">
        <v>359</v>
      </c>
      <c r="T10" s="830">
        <v>118</v>
      </c>
      <c r="U10" s="830">
        <v>104</v>
      </c>
      <c r="V10" s="830">
        <v>101</v>
      </c>
      <c r="W10" s="830">
        <v>395</v>
      </c>
      <c r="X10" s="830">
        <v>124</v>
      </c>
      <c r="Y10" s="830">
        <v>112</v>
      </c>
      <c r="Z10" s="830">
        <v>242</v>
      </c>
      <c r="AA10" s="830">
        <v>350</v>
      </c>
      <c r="AB10" s="830">
        <v>474</v>
      </c>
      <c r="AC10" s="830">
        <v>855</v>
      </c>
      <c r="AD10" s="830">
        <v>481</v>
      </c>
      <c r="AE10" s="830">
        <v>56</v>
      </c>
      <c r="AF10" s="830">
        <v>945</v>
      </c>
      <c r="AH10" s="830"/>
    </row>
    <row r="11" spans="1:34" ht="26.25" customHeight="1" x14ac:dyDescent="0.2">
      <c r="A11" s="1070"/>
      <c r="B11" s="598">
        <f>B10/B$34</f>
        <v>0.10945273631840796</v>
      </c>
      <c r="C11" s="598">
        <f t="shared" ref="C11:J11" si="4">C10/C$34</f>
        <v>0.12961941533370105</v>
      </c>
      <c r="D11" s="598">
        <f t="shared" si="4"/>
        <v>0.12903225806451613</v>
      </c>
      <c r="E11" s="598">
        <f t="shared" si="4"/>
        <v>9.7781429745275261E-2</v>
      </c>
      <c r="F11" s="598">
        <f t="shared" si="4"/>
        <v>0.11020408163265306</v>
      </c>
      <c r="G11" s="598">
        <f t="shared" si="4"/>
        <v>0.15195246179966043</v>
      </c>
      <c r="H11" s="598">
        <f t="shared" si="4"/>
        <v>5.3892215568862277E-2</v>
      </c>
      <c r="I11" s="598">
        <f t="shared" si="4"/>
        <v>8.3333333333333329E-2</v>
      </c>
      <c r="J11" s="598">
        <f t="shared" si="4"/>
        <v>0.12300992360962376</v>
      </c>
      <c r="K11" s="832"/>
      <c r="M11" s="829" t="s">
        <v>266</v>
      </c>
      <c r="N11" s="830">
        <v>21</v>
      </c>
      <c r="O11" s="830">
        <v>70</v>
      </c>
      <c r="P11" s="830">
        <v>11</v>
      </c>
      <c r="Q11" s="830">
        <v>41</v>
      </c>
      <c r="R11" s="830">
        <v>30</v>
      </c>
      <c r="S11" s="830">
        <v>30</v>
      </c>
      <c r="T11" s="830">
        <v>4</v>
      </c>
      <c r="U11" s="830">
        <v>12</v>
      </c>
      <c r="V11" s="830">
        <v>1</v>
      </c>
      <c r="W11" s="830">
        <v>39</v>
      </c>
      <c r="X11" s="830">
        <v>18</v>
      </c>
      <c r="Y11" s="830">
        <v>4</v>
      </c>
      <c r="Z11" s="830">
        <v>15</v>
      </c>
      <c r="AA11" s="830">
        <v>36</v>
      </c>
      <c r="AB11" s="830">
        <v>54</v>
      </c>
      <c r="AC11" s="830">
        <v>111</v>
      </c>
      <c r="AD11" s="830">
        <v>38</v>
      </c>
      <c r="AE11" s="830">
        <v>17</v>
      </c>
      <c r="AF11" s="830">
        <v>87</v>
      </c>
      <c r="AH11" s="830"/>
    </row>
    <row r="12" spans="1:34" ht="18.75" customHeight="1" x14ac:dyDescent="0.2">
      <c r="A12" s="1067" t="s">
        <v>20</v>
      </c>
      <c r="B12" s="597">
        <f>SUM(N7:P9)</f>
        <v>32</v>
      </c>
      <c r="C12" s="597">
        <f>SUM(Q7:R9)</f>
        <v>83</v>
      </c>
      <c r="D12" s="597">
        <f>SUM(S7:V9)</f>
        <v>39</v>
      </c>
      <c r="E12" s="597">
        <f>SUM(W7:Y9)</f>
        <v>22</v>
      </c>
      <c r="F12" s="597">
        <f>SUM(Z7:AA9)</f>
        <v>62</v>
      </c>
      <c r="G12" s="597">
        <f>SUM(AB7:AD9)</f>
        <v>417</v>
      </c>
      <c r="H12" s="597">
        <f>SUM(AE7:AE9)</f>
        <v>4</v>
      </c>
      <c r="I12" s="597">
        <f>SUM(AF7:AF9)</f>
        <v>87</v>
      </c>
      <c r="J12" s="599">
        <f>SUM(B12:I12)</f>
        <v>746</v>
      </c>
      <c r="K12" s="26"/>
      <c r="M12" s="829" t="s">
        <v>267</v>
      </c>
      <c r="N12" s="830">
        <v>28</v>
      </c>
      <c r="O12" s="830">
        <v>35</v>
      </c>
      <c r="P12" s="830">
        <v>21</v>
      </c>
      <c r="Q12" s="830">
        <v>46</v>
      </c>
      <c r="R12" s="830">
        <v>54</v>
      </c>
      <c r="S12" s="830">
        <v>35</v>
      </c>
      <c r="T12" s="830">
        <v>18</v>
      </c>
      <c r="U12" s="830">
        <v>21</v>
      </c>
      <c r="V12" s="830">
        <v>10</v>
      </c>
      <c r="W12" s="830">
        <v>72</v>
      </c>
      <c r="X12" s="830">
        <v>45</v>
      </c>
      <c r="Y12" s="830">
        <v>14</v>
      </c>
      <c r="Z12" s="830">
        <v>46</v>
      </c>
      <c r="AA12" s="830">
        <v>84</v>
      </c>
      <c r="AB12" s="830">
        <v>70</v>
      </c>
      <c r="AC12" s="830">
        <v>126</v>
      </c>
      <c r="AD12" s="830">
        <v>75</v>
      </c>
      <c r="AE12" s="830">
        <v>32</v>
      </c>
      <c r="AF12" s="830">
        <v>192</v>
      </c>
      <c r="AH12" s="830"/>
    </row>
    <row r="13" spans="1:34" ht="18.75" customHeight="1" x14ac:dyDescent="0.2">
      <c r="A13" s="1068"/>
      <c r="B13" s="598">
        <f>B12/B$34</f>
        <v>1.9900497512437811E-2</v>
      </c>
      <c r="C13" s="598">
        <f t="shared" ref="C13:J13" si="5">C12/C$34</f>
        <v>4.5780474351902925E-2</v>
      </c>
      <c r="D13" s="598">
        <f t="shared" si="5"/>
        <v>2.9257314328582147E-2</v>
      </c>
      <c r="E13" s="598">
        <f t="shared" si="5"/>
        <v>1.8077239112571898E-2</v>
      </c>
      <c r="F13" s="598">
        <f t="shared" si="5"/>
        <v>5.0612244897959187E-2</v>
      </c>
      <c r="G13" s="598">
        <f t="shared" si="5"/>
        <v>8.8497453310696098E-2</v>
      </c>
      <c r="H13" s="598">
        <f t="shared" si="5"/>
        <v>2.3952095808383235E-2</v>
      </c>
      <c r="I13" s="598">
        <f t="shared" si="5"/>
        <v>4.503105590062112E-2</v>
      </c>
      <c r="J13" s="598">
        <f t="shared" si="5"/>
        <v>5.3259084743342615E-2</v>
      </c>
      <c r="K13" s="832"/>
      <c r="M13" s="829" t="s">
        <v>268</v>
      </c>
      <c r="N13" s="830">
        <v>6</v>
      </c>
      <c r="O13" s="830">
        <v>35</v>
      </c>
      <c r="P13" s="830">
        <v>5</v>
      </c>
      <c r="Q13" s="830">
        <v>6</v>
      </c>
      <c r="R13" s="830">
        <v>15</v>
      </c>
      <c r="S13" s="830">
        <v>20</v>
      </c>
      <c r="T13" s="830">
        <v>1</v>
      </c>
      <c r="U13" s="830">
        <v>4</v>
      </c>
      <c r="V13" s="830"/>
      <c r="W13" s="830">
        <v>14</v>
      </c>
      <c r="X13" s="830">
        <v>15</v>
      </c>
      <c r="Y13" s="830">
        <v>4</v>
      </c>
      <c r="Z13" s="830">
        <v>15</v>
      </c>
      <c r="AA13" s="830">
        <v>19</v>
      </c>
      <c r="AB13" s="830">
        <v>14</v>
      </c>
      <c r="AC13" s="830">
        <v>24</v>
      </c>
      <c r="AD13" s="830">
        <v>12</v>
      </c>
      <c r="AE13" s="830">
        <v>5</v>
      </c>
      <c r="AF13" s="830">
        <v>33</v>
      </c>
      <c r="AH13" s="830"/>
    </row>
    <row r="14" spans="1:34" ht="18.75" customHeight="1" x14ac:dyDescent="0.2">
      <c r="A14" s="1067" t="s">
        <v>21</v>
      </c>
      <c r="B14" s="833">
        <f>SUM(N10:P10)</f>
        <v>887</v>
      </c>
      <c r="C14" s="833">
        <f>SUM(Q10:R10)</f>
        <v>848</v>
      </c>
      <c r="D14" s="833">
        <f>SUM(S10:V10)</f>
        <v>682</v>
      </c>
      <c r="E14" s="833">
        <f>SUM(W10:Y10)</f>
        <v>631</v>
      </c>
      <c r="F14" s="833">
        <f>SUM(Z10:AA10)</f>
        <v>592</v>
      </c>
      <c r="G14" s="833">
        <f>SUM(AB10:AD10)</f>
        <v>1810</v>
      </c>
      <c r="H14" s="833">
        <f>AE10</f>
        <v>56</v>
      </c>
      <c r="I14" s="833">
        <f>AF10</f>
        <v>945</v>
      </c>
      <c r="J14" s="834">
        <f>SUM(B14:I14)</f>
        <v>6451</v>
      </c>
      <c r="K14" s="26"/>
      <c r="M14" s="829" t="s">
        <v>269</v>
      </c>
      <c r="N14" s="830"/>
      <c r="O14" s="830"/>
      <c r="P14" s="830">
        <v>3</v>
      </c>
      <c r="Q14" s="830">
        <v>1</v>
      </c>
      <c r="R14" s="830"/>
      <c r="S14" s="830"/>
      <c r="T14" s="830"/>
      <c r="U14" s="830"/>
      <c r="V14" s="830"/>
      <c r="W14" s="830"/>
      <c r="X14" s="830">
        <v>1</v>
      </c>
      <c r="Y14" s="830"/>
      <c r="Z14" s="830"/>
      <c r="AA14" s="830">
        <v>2</v>
      </c>
      <c r="AB14" s="830">
        <v>4</v>
      </c>
      <c r="AC14" s="830">
        <v>3</v>
      </c>
      <c r="AD14" s="830"/>
      <c r="AE14" s="830">
        <v>25</v>
      </c>
      <c r="AF14" s="830">
        <v>10</v>
      </c>
      <c r="AH14" s="830"/>
    </row>
    <row r="15" spans="1:34" ht="18.75" customHeight="1" x14ac:dyDescent="0.2">
      <c r="A15" s="1068"/>
      <c r="B15" s="598">
        <f>B14/B$34</f>
        <v>0.5516169154228856</v>
      </c>
      <c r="C15" s="598">
        <f t="shared" ref="C15:J15" si="6">C14/C$34</f>
        <v>0.46773303916161058</v>
      </c>
      <c r="D15" s="598">
        <f t="shared" si="6"/>
        <v>0.51162790697674421</v>
      </c>
      <c r="E15" s="598">
        <f t="shared" si="6"/>
        <v>0.51848808545603942</v>
      </c>
      <c r="F15" s="598">
        <f t="shared" si="6"/>
        <v>0.483265306122449</v>
      </c>
      <c r="G15" s="598">
        <f t="shared" si="6"/>
        <v>0.38412563667232597</v>
      </c>
      <c r="H15" s="598">
        <f t="shared" si="6"/>
        <v>0.33532934131736525</v>
      </c>
      <c r="I15" s="598">
        <f t="shared" si="6"/>
        <v>0.4891304347826087</v>
      </c>
      <c r="J15" s="598">
        <f t="shared" si="6"/>
        <v>0.46055543656743059</v>
      </c>
      <c r="K15" s="832"/>
      <c r="M15" s="829" t="s">
        <v>274</v>
      </c>
      <c r="N15" s="830"/>
      <c r="O15" s="814">
        <v>3</v>
      </c>
      <c r="P15" s="830">
        <v>1</v>
      </c>
      <c r="Q15" s="830">
        <v>1</v>
      </c>
      <c r="R15" s="830">
        <v>3</v>
      </c>
      <c r="S15" s="830">
        <v>2</v>
      </c>
      <c r="T15" s="830"/>
      <c r="U15" s="830">
        <v>1</v>
      </c>
      <c r="V15" s="830"/>
      <c r="W15" s="830">
        <v>2</v>
      </c>
      <c r="X15" s="830">
        <v>1</v>
      </c>
      <c r="Y15" s="830"/>
      <c r="Z15" s="830">
        <v>2</v>
      </c>
      <c r="AA15" s="830">
        <v>8</v>
      </c>
      <c r="AB15" s="830">
        <v>5</v>
      </c>
      <c r="AC15" s="830">
        <v>6</v>
      </c>
      <c r="AD15" s="830">
        <v>2</v>
      </c>
      <c r="AE15" s="830">
        <v>1</v>
      </c>
      <c r="AF15" s="830">
        <v>3</v>
      </c>
      <c r="AH15" s="830"/>
    </row>
    <row r="16" spans="1:34" ht="18.75" customHeight="1" x14ac:dyDescent="0.2">
      <c r="A16" s="1067" t="s">
        <v>22</v>
      </c>
      <c r="B16" s="597">
        <f>SUM(N11:P12)</f>
        <v>186</v>
      </c>
      <c r="C16" s="597">
        <f>SUM(Q11:R12)</f>
        <v>171</v>
      </c>
      <c r="D16" s="597">
        <f>SUM(S11:V12)</f>
        <v>131</v>
      </c>
      <c r="E16" s="597">
        <f>SUM(W11:Y12)</f>
        <v>192</v>
      </c>
      <c r="F16" s="597">
        <f>SUM(Z11:AA12)</f>
        <v>181</v>
      </c>
      <c r="G16" s="597">
        <f>SUM(AB11:AD12)</f>
        <v>474</v>
      </c>
      <c r="H16" s="597">
        <f>SUM(AE11:AE12)</f>
        <v>49</v>
      </c>
      <c r="I16" s="597">
        <f>SUM(AF11:AF12)</f>
        <v>279</v>
      </c>
      <c r="J16" s="599">
        <f>SUM(B16:I16)</f>
        <v>1663</v>
      </c>
      <c r="K16" s="26"/>
      <c r="M16" s="829" t="s">
        <v>270</v>
      </c>
      <c r="N16" s="830">
        <v>8</v>
      </c>
      <c r="O16" s="835">
        <v>20</v>
      </c>
      <c r="P16" s="830">
        <v>2</v>
      </c>
      <c r="Q16" s="830">
        <v>10</v>
      </c>
      <c r="R16" s="830">
        <v>9</v>
      </c>
      <c r="S16" s="830">
        <v>14</v>
      </c>
      <c r="T16" s="830">
        <v>2</v>
      </c>
      <c r="U16" s="830">
        <v>6</v>
      </c>
      <c r="V16" s="830">
        <v>5</v>
      </c>
      <c r="W16" s="830">
        <v>8</v>
      </c>
      <c r="X16" s="830">
        <v>5</v>
      </c>
      <c r="Y16" s="830">
        <v>4</v>
      </c>
      <c r="Z16" s="830">
        <v>7</v>
      </c>
      <c r="AA16" s="830">
        <v>14</v>
      </c>
      <c r="AB16" s="830">
        <v>29</v>
      </c>
      <c r="AC16" s="830">
        <v>70</v>
      </c>
      <c r="AD16" s="830">
        <v>41</v>
      </c>
      <c r="AE16" s="830">
        <v>3</v>
      </c>
      <c r="AF16" s="830">
        <v>23</v>
      </c>
      <c r="AH16" s="830"/>
    </row>
    <row r="17" spans="1:34" ht="18.75" customHeight="1" x14ac:dyDescent="0.2">
      <c r="A17" s="1068"/>
      <c r="B17" s="598">
        <f>B16/B$34</f>
        <v>0.11567164179104478</v>
      </c>
      <c r="C17" s="598">
        <f t="shared" ref="C17:J17" si="7">C16/C$34</f>
        <v>9.4318808604522894E-2</v>
      </c>
      <c r="D17" s="598">
        <f t="shared" si="7"/>
        <v>9.827456864216054E-2</v>
      </c>
      <c r="E17" s="598">
        <f t="shared" si="7"/>
        <v>0.15776499589153656</v>
      </c>
      <c r="F17" s="598">
        <f t="shared" si="7"/>
        <v>0.14775510204081632</v>
      </c>
      <c r="G17" s="598">
        <f t="shared" si="7"/>
        <v>0.10059422750424449</v>
      </c>
      <c r="H17" s="598">
        <f t="shared" si="7"/>
        <v>0.29341317365269459</v>
      </c>
      <c r="I17" s="598">
        <f t="shared" si="7"/>
        <v>0.14440993788819875</v>
      </c>
      <c r="J17" s="598">
        <f t="shared" si="7"/>
        <v>0.11872635111015921</v>
      </c>
      <c r="K17" s="832"/>
      <c r="M17" s="829" t="s">
        <v>271</v>
      </c>
      <c r="N17" s="830">
        <v>3</v>
      </c>
      <c r="O17" s="830">
        <v>11</v>
      </c>
      <c r="P17" s="830">
        <v>1</v>
      </c>
      <c r="Q17" s="830">
        <v>5</v>
      </c>
      <c r="R17" s="830">
        <v>9</v>
      </c>
      <c r="S17" s="830">
        <v>34</v>
      </c>
      <c r="T17" s="830">
        <v>2</v>
      </c>
      <c r="U17" s="830">
        <v>1</v>
      </c>
      <c r="V17" s="830"/>
      <c r="W17" s="830">
        <v>16</v>
      </c>
      <c r="X17" s="830">
        <v>4</v>
      </c>
      <c r="Y17" s="830">
        <v>4</v>
      </c>
      <c r="Z17" s="830"/>
      <c r="AA17" s="830">
        <v>10</v>
      </c>
      <c r="AB17" s="830">
        <v>7</v>
      </c>
      <c r="AC17" s="830">
        <v>22</v>
      </c>
      <c r="AD17" s="830">
        <v>7</v>
      </c>
      <c r="AE17" s="830">
        <v>4</v>
      </c>
      <c r="AF17" s="830">
        <v>48</v>
      </c>
      <c r="AH17" s="830"/>
    </row>
    <row r="18" spans="1:34" ht="18.75" customHeight="1" x14ac:dyDescent="0.2">
      <c r="A18" s="1067" t="s">
        <v>235</v>
      </c>
      <c r="B18" s="597">
        <f>SUM(N13:P13)</f>
        <v>46</v>
      </c>
      <c r="C18" s="597">
        <f>SUM(Q13:R13)</f>
        <v>21</v>
      </c>
      <c r="D18" s="597">
        <f>SUM(S13:V13)</f>
        <v>25</v>
      </c>
      <c r="E18" s="597">
        <f>SUM(W13:Y13)</f>
        <v>33</v>
      </c>
      <c r="F18" s="597">
        <f>SUM(Z13:AA13)</f>
        <v>34</v>
      </c>
      <c r="G18" s="597">
        <f>SUM(AB13:AD13)</f>
        <v>50</v>
      </c>
      <c r="H18" s="597">
        <f>AE13</f>
        <v>5</v>
      </c>
      <c r="I18" s="597">
        <f>AF13</f>
        <v>33</v>
      </c>
      <c r="J18" s="599">
        <f>SUM(B18:I18)</f>
        <v>247</v>
      </c>
      <c r="K18" s="26"/>
      <c r="M18" s="829" t="s">
        <v>275</v>
      </c>
      <c r="N18" s="830">
        <v>1</v>
      </c>
      <c r="O18" s="830">
        <v>5</v>
      </c>
      <c r="P18" s="830">
        <v>6</v>
      </c>
      <c r="Q18" s="830">
        <v>4</v>
      </c>
      <c r="R18" s="830"/>
      <c r="S18" s="830">
        <v>6</v>
      </c>
      <c r="T18" s="830">
        <v>7</v>
      </c>
      <c r="U18" s="830"/>
      <c r="V18" s="830"/>
      <c r="W18" s="830">
        <v>1</v>
      </c>
      <c r="X18" s="830">
        <v>1</v>
      </c>
      <c r="Y18" s="830">
        <v>1</v>
      </c>
      <c r="Z18" s="830"/>
      <c r="AA18" s="830">
        <v>6</v>
      </c>
      <c r="AB18" s="830">
        <v>1</v>
      </c>
      <c r="AC18" s="830">
        <v>1</v>
      </c>
      <c r="AD18" s="830">
        <v>2</v>
      </c>
      <c r="AE18" s="830"/>
      <c r="AF18" s="830">
        <v>7</v>
      </c>
      <c r="AH18" s="830"/>
    </row>
    <row r="19" spans="1:34" ht="18.75" customHeight="1" x14ac:dyDescent="0.2">
      <c r="A19" s="1068"/>
      <c r="B19" s="598">
        <f>B18/B$34</f>
        <v>2.8606965174129355E-2</v>
      </c>
      <c r="C19" s="598">
        <f t="shared" ref="C19:J19" si="8">C18/C$34</f>
        <v>1.1583011583011582E-2</v>
      </c>
      <c r="D19" s="598">
        <f t="shared" si="8"/>
        <v>1.8754688672168042E-2</v>
      </c>
      <c r="E19" s="598">
        <f t="shared" si="8"/>
        <v>2.7115858668857847E-2</v>
      </c>
      <c r="F19" s="598">
        <f t="shared" si="8"/>
        <v>2.7755102040816326E-2</v>
      </c>
      <c r="G19" s="598">
        <f t="shared" si="8"/>
        <v>1.0611205432937181E-2</v>
      </c>
      <c r="H19" s="598">
        <f t="shared" si="8"/>
        <v>2.9940119760479042E-2</v>
      </c>
      <c r="I19" s="598">
        <f t="shared" si="8"/>
        <v>1.7080745341614908E-2</v>
      </c>
      <c r="J19" s="598">
        <f t="shared" si="8"/>
        <v>1.7634040122795746E-2</v>
      </c>
      <c r="K19" s="832"/>
      <c r="M19" s="829" t="s">
        <v>272</v>
      </c>
      <c r="N19" s="830">
        <v>1</v>
      </c>
      <c r="O19" s="830">
        <v>1</v>
      </c>
      <c r="P19" s="830">
        <v>1</v>
      </c>
      <c r="Q19" s="830">
        <v>4</v>
      </c>
      <c r="R19" s="830">
        <v>1</v>
      </c>
      <c r="S19" s="830"/>
      <c r="T19" s="830"/>
      <c r="U19" s="830"/>
      <c r="V19" s="830"/>
      <c r="W19" s="830"/>
      <c r="X19" s="830"/>
      <c r="Y19" s="830">
        <v>1</v>
      </c>
      <c r="Z19" s="830">
        <v>2</v>
      </c>
      <c r="AA19" s="830"/>
      <c r="AB19" s="830"/>
      <c r="AC19" s="830">
        <v>10</v>
      </c>
      <c r="AD19" s="830">
        <v>2</v>
      </c>
      <c r="AE19" s="830"/>
      <c r="AF19" s="830">
        <v>1</v>
      </c>
      <c r="AH19" s="830"/>
    </row>
    <row r="20" spans="1:34" ht="18.75" customHeight="1" x14ac:dyDescent="0.2">
      <c r="A20" s="1067" t="s">
        <v>236</v>
      </c>
      <c r="B20" s="597">
        <f>SUM(N14:P14)</f>
        <v>3</v>
      </c>
      <c r="C20" s="597">
        <f>SUM(Q14:R14)</f>
        <v>1</v>
      </c>
      <c r="D20" s="597">
        <f>SUM(S14:V14)</f>
        <v>0</v>
      </c>
      <c r="E20" s="597">
        <f>SUM(W14:Y14)</f>
        <v>1</v>
      </c>
      <c r="F20" s="597">
        <f>SUM(Z14:AA14)</f>
        <v>2</v>
      </c>
      <c r="G20" s="597">
        <f>SUM(AB14:AD14)</f>
        <v>7</v>
      </c>
      <c r="H20" s="597">
        <f>AE14</f>
        <v>25</v>
      </c>
      <c r="I20" s="597">
        <f>AF14</f>
        <v>10</v>
      </c>
      <c r="J20" s="599">
        <f>SUM(B20:I20)</f>
        <v>49</v>
      </c>
      <c r="K20" s="26"/>
      <c r="M20" s="829" t="s">
        <v>346</v>
      </c>
      <c r="N20" s="830"/>
      <c r="O20" s="830"/>
      <c r="P20" s="830"/>
      <c r="Q20" s="830"/>
      <c r="R20" s="830"/>
      <c r="S20" s="830"/>
      <c r="T20" s="830"/>
      <c r="U20" s="830"/>
      <c r="V20" s="830"/>
      <c r="W20" s="830"/>
      <c r="X20" s="830"/>
      <c r="Y20" s="830"/>
      <c r="Z20" s="830">
        <v>1</v>
      </c>
      <c r="AA20" s="830"/>
      <c r="AB20" s="830"/>
      <c r="AC20" s="830"/>
      <c r="AD20" s="830"/>
      <c r="AE20" s="830"/>
      <c r="AF20" s="830"/>
      <c r="AH20" s="830"/>
    </row>
    <row r="21" spans="1:34" ht="18.75" customHeight="1" x14ac:dyDescent="0.2">
      <c r="A21" s="1068"/>
      <c r="B21" s="598">
        <f>B20/B$34</f>
        <v>1.8656716417910447E-3</v>
      </c>
      <c r="C21" s="598">
        <f t="shared" ref="C21:J21" si="9">C20/C$34</f>
        <v>5.5157198014340876E-4</v>
      </c>
      <c r="D21" s="598">
        <f t="shared" si="9"/>
        <v>0</v>
      </c>
      <c r="E21" s="598">
        <f t="shared" si="9"/>
        <v>8.2169268693508624E-4</v>
      </c>
      <c r="F21" s="598">
        <f t="shared" si="9"/>
        <v>1.6326530612244899E-3</v>
      </c>
      <c r="G21" s="598">
        <f t="shared" si="9"/>
        <v>1.4855687606112054E-3</v>
      </c>
      <c r="H21" s="598">
        <f t="shared" si="9"/>
        <v>0.1497005988023952</v>
      </c>
      <c r="I21" s="598">
        <f t="shared" si="9"/>
        <v>5.175983436853002E-3</v>
      </c>
      <c r="J21" s="598">
        <f t="shared" si="9"/>
        <v>3.4982508745627187E-3</v>
      </c>
      <c r="K21" s="832"/>
      <c r="M21" s="829" t="s">
        <v>18</v>
      </c>
      <c r="N21" s="830">
        <v>2</v>
      </c>
      <c r="O21" s="830">
        <v>5</v>
      </c>
      <c r="P21" s="830"/>
      <c r="Q21" s="830">
        <v>1</v>
      </c>
      <c r="R21" s="830"/>
      <c r="S21" s="830">
        <v>2</v>
      </c>
      <c r="T21" s="830"/>
      <c r="U21" s="830"/>
      <c r="V21" s="830"/>
      <c r="W21" s="830">
        <v>5</v>
      </c>
      <c r="X21" s="830"/>
      <c r="Y21" s="830">
        <v>9</v>
      </c>
      <c r="Z21" s="830">
        <v>1</v>
      </c>
      <c r="AA21" s="830">
        <v>6</v>
      </c>
      <c r="AB21" s="830">
        <v>27</v>
      </c>
      <c r="AC21" s="830">
        <v>6</v>
      </c>
      <c r="AD21" s="830">
        <v>2</v>
      </c>
      <c r="AE21" s="830">
        <v>2</v>
      </c>
      <c r="AF21" s="830">
        <v>14</v>
      </c>
      <c r="AH21" s="830"/>
    </row>
    <row r="22" spans="1:34" ht="18.75" customHeight="1" x14ac:dyDescent="0.2">
      <c r="A22" s="1067" t="s">
        <v>509</v>
      </c>
      <c r="B22" s="597">
        <f>SUM(N15:P15)</f>
        <v>4</v>
      </c>
      <c r="C22" s="597">
        <f>SUM(Q15:R15)</f>
        <v>4</v>
      </c>
      <c r="D22" s="597">
        <f>SUM(S15:V15)</f>
        <v>3</v>
      </c>
      <c r="E22" s="597">
        <f>SUM(W15:Y15)</f>
        <v>3</v>
      </c>
      <c r="F22" s="597">
        <f>SUM(Z15:AA15)</f>
        <v>10</v>
      </c>
      <c r="G22" s="597">
        <f>SUM(AB15:AD15)</f>
        <v>13</v>
      </c>
      <c r="H22" s="597">
        <f>AE15</f>
        <v>1</v>
      </c>
      <c r="I22" s="597">
        <f>AF15</f>
        <v>3</v>
      </c>
      <c r="J22" s="599">
        <f>SUM(B22:I22)</f>
        <v>41</v>
      </c>
      <c r="K22" s="26"/>
      <c r="M22" s="829" t="s">
        <v>726</v>
      </c>
      <c r="N22" s="830"/>
      <c r="O22" s="830"/>
      <c r="P22" s="830"/>
      <c r="Q22" s="830"/>
      <c r="R22" s="830"/>
      <c r="S22" s="830"/>
      <c r="T22" s="830"/>
      <c r="U22" s="830"/>
      <c r="V22" s="830"/>
      <c r="W22" s="830"/>
      <c r="X22" s="830"/>
      <c r="Y22" s="830"/>
      <c r="Z22" s="830"/>
      <c r="AA22" s="830"/>
      <c r="AB22" s="830"/>
      <c r="AC22" s="830"/>
      <c r="AD22" s="830"/>
      <c r="AE22" s="830"/>
      <c r="AF22" s="830"/>
      <c r="AH22" s="814"/>
    </row>
    <row r="23" spans="1:34" ht="18.75" customHeight="1" x14ac:dyDescent="0.2">
      <c r="A23" s="1068"/>
      <c r="B23" s="598">
        <f>B22/B$34</f>
        <v>2.4875621890547263E-3</v>
      </c>
      <c r="C23" s="598">
        <f t="shared" ref="C23:J23" si="10">C22/C$34</f>
        <v>2.206287920573635E-3</v>
      </c>
      <c r="D23" s="598">
        <f t="shared" si="10"/>
        <v>2.2505626406601649E-3</v>
      </c>
      <c r="E23" s="598">
        <f t="shared" si="10"/>
        <v>2.4650780608052587E-3</v>
      </c>
      <c r="F23" s="598">
        <f t="shared" si="10"/>
        <v>8.1632653061224497E-3</v>
      </c>
      <c r="G23" s="598">
        <f t="shared" si="10"/>
        <v>2.7589134125636672E-3</v>
      </c>
      <c r="H23" s="598">
        <f t="shared" si="10"/>
        <v>5.9880239520958087E-3</v>
      </c>
      <c r="I23" s="598">
        <f t="shared" si="10"/>
        <v>1.5527950310559005E-3</v>
      </c>
      <c r="J23" s="598">
        <f t="shared" si="10"/>
        <v>2.9271078746341116E-3</v>
      </c>
      <c r="K23" s="832"/>
    </row>
    <row r="24" spans="1:34" ht="18.75" customHeight="1" x14ac:dyDescent="0.2">
      <c r="A24" s="1067" t="s">
        <v>510</v>
      </c>
      <c r="B24" s="597">
        <f>SUM(N16:P16)</f>
        <v>30</v>
      </c>
      <c r="C24" s="597">
        <f>SUM(Q16:R16)</f>
        <v>19</v>
      </c>
      <c r="D24" s="597">
        <f>SUM(S16:V16)</f>
        <v>27</v>
      </c>
      <c r="E24" s="597">
        <f>SUM(W16:Y16)</f>
        <v>17</v>
      </c>
      <c r="F24" s="597">
        <f>SUM(Z16:AA16)</f>
        <v>21</v>
      </c>
      <c r="G24" s="597">
        <f>SUM(AB16:AD16)</f>
        <v>140</v>
      </c>
      <c r="H24" s="597">
        <f>AE16</f>
        <v>3</v>
      </c>
      <c r="I24" s="597">
        <f>AF16</f>
        <v>23</v>
      </c>
      <c r="J24" s="599">
        <f>SUM(B24:I24)</f>
        <v>280</v>
      </c>
      <c r="K24" s="26"/>
    </row>
    <row r="25" spans="1:34" ht="18.75" customHeight="1" x14ac:dyDescent="0.2">
      <c r="A25" s="1068"/>
      <c r="B25" s="598">
        <f>B24/B$34</f>
        <v>1.8656716417910446E-2</v>
      </c>
      <c r="C25" s="598">
        <f t="shared" ref="C25:J25" si="11">C24/C$34</f>
        <v>1.0479867622724766E-2</v>
      </c>
      <c r="D25" s="598">
        <f t="shared" si="11"/>
        <v>2.0255063765941484E-2</v>
      </c>
      <c r="E25" s="598">
        <f t="shared" si="11"/>
        <v>1.3968775677896467E-2</v>
      </c>
      <c r="F25" s="598">
        <f t="shared" si="11"/>
        <v>1.7142857142857144E-2</v>
      </c>
      <c r="G25" s="598">
        <f t="shared" si="11"/>
        <v>2.9711375212224108E-2</v>
      </c>
      <c r="H25" s="598">
        <f t="shared" si="11"/>
        <v>1.7964071856287425E-2</v>
      </c>
      <c r="I25" s="598">
        <f t="shared" si="11"/>
        <v>1.1904761904761904E-2</v>
      </c>
      <c r="J25" s="598">
        <f t="shared" si="11"/>
        <v>1.999000499750125E-2</v>
      </c>
      <c r="K25" s="832"/>
    </row>
    <row r="26" spans="1:34" ht="18.75" customHeight="1" x14ac:dyDescent="0.2">
      <c r="A26" s="1067" t="s">
        <v>79</v>
      </c>
      <c r="B26" s="597">
        <f>SUM(N17:P17)</f>
        <v>15</v>
      </c>
      <c r="C26" s="597">
        <f>SUM(Q17:R17)</f>
        <v>14</v>
      </c>
      <c r="D26" s="597">
        <f>SUM(S17:V17)</f>
        <v>37</v>
      </c>
      <c r="E26" s="597">
        <f>SUM(W17:Y17)</f>
        <v>24</v>
      </c>
      <c r="F26" s="597">
        <f>SUM(Z17:AA17)</f>
        <v>10</v>
      </c>
      <c r="G26" s="597">
        <f>SUM(AB17:AD17)</f>
        <v>36</v>
      </c>
      <c r="H26" s="597">
        <f>AE17</f>
        <v>4</v>
      </c>
      <c r="I26" s="597">
        <f>AF17</f>
        <v>48</v>
      </c>
      <c r="J26" s="599">
        <f>SUM(B26:I26)</f>
        <v>188</v>
      </c>
      <c r="K26" s="26"/>
    </row>
    <row r="27" spans="1:34" ht="18.75" customHeight="1" x14ac:dyDescent="0.2">
      <c r="A27" s="1068"/>
      <c r="B27" s="598">
        <f>B26/B$34</f>
        <v>9.3283582089552231E-3</v>
      </c>
      <c r="C27" s="598">
        <f t="shared" ref="C27:J27" si="12">C26/C$34</f>
        <v>7.7220077220077222E-3</v>
      </c>
      <c r="D27" s="598">
        <f t="shared" si="12"/>
        <v>2.7756939234808702E-2</v>
      </c>
      <c r="E27" s="598">
        <f t="shared" si="12"/>
        <v>1.972062448644207E-2</v>
      </c>
      <c r="F27" s="598">
        <f t="shared" si="12"/>
        <v>8.1632653061224497E-3</v>
      </c>
      <c r="G27" s="598">
        <f t="shared" si="12"/>
        <v>7.6400679117147709E-3</v>
      </c>
      <c r="H27" s="598">
        <f t="shared" si="12"/>
        <v>2.3952095808383235E-2</v>
      </c>
      <c r="I27" s="598">
        <f t="shared" si="12"/>
        <v>2.4844720496894408E-2</v>
      </c>
      <c r="J27" s="598">
        <f t="shared" si="12"/>
        <v>1.3421860498322268E-2</v>
      </c>
      <c r="K27" s="832"/>
    </row>
    <row r="28" spans="1:34" ht="18.75" customHeight="1" x14ac:dyDescent="0.2">
      <c r="A28" s="1067" t="s">
        <v>511</v>
      </c>
      <c r="B28" s="597">
        <f>SUM(N18:P18)</f>
        <v>12</v>
      </c>
      <c r="C28" s="597">
        <f>SUM(Q18:R18)</f>
        <v>4</v>
      </c>
      <c r="D28" s="597">
        <f>SUM(S18:V18)</f>
        <v>13</v>
      </c>
      <c r="E28" s="597">
        <f>SUM(W18:Y18)</f>
        <v>3</v>
      </c>
      <c r="F28" s="597">
        <f>SUM(Z18:AA18)</f>
        <v>6</v>
      </c>
      <c r="G28" s="597">
        <f>SUM(AB18:AD18)</f>
        <v>4</v>
      </c>
      <c r="H28" s="597">
        <f>AE18</f>
        <v>0</v>
      </c>
      <c r="I28" s="597">
        <f>AF18</f>
        <v>7</v>
      </c>
      <c r="J28" s="599">
        <f>SUM(B28:I28)</f>
        <v>49</v>
      </c>
      <c r="K28" s="26"/>
    </row>
    <row r="29" spans="1:34" ht="26.25" customHeight="1" x14ac:dyDescent="0.2">
      <c r="A29" s="1068"/>
      <c r="B29" s="598">
        <f>B28/B$34</f>
        <v>7.462686567164179E-3</v>
      </c>
      <c r="C29" s="598">
        <f t="shared" ref="C29:J29" si="13">C28/C$34</f>
        <v>2.206287920573635E-3</v>
      </c>
      <c r="D29" s="598">
        <f t="shared" si="13"/>
        <v>9.7524381095273824E-3</v>
      </c>
      <c r="E29" s="598">
        <f t="shared" si="13"/>
        <v>2.4650780608052587E-3</v>
      </c>
      <c r="F29" s="598">
        <f t="shared" si="13"/>
        <v>4.8979591836734691E-3</v>
      </c>
      <c r="G29" s="598">
        <f t="shared" si="13"/>
        <v>8.4889643463497452E-4</v>
      </c>
      <c r="H29" s="598">
        <f t="shared" si="13"/>
        <v>0</v>
      </c>
      <c r="I29" s="598">
        <f t="shared" si="13"/>
        <v>3.6231884057971015E-3</v>
      </c>
      <c r="J29" s="598">
        <f t="shared" si="13"/>
        <v>3.4982508745627187E-3</v>
      </c>
      <c r="K29" s="832"/>
    </row>
    <row r="30" spans="1:34" ht="18.75" customHeight="1" x14ac:dyDescent="0.2">
      <c r="A30" s="1067" t="s">
        <v>113</v>
      </c>
      <c r="B30" s="597">
        <f>SUM(N19:P19)</f>
        <v>3</v>
      </c>
      <c r="C30" s="597">
        <f>SUM(Q19:R19)</f>
        <v>5</v>
      </c>
      <c r="D30" s="597">
        <f>SUM(S19:V19)</f>
        <v>0</v>
      </c>
      <c r="E30" s="597">
        <f>SUM(W19:Y19)</f>
        <v>1</v>
      </c>
      <c r="F30" s="597">
        <f>SUM(Z19:AA19)</f>
        <v>2</v>
      </c>
      <c r="G30" s="597">
        <f>SUM(AB19:AD19)</f>
        <v>12</v>
      </c>
      <c r="H30" s="597">
        <f>AE19</f>
        <v>0</v>
      </c>
      <c r="I30" s="597">
        <f>AF19</f>
        <v>1</v>
      </c>
      <c r="J30" s="599">
        <f>SUM(B30:I30)</f>
        <v>24</v>
      </c>
      <c r="K30" s="26"/>
    </row>
    <row r="31" spans="1:34" ht="18.75" customHeight="1" x14ac:dyDescent="0.2">
      <c r="A31" s="1068"/>
      <c r="B31" s="598">
        <f t="shared" ref="B31:J31" si="14">B30/B$34</f>
        <v>1.8656716417910447E-3</v>
      </c>
      <c r="C31" s="598">
        <f t="shared" si="14"/>
        <v>2.7578599007170436E-3</v>
      </c>
      <c r="D31" s="598">
        <f t="shared" si="14"/>
        <v>0</v>
      </c>
      <c r="E31" s="598">
        <f t="shared" si="14"/>
        <v>8.2169268693508624E-4</v>
      </c>
      <c r="F31" s="598">
        <f t="shared" si="14"/>
        <v>1.6326530612244899E-3</v>
      </c>
      <c r="G31" s="598">
        <f t="shared" si="14"/>
        <v>2.5466893039049238E-3</v>
      </c>
      <c r="H31" s="598">
        <f t="shared" si="14"/>
        <v>0</v>
      </c>
      <c r="I31" s="598">
        <f t="shared" si="14"/>
        <v>5.1759834368530024E-4</v>
      </c>
      <c r="J31" s="598">
        <f t="shared" si="14"/>
        <v>1.7134289997858213E-3</v>
      </c>
      <c r="K31" s="832"/>
    </row>
    <row r="32" spans="1:34" ht="18.75" customHeight="1" x14ac:dyDescent="0.2">
      <c r="A32" s="1067" t="s">
        <v>512</v>
      </c>
      <c r="B32" s="597">
        <f>SUM(N20:P21)</f>
        <v>7</v>
      </c>
      <c r="C32" s="597">
        <f>SUM(Q20:R21)</f>
        <v>1</v>
      </c>
      <c r="D32" s="597">
        <f>SUM(S20:V21)</f>
        <v>2</v>
      </c>
      <c r="E32" s="597">
        <f>SUM(W20:Y21)</f>
        <v>14</v>
      </c>
      <c r="F32" s="597">
        <f>SUM(Z20:AA21)</f>
        <v>8</v>
      </c>
      <c r="G32" s="597">
        <f>SUM(AB20:AD21)</f>
        <v>35</v>
      </c>
      <c r="H32" s="597">
        <f>SUM(AE20:AE21)</f>
        <v>2</v>
      </c>
      <c r="I32" s="597">
        <f>SUM(AF20:AF21)</f>
        <v>14</v>
      </c>
      <c r="J32" s="599">
        <f>SUM(B32:I32)</f>
        <v>83</v>
      </c>
      <c r="K32" s="26"/>
    </row>
    <row r="33" spans="1:34" ht="18.75" customHeight="1" x14ac:dyDescent="0.2">
      <c r="A33" s="1068"/>
      <c r="B33" s="598">
        <f t="shared" ref="B33:J33" si="15">B32/B$34</f>
        <v>4.3532338308457713E-3</v>
      </c>
      <c r="C33" s="598">
        <f t="shared" si="15"/>
        <v>5.5157198014340876E-4</v>
      </c>
      <c r="D33" s="598">
        <f t="shared" si="15"/>
        <v>1.5003750937734434E-3</v>
      </c>
      <c r="E33" s="598">
        <f t="shared" si="15"/>
        <v>1.1503697617091208E-2</v>
      </c>
      <c r="F33" s="598">
        <f t="shared" si="15"/>
        <v>6.5306122448979594E-3</v>
      </c>
      <c r="G33" s="598">
        <f t="shared" si="15"/>
        <v>7.427843803056027E-3</v>
      </c>
      <c r="H33" s="598">
        <f t="shared" si="15"/>
        <v>1.1976047904191617E-2</v>
      </c>
      <c r="I33" s="598">
        <f t="shared" si="15"/>
        <v>7.246376811594203E-3</v>
      </c>
      <c r="J33" s="598">
        <f t="shared" si="15"/>
        <v>5.9256086242592985E-3</v>
      </c>
      <c r="K33" s="832"/>
    </row>
    <row r="34" spans="1:34" ht="18.75" customHeight="1" x14ac:dyDescent="0.2">
      <c r="A34" s="1064" t="s">
        <v>149</v>
      </c>
      <c r="B34" s="360">
        <f t="shared" ref="B34:I34" si="16">B4+B12+B14+B16+B18+B20+B22+B24+B26+B28+B30+B32</f>
        <v>1608</v>
      </c>
      <c r="C34" s="360">
        <f t="shared" si="16"/>
        <v>1813</v>
      </c>
      <c r="D34" s="360">
        <f t="shared" si="16"/>
        <v>1333</v>
      </c>
      <c r="E34" s="360">
        <f t="shared" si="16"/>
        <v>1217</v>
      </c>
      <c r="F34" s="360">
        <f t="shared" si="16"/>
        <v>1225</v>
      </c>
      <c r="G34" s="360">
        <f t="shared" si="16"/>
        <v>4712</v>
      </c>
      <c r="H34" s="360">
        <f t="shared" si="16"/>
        <v>167</v>
      </c>
      <c r="I34" s="360">
        <f t="shared" si="16"/>
        <v>1932</v>
      </c>
      <c r="J34" s="360">
        <f>J4+J12+J14+J16+J18+J20+J22+J24+J26+J28+J30+J32</f>
        <v>14007</v>
      </c>
      <c r="K34" s="836"/>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row>
    <row r="35" spans="1:34" ht="18.75" customHeight="1" x14ac:dyDescent="0.2">
      <c r="A35" s="1063"/>
      <c r="B35" s="362">
        <f>SUM(B7,B9,B11,B13,B15,B17,B19,B21,B23,B25,B27,B29,B31,B33)</f>
        <v>1</v>
      </c>
      <c r="C35" s="362">
        <f t="shared" ref="C35:J35" si="17">SUM(C7,C9,C11,C13,C15,C17,C19,C21,C23,C25,C27,C29,C31,C33)</f>
        <v>1</v>
      </c>
      <c r="D35" s="362">
        <f t="shared" si="17"/>
        <v>1</v>
      </c>
      <c r="E35" s="362">
        <f t="shared" si="17"/>
        <v>0.99999999999999989</v>
      </c>
      <c r="F35" s="362">
        <f t="shared" si="17"/>
        <v>0.99999999999999989</v>
      </c>
      <c r="G35" s="362">
        <f t="shared" si="17"/>
        <v>0.99999999999999989</v>
      </c>
      <c r="H35" s="362">
        <f t="shared" si="17"/>
        <v>1</v>
      </c>
      <c r="I35" s="362">
        <f t="shared" si="17"/>
        <v>1</v>
      </c>
      <c r="J35" s="362">
        <f t="shared" si="17"/>
        <v>0.99999999999999989</v>
      </c>
      <c r="K35" s="837"/>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row>
    <row r="38" spans="1:34" x14ac:dyDescent="0.2">
      <c r="A38" s="220"/>
      <c r="B38" s="220"/>
      <c r="C38" s="220"/>
      <c r="D38" s="220"/>
      <c r="E38" s="220"/>
      <c r="F38" s="220"/>
      <c r="G38" s="220"/>
      <c r="H38" s="220"/>
      <c r="I38" s="220"/>
      <c r="J38" s="220"/>
      <c r="K38" s="220"/>
      <c r="L38" s="220"/>
      <c r="M38" s="220"/>
      <c r="N38" s="220"/>
      <c r="O38" s="220"/>
      <c r="P38" s="220"/>
      <c r="Q38" s="220"/>
    </row>
    <row r="39" spans="1:34" x14ac:dyDescent="0.2">
      <c r="A39" s="41"/>
    </row>
    <row r="40" spans="1:34" x14ac:dyDescent="0.2">
      <c r="A40" s="41"/>
    </row>
    <row r="41" spans="1:34" x14ac:dyDescent="0.2">
      <c r="A41" s="41"/>
    </row>
    <row r="42" spans="1:34" x14ac:dyDescent="0.2">
      <c r="A42" s="41"/>
    </row>
    <row r="43" spans="1:34" x14ac:dyDescent="0.2">
      <c r="A43" s="41"/>
    </row>
    <row r="44" spans="1:34" x14ac:dyDescent="0.2">
      <c r="A44" s="41"/>
    </row>
    <row r="45" spans="1:34" x14ac:dyDescent="0.2">
      <c r="A45" s="41"/>
    </row>
    <row r="46" spans="1:34" x14ac:dyDescent="0.2">
      <c r="A46" s="41"/>
    </row>
    <row r="47" spans="1:34" x14ac:dyDescent="0.2">
      <c r="A47" s="41"/>
    </row>
    <row r="48" spans="1:34" x14ac:dyDescent="0.2">
      <c r="A48" s="41"/>
    </row>
    <row r="49" spans="1:5" x14ac:dyDescent="0.2">
      <c r="A49" s="41"/>
    </row>
    <row r="50" spans="1:5" x14ac:dyDescent="0.2">
      <c r="A50" s="41"/>
    </row>
    <row r="51" spans="1:5" x14ac:dyDescent="0.2">
      <c r="A51" s="41"/>
    </row>
    <row r="52" spans="1:5" x14ac:dyDescent="0.2">
      <c r="A52" s="41"/>
    </row>
    <row r="53" spans="1:5" x14ac:dyDescent="0.2">
      <c r="A53" s="41"/>
      <c r="B53" s="805"/>
      <c r="C53" s="805"/>
      <c r="D53" s="805"/>
      <c r="E53" s="805"/>
    </row>
    <row r="54" spans="1:5" x14ac:dyDescent="0.2">
      <c r="A54" s="688"/>
      <c r="B54" s="805"/>
      <c r="C54" s="805"/>
      <c r="D54" s="805"/>
      <c r="E54" s="805"/>
    </row>
    <row r="55" spans="1:5" x14ac:dyDescent="0.2">
      <c r="A55" s="41"/>
    </row>
  </sheetData>
  <mergeCells count="16">
    <mergeCell ref="A14:A15"/>
    <mergeCell ref="A4:A5"/>
    <mergeCell ref="A6:A7"/>
    <mergeCell ref="A8:A9"/>
    <mergeCell ref="A10:A11"/>
    <mergeCell ref="A12:A13"/>
    <mergeCell ref="A28:A29"/>
    <mergeCell ref="A30:A31"/>
    <mergeCell ref="A32:A33"/>
    <mergeCell ref="A34:A35"/>
    <mergeCell ref="A16:A17"/>
    <mergeCell ref="A18:A19"/>
    <mergeCell ref="A20:A21"/>
    <mergeCell ref="A22:A23"/>
    <mergeCell ref="A24:A25"/>
    <mergeCell ref="A26:A27"/>
  </mergeCells>
  <phoneticPr fontId="2"/>
  <printOptions horizontalCentered="1"/>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6257" r:id="rId4" name="Button 1">
              <controlPr defaultSize="0" print="0" autoFill="0" autoPict="0" macro="[0]!データ削除_疾患名区分病院所在地">
                <anchor moveWithCells="1" sizeWithCells="1">
                  <from>
                    <xdr:col>11</xdr:col>
                    <xdr:colOff>731520</xdr:colOff>
                    <xdr:row>23</xdr:row>
                    <xdr:rowOff>205740</xdr:rowOff>
                  </from>
                  <to>
                    <xdr:col>13</xdr:col>
                    <xdr:colOff>655320</xdr:colOff>
                    <xdr:row>26</xdr:row>
                    <xdr:rowOff>76200</xdr:rowOff>
                  </to>
                </anchor>
              </controlPr>
            </control>
          </mc:Choice>
        </mc:AlternateContent>
      </controls>
    </mc:Choice>
  </mc:AlternateContent>
  <tableParts count="1">
    <tablePart r:id="rId5"/>
  </tablePart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8DD0D-E61E-4B29-B393-2675B67C1E24}">
  <sheetPr codeName="Sheet35">
    <tabColor theme="9" tint="-0.499984740745262"/>
    <pageSetUpPr fitToPage="1"/>
  </sheetPr>
  <dimension ref="A1:AH47"/>
  <sheetViews>
    <sheetView showGridLines="0" view="pageBreakPreview" zoomScale="70" zoomScaleNormal="90" zoomScaleSheetLayoutView="70" zoomScalePageLayoutView="70" workbookViewId="0"/>
  </sheetViews>
  <sheetFormatPr defaultColWidth="13.77734375" defaultRowHeight="17.399999999999999" x14ac:dyDescent="0.2"/>
  <cols>
    <col min="1" max="1" width="15.6640625" style="676" customWidth="1"/>
    <col min="2" max="10" width="8.77734375" style="676" customWidth="1"/>
    <col min="11" max="13" width="7.6640625" style="676" hidden="1" customWidth="1"/>
    <col min="14" max="14" width="10" style="676" hidden="1" customWidth="1"/>
    <col min="15" max="33" width="10.44140625" style="676" hidden="1" customWidth="1"/>
    <col min="34" max="34" width="13.77734375" style="676" hidden="1" customWidth="1"/>
    <col min="35" max="16384" width="13.77734375" style="676"/>
  </cols>
  <sheetData>
    <row r="1" spans="1:33" s="677" customFormat="1" ht="19.2" x14ac:dyDescent="0.2">
      <c r="A1" s="2" t="s">
        <v>513</v>
      </c>
    </row>
    <row r="2" spans="1:33" ht="18" thickBot="1" x14ac:dyDescent="0.25">
      <c r="A2" s="4"/>
    </row>
    <row r="3" spans="1:33" ht="18.75" customHeight="1" thickTop="1" thickBot="1" x14ac:dyDescent="0.25">
      <c r="A3" s="359"/>
      <c r="B3" s="359" t="s">
        <v>356</v>
      </c>
      <c r="C3" s="359" t="s">
        <v>357</v>
      </c>
      <c r="D3" s="359" t="s">
        <v>358</v>
      </c>
      <c r="E3" s="359" t="s">
        <v>359</v>
      </c>
      <c r="F3" s="359" t="s">
        <v>360</v>
      </c>
      <c r="G3" s="359" t="s">
        <v>361</v>
      </c>
      <c r="H3" s="359" t="s">
        <v>362</v>
      </c>
      <c r="I3" s="359" t="s">
        <v>363</v>
      </c>
      <c r="J3" s="359" t="s">
        <v>61</v>
      </c>
      <c r="M3" s="838" t="s">
        <v>436</v>
      </c>
      <c r="N3" s="220" t="s">
        <v>364</v>
      </c>
      <c r="O3" s="220" t="s">
        <v>365</v>
      </c>
      <c r="P3" s="220" t="s">
        <v>366</v>
      </c>
      <c r="Q3" s="220" t="s">
        <v>367</v>
      </c>
      <c r="R3" s="220" t="s">
        <v>368</v>
      </c>
      <c r="S3" s="220" t="s">
        <v>369</v>
      </c>
      <c r="T3" s="220" t="s">
        <v>370</v>
      </c>
      <c r="U3" s="220" t="s">
        <v>371</v>
      </c>
      <c r="V3" s="220" t="s">
        <v>372</v>
      </c>
      <c r="W3" s="220" t="s">
        <v>373</v>
      </c>
      <c r="X3" s="220" t="s">
        <v>386</v>
      </c>
      <c r="Y3" s="220" t="s">
        <v>387</v>
      </c>
      <c r="Z3" s="220" t="s">
        <v>388</v>
      </c>
      <c r="AA3" s="220" t="s">
        <v>389</v>
      </c>
      <c r="AB3" s="220" t="s">
        <v>390</v>
      </c>
      <c r="AC3" s="220" t="s">
        <v>391</v>
      </c>
      <c r="AD3" s="220" t="s">
        <v>392</v>
      </c>
      <c r="AE3" s="220" t="s">
        <v>393</v>
      </c>
      <c r="AF3" s="676" t="s">
        <v>394</v>
      </c>
      <c r="AG3" s="220" t="s">
        <v>396</v>
      </c>
    </row>
    <row r="4" spans="1:33" ht="18.75" customHeight="1" thickTop="1" x14ac:dyDescent="0.2">
      <c r="A4" s="1071" t="s">
        <v>59</v>
      </c>
      <c r="B4" s="597">
        <f>SUM(N4:P4)</f>
        <v>226</v>
      </c>
      <c r="C4" s="597">
        <f>SUM(Q4:R4)</f>
        <v>183</v>
      </c>
      <c r="D4" s="597">
        <f>SUM(S4:V4)</f>
        <v>219</v>
      </c>
      <c r="E4" s="597">
        <f>SUM(W4:Y4)</f>
        <v>198</v>
      </c>
      <c r="F4" s="597">
        <f>SUM(Z4:AA4)</f>
        <v>142</v>
      </c>
      <c r="G4" s="597">
        <f>SUM(AB4:AD4)</f>
        <v>378</v>
      </c>
      <c r="H4" s="597">
        <f>AE4</f>
        <v>81</v>
      </c>
      <c r="I4" s="597">
        <f>AF4</f>
        <v>317</v>
      </c>
      <c r="J4" s="599">
        <f>SUM(B4:I4)</f>
        <v>1744</v>
      </c>
      <c r="M4" s="41" t="s">
        <v>170</v>
      </c>
      <c r="N4" s="839">
        <v>32</v>
      </c>
      <c r="O4" s="839">
        <v>159</v>
      </c>
      <c r="P4" s="839">
        <v>35</v>
      </c>
      <c r="Q4" s="839">
        <v>81</v>
      </c>
      <c r="R4" s="839">
        <v>102</v>
      </c>
      <c r="S4" s="839">
        <v>134</v>
      </c>
      <c r="T4" s="839">
        <v>37</v>
      </c>
      <c r="U4" s="839">
        <v>31</v>
      </c>
      <c r="V4" s="839">
        <v>17</v>
      </c>
      <c r="W4" s="839">
        <v>98</v>
      </c>
      <c r="X4" s="839">
        <v>78</v>
      </c>
      <c r="Y4" s="839">
        <v>22</v>
      </c>
      <c r="Z4" s="839">
        <v>50</v>
      </c>
      <c r="AA4" s="839">
        <v>92</v>
      </c>
      <c r="AB4" s="839">
        <v>183</v>
      </c>
      <c r="AC4" s="839">
        <v>111</v>
      </c>
      <c r="AD4" s="839">
        <v>84</v>
      </c>
      <c r="AE4" s="839">
        <v>81</v>
      </c>
      <c r="AF4" s="676">
        <v>317</v>
      </c>
      <c r="AG4" s="839"/>
    </row>
    <row r="5" spans="1:33" ht="18.75" customHeight="1" x14ac:dyDescent="0.2">
      <c r="A5" s="1063"/>
      <c r="B5" s="598">
        <f>B4/B$36</f>
        <v>0.14054726368159204</v>
      </c>
      <c r="C5" s="598">
        <f t="shared" ref="C5:J5" si="0">C4/C$36</f>
        <v>0.10093767236624379</v>
      </c>
      <c r="D5" s="598">
        <f t="shared" si="0"/>
        <v>0.16429107276819205</v>
      </c>
      <c r="E5" s="598">
        <f t="shared" si="0"/>
        <v>0.16269515201314708</v>
      </c>
      <c r="F5" s="598">
        <f t="shared" si="0"/>
        <v>0.11591836734693878</v>
      </c>
      <c r="G5" s="598">
        <f t="shared" si="0"/>
        <v>8.0220713073005087E-2</v>
      </c>
      <c r="H5" s="598">
        <f t="shared" si="0"/>
        <v>0.48502994011976047</v>
      </c>
      <c r="I5" s="598">
        <f t="shared" si="0"/>
        <v>0.16407867494824016</v>
      </c>
      <c r="J5" s="598">
        <f t="shared" si="0"/>
        <v>0.12450917398443635</v>
      </c>
      <c r="M5" s="41" t="s">
        <v>171</v>
      </c>
      <c r="N5" s="839">
        <v>63</v>
      </c>
      <c r="O5" s="839">
        <v>170</v>
      </c>
      <c r="P5" s="839">
        <v>23</v>
      </c>
      <c r="Q5" s="839">
        <v>127</v>
      </c>
      <c r="R5" s="839">
        <v>138</v>
      </c>
      <c r="S5" s="839">
        <v>134</v>
      </c>
      <c r="T5" s="839">
        <v>34</v>
      </c>
      <c r="U5" s="839">
        <v>44</v>
      </c>
      <c r="V5" s="839">
        <v>20</v>
      </c>
      <c r="W5" s="839">
        <v>134</v>
      </c>
      <c r="X5" s="839">
        <v>89</v>
      </c>
      <c r="Y5" s="839">
        <v>41</v>
      </c>
      <c r="Z5" s="839">
        <v>66</v>
      </c>
      <c r="AA5" s="839">
        <v>101</v>
      </c>
      <c r="AB5" s="839">
        <v>242</v>
      </c>
      <c r="AC5" s="839">
        <v>191</v>
      </c>
      <c r="AD5" s="839">
        <v>118</v>
      </c>
      <c r="AE5" s="839">
        <v>73</v>
      </c>
      <c r="AF5" s="676">
        <v>390</v>
      </c>
      <c r="AG5" s="839"/>
    </row>
    <row r="6" spans="1:33" ht="18.75" customHeight="1" x14ac:dyDescent="0.2">
      <c r="A6" s="840" t="s">
        <v>514</v>
      </c>
      <c r="B6" s="597">
        <f>SUM(N5:P5)</f>
        <v>256</v>
      </c>
      <c r="C6" s="597">
        <f>SUM(Q5:R5)</f>
        <v>265</v>
      </c>
      <c r="D6" s="597">
        <f>SUM(S5:V5)</f>
        <v>232</v>
      </c>
      <c r="E6" s="597">
        <f>SUM(W5:Y5)</f>
        <v>264</v>
      </c>
      <c r="F6" s="597">
        <f>SUM(Z5:AA5)</f>
        <v>167</v>
      </c>
      <c r="G6" s="597">
        <f>SUM(AB5:AD5)</f>
        <v>551</v>
      </c>
      <c r="H6" s="597">
        <f>AE5</f>
        <v>73</v>
      </c>
      <c r="I6" s="597">
        <f>AF5</f>
        <v>390</v>
      </c>
      <c r="J6" s="599">
        <f>SUM(B6:I6)</f>
        <v>2198</v>
      </c>
      <c r="M6" s="41" t="s">
        <v>172</v>
      </c>
      <c r="N6" s="839">
        <v>31</v>
      </c>
      <c r="O6" s="839">
        <v>70</v>
      </c>
      <c r="P6" s="839">
        <v>14</v>
      </c>
      <c r="Q6" s="839">
        <v>123</v>
      </c>
      <c r="R6" s="839">
        <v>65</v>
      </c>
      <c r="S6" s="839">
        <v>89</v>
      </c>
      <c r="T6" s="839">
        <v>24</v>
      </c>
      <c r="U6" s="839">
        <v>22</v>
      </c>
      <c r="V6" s="839">
        <v>18</v>
      </c>
      <c r="W6" s="839">
        <v>54</v>
      </c>
      <c r="X6" s="839">
        <v>37</v>
      </c>
      <c r="Y6" s="839">
        <v>14</v>
      </c>
      <c r="Z6" s="839">
        <v>20</v>
      </c>
      <c r="AA6" s="839">
        <v>81</v>
      </c>
      <c r="AB6" s="839">
        <v>158</v>
      </c>
      <c r="AC6" s="839">
        <v>142</v>
      </c>
      <c r="AD6" s="839">
        <v>93</v>
      </c>
      <c r="AE6" s="839">
        <v>10</v>
      </c>
      <c r="AF6" s="676">
        <v>149</v>
      </c>
      <c r="AG6" s="839"/>
    </row>
    <row r="7" spans="1:33" ht="18.75" customHeight="1" x14ac:dyDescent="0.2">
      <c r="A7" s="841" t="s">
        <v>515</v>
      </c>
      <c r="B7" s="598">
        <f>B6/B$36</f>
        <v>0.15920398009950248</v>
      </c>
      <c r="C7" s="598">
        <f t="shared" ref="C7:J7" si="1">C6/C$36</f>
        <v>0.14616657473800332</v>
      </c>
      <c r="D7" s="598">
        <f t="shared" si="1"/>
        <v>0.17404351087771944</v>
      </c>
      <c r="E7" s="598">
        <f t="shared" si="1"/>
        <v>0.21692686935086278</v>
      </c>
      <c r="F7" s="598">
        <f t="shared" si="1"/>
        <v>0.13632653061224489</v>
      </c>
      <c r="G7" s="598">
        <f t="shared" si="1"/>
        <v>0.11693548387096774</v>
      </c>
      <c r="H7" s="598">
        <f t="shared" si="1"/>
        <v>0.43712574850299402</v>
      </c>
      <c r="I7" s="598">
        <f t="shared" si="1"/>
        <v>0.20186335403726707</v>
      </c>
      <c r="J7" s="598">
        <f t="shared" si="1"/>
        <v>0.15692153923038482</v>
      </c>
      <c r="M7" s="41" t="s">
        <v>173</v>
      </c>
      <c r="N7" s="839">
        <v>58</v>
      </c>
      <c r="O7" s="839">
        <v>74</v>
      </c>
      <c r="P7" s="839">
        <v>16</v>
      </c>
      <c r="Q7" s="839">
        <v>150</v>
      </c>
      <c r="R7" s="839">
        <v>57</v>
      </c>
      <c r="S7" s="839">
        <v>84</v>
      </c>
      <c r="T7" s="839">
        <v>23</v>
      </c>
      <c r="U7" s="839">
        <v>32</v>
      </c>
      <c r="V7" s="839">
        <v>23</v>
      </c>
      <c r="W7" s="839">
        <v>64</v>
      </c>
      <c r="X7" s="839">
        <v>36</v>
      </c>
      <c r="Y7" s="839">
        <v>12</v>
      </c>
      <c r="Z7" s="839">
        <v>32</v>
      </c>
      <c r="AA7" s="839">
        <v>104</v>
      </c>
      <c r="AB7" s="839">
        <v>180</v>
      </c>
      <c r="AC7" s="839">
        <v>189</v>
      </c>
      <c r="AD7" s="839">
        <v>114</v>
      </c>
      <c r="AE7" s="839">
        <v>3</v>
      </c>
      <c r="AF7" s="676">
        <v>167</v>
      </c>
      <c r="AG7" s="839"/>
    </row>
    <row r="8" spans="1:33" ht="18.75" customHeight="1" x14ac:dyDescent="0.2">
      <c r="A8" s="840" t="s">
        <v>516</v>
      </c>
      <c r="B8" s="597">
        <f>SUM(N6:P6)</f>
        <v>115</v>
      </c>
      <c r="C8" s="597">
        <f>SUM(Q6:R6)</f>
        <v>188</v>
      </c>
      <c r="D8" s="597">
        <f>SUM(S6:V6)</f>
        <v>153</v>
      </c>
      <c r="E8" s="597">
        <f>SUM(W6:Y6)</f>
        <v>105</v>
      </c>
      <c r="F8" s="597">
        <f>SUM(Z6:AA6)</f>
        <v>101</v>
      </c>
      <c r="G8" s="597">
        <f>SUM(AB6:AD6)</f>
        <v>393</v>
      </c>
      <c r="H8" s="597">
        <f>AE6</f>
        <v>10</v>
      </c>
      <c r="I8" s="597">
        <f>AF6</f>
        <v>149</v>
      </c>
      <c r="J8" s="599">
        <f>SUM(B8:I8)</f>
        <v>1214</v>
      </c>
      <c r="M8" s="41" t="s">
        <v>174</v>
      </c>
      <c r="N8" s="839">
        <v>44</v>
      </c>
      <c r="O8" s="839">
        <v>57</v>
      </c>
      <c r="P8" s="839">
        <v>9</v>
      </c>
      <c r="Q8" s="839">
        <v>96</v>
      </c>
      <c r="R8" s="839">
        <v>36</v>
      </c>
      <c r="S8" s="839">
        <v>34</v>
      </c>
      <c r="T8" s="839">
        <v>12</v>
      </c>
      <c r="U8" s="839">
        <v>10</v>
      </c>
      <c r="V8" s="839">
        <v>14</v>
      </c>
      <c r="W8" s="839">
        <v>42</v>
      </c>
      <c r="X8" s="839">
        <v>18</v>
      </c>
      <c r="Y8" s="839">
        <v>11</v>
      </c>
      <c r="Z8" s="839">
        <v>22</v>
      </c>
      <c r="AA8" s="839">
        <v>66</v>
      </c>
      <c r="AB8" s="839">
        <v>118</v>
      </c>
      <c r="AC8" s="839">
        <v>125</v>
      </c>
      <c r="AD8" s="839">
        <v>76</v>
      </c>
      <c r="AE8" s="839"/>
      <c r="AF8" s="676">
        <v>85</v>
      </c>
      <c r="AG8" s="839"/>
    </row>
    <row r="9" spans="1:33" ht="18.75" customHeight="1" x14ac:dyDescent="0.2">
      <c r="A9" s="841" t="s">
        <v>517</v>
      </c>
      <c r="B9" s="598">
        <f>B8/B$36</f>
        <v>7.1517412935323377E-2</v>
      </c>
      <c r="C9" s="598">
        <f t="shared" ref="C9:J9" si="2">C8/C$36</f>
        <v>0.10369553226696084</v>
      </c>
      <c r="D9" s="598">
        <f t="shared" si="2"/>
        <v>0.11477869467366841</v>
      </c>
      <c r="E9" s="598">
        <f t="shared" si="2"/>
        <v>8.6277732128184056E-2</v>
      </c>
      <c r="F9" s="598">
        <f t="shared" si="2"/>
        <v>8.2448979591836738E-2</v>
      </c>
      <c r="G9" s="598">
        <f t="shared" si="2"/>
        <v>8.3404074702886244E-2</v>
      </c>
      <c r="H9" s="598">
        <f t="shared" si="2"/>
        <v>5.9880239520958084E-2</v>
      </c>
      <c r="I9" s="598">
        <f t="shared" si="2"/>
        <v>7.7122153209109728E-2</v>
      </c>
      <c r="J9" s="598">
        <f t="shared" si="2"/>
        <v>8.6670950239166128E-2</v>
      </c>
      <c r="M9" s="41" t="s">
        <v>175</v>
      </c>
      <c r="N9" s="839">
        <v>27</v>
      </c>
      <c r="O9" s="839">
        <v>40</v>
      </c>
      <c r="P9" s="839">
        <v>8</v>
      </c>
      <c r="Q9" s="839">
        <v>64</v>
      </c>
      <c r="R9" s="839">
        <v>26</v>
      </c>
      <c r="S9" s="839">
        <v>26</v>
      </c>
      <c r="T9" s="839">
        <v>6</v>
      </c>
      <c r="U9" s="839">
        <v>11</v>
      </c>
      <c r="V9" s="839">
        <v>8</v>
      </c>
      <c r="W9" s="839">
        <v>37</v>
      </c>
      <c r="X9" s="839">
        <v>11</v>
      </c>
      <c r="Y9" s="839">
        <v>6</v>
      </c>
      <c r="Z9" s="839">
        <v>23</v>
      </c>
      <c r="AA9" s="839">
        <v>42</v>
      </c>
      <c r="AB9" s="839">
        <v>88</v>
      </c>
      <c r="AC9" s="839">
        <v>127</v>
      </c>
      <c r="AD9" s="839">
        <v>57</v>
      </c>
      <c r="AE9" s="839"/>
      <c r="AF9" s="676">
        <v>62</v>
      </c>
      <c r="AG9" s="839"/>
    </row>
    <row r="10" spans="1:33" ht="18.75" customHeight="1" x14ac:dyDescent="0.2">
      <c r="A10" s="840" t="s">
        <v>518</v>
      </c>
      <c r="B10" s="597">
        <f>SUM(N7:P7)</f>
        <v>148</v>
      </c>
      <c r="C10" s="597">
        <f>SUM(Q7:R7)</f>
        <v>207</v>
      </c>
      <c r="D10" s="597">
        <f>SUM(S7:V7)</f>
        <v>162</v>
      </c>
      <c r="E10" s="597">
        <f>SUM(W7:Y7)</f>
        <v>112</v>
      </c>
      <c r="F10" s="597">
        <f>SUM(Z7:AA7)</f>
        <v>136</v>
      </c>
      <c r="G10" s="597">
        <f>SUM(AB7:AD7)</f>
        <v>483</v>
      </c>
      <c r="H10" s="597">
        <f>AE7</f>
        <v>3</v>
      </c>
      <c r="I10" s="597">
        <f>AF7</f>
        <v>167</v>
      </c>
      <c r="J10" s="599">
        <f>SUM(B10:I10)</f>
        <v>1418</v>
      </c>
      <c r="M10" s="41" t="s">
        <v>176</v>
      </c>
      <c r="N10" s="839">
        <v>58</v>
      </c>
      <c r="O10" s="839">
        <v>40</v>
      </c>
      <c r="P10" s="839">
        <v>16</v>
      </c>
      <c r="Q10" s="839">
        <v>106</v>
      </c>
      <c r="R10" s="839">
        <v>38</v>
      </c>
      <c r="S10" s="839">
        <v>36</v>
      </c>
      <c r="T10" s="839">
        <v>21</v>
      </c>
      <c r="U10" s="839">
        <v>13</v>
      </c>
      <c r="V10" s="839">
        <v>11</v>
      </c>
      <c r="W10" s="839">
        <v>50</v>
      </c>
      <c r="X10" s="839">
        <v>20</v>
      </c>
      <c r="Y10" s="839">
        <v>12</v>
      </c>
      <c r="Z10" s="839">
        <v>28</v>
      </c>
      <c r="AA10" s="839">
        <v>58</v>
      </c>
      <c r="AB10" s="839">
        <v>110</v>
      </c>
      <c r="AC10" s="839">
        <v>211</v>
      </c>
      <c r="AD10" s="839">
        <v>82</v>
      </c>
      <c r="AE10" s="839"/>
      <c r="AF10" s="676">
        <v>111</v>
      </c>
      <c r="AG10" s="839"/>
    </row>
    <row r="11" spans="1:33" ht="18.75" customHeight="1" x14ac:dyDescent="0.2">
      <c r="A11" s="841" t="s">
        <v>68</v>
      </c>
      <c r="B11" s="598">
        <f>B10/B$36</f>
        <v>9.2039800995024873E-2</v>
      </c>
      <c r="C11" s="598">
        <f t="shared" ref="C11:J11" si="3">C10/C$36</f>
        <v>0.1141753998896856</v>
      </c>
      <c r="D11" s="598">
        <f t="shared" si="3"/>
        <v>0.12153038259564891</v>
      </c>
      <c r="E11" s="598">
        <f t="shared" si="3"/>
        <v>9.2029580936729666E-2</v>
      </c>
      <c r="F11" s="598">
        <f t="shared" si="3"/>
        <v>0.11102040816326531</v>
      </c>
      <c r="G11" s="598">
        <f t="shared" si="3"/>
        <v>0.10250424448217317</v>
      </c>
      <c r="H11" s="598">
        <f t="shared" si="3"/>
        <v>1.7964071856287425E-2</v>
      </c>
      <c r="I11" s="598">
        <f t="shared" si="3"/>
        <v>8.6438923395445136E-2</v>
      </c>
      <c r="J11" s="598">
        <f t="shared" si="3"/>
        <v>0.10123509673734561</v>
      </c>
      <c r="M11" s="41" t="s">
        <v>177</v>
      </c>
      <c r="N11" s="839">
        <v>22</v>
      </c>
      <c r="O11" s="839">
        <v>14</v>
      </c>
      <c r="P11" s="839">
        <v>15</v>
      </c>
      <c r="Q11" s="839">
        <v>70</v>
      </c>
      <c r="R11" s="839">
        <v>30</v>
      </c>
      <c r="S11" s="839">
        <v>16</v>
      </c>
      <c r="T11" s="839">
        <v>9</v>
      </c>
      <c r="U11" s="839">
        <v>7</v>
      </c>
      <c r="V11" s="839">
        <v>9</v>
      </c>
      <c r="W11" s="839">
        <v>30</v>
      </c>
      <c r="X11" s="839">
        <v>7</v>
      </c>
      <c r="Y11" s="839">
        <v>6</v>
      </c>
      <c r="Z11" s="839">
        <v>23</v>
      </c>
      <c r="AA11" s="839">
        <v>36</v>
      </c>
      <c r="AB11" s="839">
        <v>81</v>
      </c>
      <c r="AC11" s="839">
        <v>139</v>
      </c>
      <c r="AD11" s="839">
        <v>84</v>
      </c>
      <c r="AE11" s="839"/>
      <c r="AF11" s="676">
        <v>74</v>
      </c>
      <c r="AG11" s="839"/>
    </row>
    <row r="12" spans="1:33" ht="18.75" customHeight="1" x14ac:dyDescent="0.2">
      <c r="A12" s="840" t="s">
        <v>519</v>
      </c>
      <c r="B12" s="597">
        <f>SUM(N8:P8)</f>
        <v>110</v>
      </c>
      <c r="C12" s="597">
        <f>SUM(Q8:R8)</f>
        <v>132</v>
      </c>
      <c r="D12" s="597">
        <f>SUM(S8:V8)</f>
        <v>70</v>
      </c>
      <c r="E12" s="597">
        <f>SUM(W8:Y8)</f>
        <v>71</v>
      </c>
      <c r="F12" s="597">
        <f>SUM(Z8:AA8)</f>
        <v>88</v>
      </c>
      <c r="G12" s="597">
        <f>SUM(AB8:AD8)</f>
        <v>319</v>
      </c>
      <c r="H12" s="597">
        <f>AE8</f>
        <v>0</v>
      </c>
      <c r="I12" s="597">
        <f>AF8</f>
        <v>85</v>
      </c>
      <c r="J12" s="599">
        <f>SUM(B12:I12)</f>
        <v>875</v>
      </c>
      <c r="M12" s="41" t="s">
        <v>178</v>
      </c>
      <c r="N12" s="839">
        <v>24</v>
      </c>
      <c r="O12" s="839">
        <v>28</v>
      </c>
      <c r="P12" s="839">
        <v>10</v>
      </c>
      <c r="Q12" s="839">
        <v>51</v>
      </c>
      <c r="R12" s="839">
        <v>20</v>
      </c>
      <c r="S12" s="839">
        <v>15</v>
      </c>
      <c r="T12" s="839">
        <v>4</v>
      </c>
      <c r="U12" s="839">
        <v>5</v>
      </c>
      <c r="V12" s="839">
        <v>12</v>
      </c>
      <c r="W12" s="839">
        <v>21</v>
      </c>
      <c r="X12" s="839">
        <v>8</v>
      </c>
      <c r="Y12" s="839">
        <v>9</v>
      </c>
      <c r="Z12" s="839">
        <v>15</v>
      </c>
      <c r="AA12" s="839">
        <v>30</v>
      </c>
      <c r="AB12" s="839">
        <v>73</v>
      </c>
      <c r="AC12" s="839">
        <v>100</v>
      </c>
      <c r="AD12" s="839">
        <v>51</v>
      </c>
      <c r="AE12" s="839"/>
      <c r="AF12" s="676">
        <v>70</v>
      </c>
      <c r="AG12" s="839"/>
    </row>
    <row r="13" spans="1:33" ht="18.75" customHeight="1" x14ac:dyDescent="0.2">
      <c r="A13" s="841" t="s">
        <v>520</v>
      </c>
      <c r="B13" s="598">
        <f>B12/B$36</f>
        <v>6.8407960199004969E-2</v>
      </c>
      <c r="C13" s="598">
        <f t="shared" ref="C13:J13" si="4">C12/C$36</f>
        <v>7.2807501378929954E-2</v>
      </c>
      <c r="D13" s="598">
        <f t="shared" si="4"/>
        <v>5.2513128282070519E-2</v>
      </c>
      <c r="E13" s="598">
        <f t="shared" si="4"/>
        <v>5.8340180772391129E-2</v>
      </c>
      <c r="F13" s="598">
        <f t="shared" si="4"/>
        <v>7.1836734693877552E-2</v>
      </c>
      <c r="G13" s="598">
        <f t="shared" si="4"/>
        <v>6.769949066213922E-2</v>
      </c>
      <c r="H13" s="598">
        <f t="shared" si="4"/>
        <v>0</v>
      </c>
      <c r="I13" s="598">
        <f t="shared" si="4"/>
        <v>4.399585921325052E-2</v>
      </c>
      <c r="J13" s="598">
        <f t="shared" si="4"/>
        <v>6.2468765617191405E-2</v>
      </c>
      <c r="M13" s="41" t="s">
        <v>179</v>
      </c>
      <c r="N13" s="839">
        <v>19</v>
      </c>
      <c r="O13" s="839">
        <v>19</v>
      </c>
      <c r="P13" s="839">
        <v>11</v>
      </c>
      <c r="Q13" s="839">
        <v>54</v>
      </c>
      <c r="R13" s="839">
        <v>10</v>
      </c>
      <c r="S13" s="839">
        <v>17</v>
      </c>
      <c r="T13" s="839">
        <v>6</v>
      </c>
      <c r="U13" s="839">
        <v>10</v>
      </c>
      <c r="V13" s="839">
        <v>3</v>
      </c>
      <c r="W13" s="839">
        <v>22</v>
      </c>
      <c r="X13" s="839">
        <v>1</v>
      </c>
      <c r="Y13" s="839">
        <v>3</v>
      </c>
      <c r="Z13" s="839">
        <v>19</v>
      </c>
      <c r="AA13" s="839">
        <v>29</v>
      </c>
      <c r="AB13" s="839">
        <v>69</v>
      </c>
      <c r="AC13" s="839">
        <v>108</v>
      </c>
      <c r="AD13" s="839">
        <v>59</v>
      </c>
      <c r="AE13" s="839"/>
      <c r="AF13" s="676">
        <v>46</v>
      </c>
      <c r="AG13" s="839"/>
    </row>
    <row r="14" spans="1:33" ht="18.75" customHeight="1" x14ac:dyDescent="0.2">
      <c r="A14" s="840" t="s">
        <v>521</v>
      </c>
      <c r="B14" s="597">
        <f>SUM(N9:P9)</f>
        <v>75</v>
      </c>
      <c r="C14" s="597">
        <f>SUM(Q9:R9)</f>
        <v>90</v>
      </c>
      <c r="D14" s="597">
        <f>SUM(S9:V9)</f>
        <v>51</v>
      </c>
      <c r="E14" s="597">
        <f>SUM(W9:Y9)</f>
        <v>54</v>
      </c>
      <c r="F14" s="597">
        <f>SUM(Z9:AA9)</f>
        <v>65</v>
      </c>
      <c r="G14" s="597">
        <f>SUM(AB9:AD9)</f>
        <v>272</v>
      </c>
      <c r="H14" s="597">
        <f>AE9</f>
        <v>0</v>
      </c>
      <c r="I14" s="597">
        <f>AF9</f>
        <v>62</v>
      </c>
      <c r="J14" s="599">
        <f>SUM(B14:I14)</f>
        <v>669</v>
      </c>
      <c r="M14" s="41" t="s">
        <v>180</v>
      </c>
      <c r="N14" s="839">
        <v>18</v>
      </c>
      <c r="O14" s="839">
        <v>12</v>
      </c>
      <c r="P14" s="839">
        <v>7</v>
      </c>
      <c r="Q14" s="839">
        <v>36</v>
      </c>
      <c r="R14" s="839">
        <v>15</v>
      </c>
      <c r="S14" s="839">
        <v>10</v>
      </c>
      <c r="T14" s="839">
        <v>5</v>
      </c>
      <c r="U14" s="839">
        <v>9</v>
      </c>
      <c r="V14" s="839"/>
      <c r="W14" s="839">
        <v>29</v>
      </c>
      <c r="X14" s="839">
        <v>2</v>
      </c>
      <c r="Y14" s="839">
        <v>10</v>
      </c>
      <c r="Z14" s="839">
        <v>18</v>
      </c>
      <c r="AA14" s="839">
        <v>15</v>
      </c>
      <c r="AB14" s="839">
        <v>72</v>
      </c>
      <c r="AC14" s="839">
        <v>48</v>
      </c>
      <c r="AD14" s="839">
        <v>37</v>
      </c>
      <c r="AE14" s="839"/>
      <c r="AF14" s="676">
        <v>49</v>
      </c>
      <c r="AG14" s="839"/>
    </row>
    <row r="15" spans="1:33" ht="18.75" customHeight="1" x14ac:dyDescent="0.2">
      <c r="A15" s="841" t="s">
        <v>522</v>
      </c>
      <c r="B15" s="598">
        <f>B14/B$36</f>
        <v>4.6641791044776122E-2</v>
      </c>
      <c r="C15" s="598">
        <f t="shared" ref="C15:J15" si="5">C14/C$36</f>
        <v>4.9641478212906785E-2</v>
      </c>
      <c r="D15" s="598">
        <f t="shared" si="5"/>
        <v>3.8259564891222807E-2</v>
      </c>
      <c r="E15" s="598">
        <f t="shared" si="5"/>
        <v>4.4371405094494658E-2</v>
      </c>
      <c r="F15" s="598">
        <f t="shared" si="5"/>
        <v>5.3061224489795916E-2</v>
      </c>
      <c r="G15" s="598">
        <f t="shared" si="5"/>
        <v>5.7724957555178265E-2</v>
      </c>
      <c r="H15" s="598">
        <f t="shared" si="5"/>
        <v>0</v>
      </c>
      <c r="I15" s="598">
        <f t="shared" si="5"/>
        <v>3.2091097308488616E-2</v>
      </c>
      <c r="J15" s="598">
        <f t="shared" si="5"/>
        <v>4.7761833369029769E-2</v>
      </c>
      <c r="M15" s="41" t="s">
        <v>181</v>
      </c>
      <c r="N15" s="839">
        <v>17</v>
      </c>
      <c r="O15" s="839">
        <v>14</v>
      </c>
      <c r="P15" s="839">
        <v>12</v>
      </c>
      <c r="Q15" s="839">
        <v>61</v>
      </c>
      <c r="R15" s="839">
        <v>7</v>
      </c>
      <c r="S15" s="839">
        <v>28</v>
      </c>
      <c r="T15" s="839">
        <v>3</v>
      </c>
      <c r="U15" s="839">
        <v>4</v>
      </c>
      <c r="V15" s="839">
        <v>4</v>
      </c>
      <c r="W15" s="839">
        <v>13</v>
      </c>
      <c r="X15" s="839">
        <v>5</v>
      </c>
      <c r="Y15" s="839">
        <v>4</v>
      </c>
      <c r="Z15" s="839">
        <v>12</v>
      </c>
      <c r="AA15" s="839">
        <v>16</v>
      </c>
      <c r="AB15" s="839">
        <v>28</v>
      </c>
      <c r="AC15" s="839">
        <v>58</v>
      </c>
      <c r="AD15" s="839">
        <v>38</v>
      </c>
      <c r="AE15" s="839"/>
      <c r="AF15" s="676">
        <v>42</v>
      </c>
      <c r="AG15" s="839"/>
    </row>
    <row r="16" spans="1:33" ht="18.75" customHeight="1" x14ac:dyDescent="0.2">
      <c r="A16" s="840" t="s">
        <v>523</v>
      </c>
      <c r="B16" s="597">
        <f>SUM(N10:P10)</f>
        <v>114</v>
      </c>
      <c r="C16" s="597">
        <f>SUM(Q10:R10)</f>
        <v>144</v>
      </c>
      <c r="D16" s="597">
        <f>SUM(S10:V10)</f>
        <v>81</v>
      </c>
      <c r="E16" s="597">
        <f>SUM(W10:Y10)</f>
        <v>82</v>
      </c>
      <c r="F16" s="597">
        <f>SUM(Z10:AA10)</f>
        <v>86</v>
      </c>
      <c r="G16" s="597">
        <f>SUM(AB10:AD10)</f>
        <v>403</v>
      </c>
      <c r="H16" s="597">
        <f>AE10</f>
        <v>0</v>
      </c>
      <c r="I16" s="597">
        <f>AF10</f>
        <v>111</v>
      </c>
      <c r="J16" s="599">
        <f>SUM(B16:I16)</f>
        <v>1021</v>
      </c>
      <c r="M16" s="41" t="s">
        <v>182</v>
      </c>
      <c r="N16" s="839">
        <v>9</v>
      </c>
      <c r="O16" s="839">
        <v>22</v>
      </c>
      <c r="P16" s="839">
        <v>3</v>
      </c>
      <c r="Q16" s="839">
        <v>19</v>
      </c>
      <c r="R16" s="839">
        <v>9</v>
      </c>
      <c r="S16" s="839">
        <v>10</v>
      </c>
      <c r="T16" s="839">
        <v>4</v>
      </c>
      <c r="U16" s="839">
        <v>4</v>
      </c>
      <c r="V16" s="839">
        <v>6</v>
      </c>
      <c r="W16" s="839">
        <v>18</v>
      </c>
      <c r="X16" s="839">
        <v>1</v>
      </c>
      <c r="Y16" s="839">
        <v>4</v>
      </c>
      <c r="Z16" s="839">
        <v>11</v>
      </c>
      <c r="AA16" s="839">
        <v>12</v>
      </c>
      <c r="AB16" s="839">
        <v>29</v>
      </c>
      <c r="AC16" s="839">
        <v>49</v>
      </c>
      <c r="AD16" s="839">
        <v>27</v>
      </c>
      <c r="AE16" s="839"/>
      <c r="AF16" s="676">
        <v>34</v>
      </c>
      <c r="AG16" s="839"/>
    </row>
    <row r="17" spans="1:33" ht="18.75" customHeight="1" x14ac:dyDescent="0.2">
      <c r="A17" s="841" t="s">
        <v>524</v>
      </c>
      <c r="B17" s="598">
        <f>B16/B$36</f>
        <v>7.0895522388059698E-2</v>
      </c>
      <c r="C17" s="598">
        <f t="shared" ref="C17:J17" si="6">C16/C$36</f>
        <v>7.9426365140650851E-2</v>
      </c>
      <c r="D17" s="598">
        <f t="shared" si="6"/>
        <v>6.0765191297824456E-2</v>
      </c>
      <c r="E17" s="598">
        <f t="shared" si="6"/>
        <v>6.7378800328677074E-2</v>
      </c>
      <c r="F17" s="598">
        <f t="shared" si="6"/>
        <v>7.0204081632653056E-2</v>
      </c>
      <c r="G17" s="598">
        <f t="shared" si="6"/>
        <v>8.5526315789473686E-2</v>
      </c>
      <c r="H17" s="598">
        <f t="shared" si="6"/>
        <v>0</v>
      </c>
      <c r="I17" s="598">
        <f t="shared" si="6"/>
        <v>5.745341614906832E-2</v>
      </c>
      <c r="J17" s="598">
        <f t="shared" si="6"/>
        <v>7.2892125365888488E-2</v>
      </c>
      <c r="M17" s="41" t="s">
        <v>183</v>
      </c>
      <c r="N17" s="839">
        <v>8</v>
      </c>
      <c r="O17" s="839">
        <v>16</v>
      </c>
      <c r="P17" s="839">
        <v>7</v>
      </c>
      <c r="Q17" s="839">
        <v>17</v>
      </c>
      <c r="R17" s="839">
        <v>10</v>
      </c>
      <c r="S17" s="839">
        <v>10</v>
      </c>
      <c r="T17" s="839">
        <v>6</v>
      </c>
      <c r="U17" s="839">
        <v>5</v>
      </c>
      <c r="V17" s="839">
        <v>4</v>
      </c>
      <c r="W17" s="839">
        <v>10</v>
      </c>
      <c r="X17" s="839">
        <v>1</v>
      </c>
      <c r="Y17" s="839">
        <v>1</v>
      </c>
      <c r="Z17" s="839">
        <v>10</v>
      </c>
      <c r="AA17" s="839">
        <v>12</v>
      </c>
      <c r="AB17" s="839">
        <v>16</v>
      </c>
      <c r="AC17" s="839">
        <v>35</v>
      </c>
      <c r="AD17" s="839">
        <v>23</v>
      </c>
      <c r="AE17" s="839"/>
      <c r="AF17" s="676">
        <v>17</v>
      </c>
      <c r="AG17" s="839"/>
    </row>
    <row r="18" spans="1:33" ht="18.75" customHeight="1" x14ac:dyDescent="0.2">
      <c r="A18" s="840" t="s">
        <v>525</v>
      </c>
      <c r="B18" s="597">
        <f>SUM(N11:P11)</f>
        <v>51</v>
      </c>
      <c r="C18" s="597">
        <f>SUM(Q11:R11)</f>
        <v>100</v>
      </c>
      <c r="D18" s="597">
        <f>SUM(S11:V11)</f>
        <v>41</v>
      </c>
      <c r="E18" s="597">
        <f>SUM(W11:Y11)</f>
        <v>43</v>
      </c>
      <c r="F18" s="597">
        <f>SUM(Z11:AA11)</f>
        <v>59</v>
      </c>
      <c r="G18" s="597">
        <f>SUM(AB11:AD11)</f>
        <v>304</v>
      </c>
      <c r="H18" s="597">
        <f>AE11</f>
        <v>0</v>
      </c>
      <c r="I18" s="597">
        <f>AF11</f>
        <v>74</v>
      </c>
      <c r="J18" s="599">
        <f>SUM(B18:I18)</f>
        <v>672</v>
      </c>
      <c r="M18" s="41" t="s">
        <v>184</v>
      </c>
      <c r="N18" s="839">
        <v>42</v>
      </c>
      <c r="O18" s="839">
        <v>72</v>
      </c>
      <c r="P18" s="839">
        <v>39</v>
      </c>
      <c r="Q18" s="839">
        <v>88</v>
      </c>
      <c r="R18" s="839">
        <v>38</v>
      </c>
      <c r="S18" s="839">
        <v>44</v>
      </c>
      <c r="T18" s="839">
        <v>12</v>
      </c>
      <c r="U18" s="839">
        <v>18</v>
      </c>
      <c r="V18" s="839">
        <v>15</v>
      </c>
      <c r="W18" s="839">
        <v>57</v>
      </c>
      <c r="X18" s="839">
        <v>17</v>
      </c>
      <c r="Y18" s="839">
        <v>13</v>
      </c>
      <c r="Z18" s="839">
        <v>48</v>
      </c>
      <c r="AA18" s="839">
        <v>65</v>
      </c>
      <c r="AB18" s="839">
        <v>102</v>
      </c>
      <c r="AC18" s="839">
        <v>244</v>
      </c>
      <c r="AD18" s="839">
        <v>110</v>
      </c>
      <c r="AE18" s="839"/>
      <c r="AF18" s="676">
        <v>179</v>
      </c>
      <c r="AG18" s="839"/>
    </row>
    <row r="19" spans="1:33" ht="18.75" customHeight="1" x14ac:dyDescent="0.2">
      <c r="A19" s="841" t="s">
        <v>526</v>
      </c>
      <c r="B19" s="598">
        <f>B18/B$36</f>
        <v>3.1716417910447763E-2</v>
      </c>
      <c r="C19" s="598">
        <f t="shared" ref="C19:J19" si="7">C18/C$36</f>
        <v>5.5157198014340873E-2</v>
      </c>
      <c r="D19" s="598">
        <f t="shared" si="7"/>
        <v>3.0757689422355589E-2</v>
      </c>
      <c r="E19" s="598">
        <f t="shared" si="7"/>
        <v>3.5332785538208712E-2</v>
      </c>
      <c r="F19" s="598">
        <f t="shared" si="7"/>
        <v>4.8163265306122451E-2</v>
      </c>
      <c r="G19" s="598">
        <f t="shared" si="7"/>
        <v>6.4516129032258063E-2</v>
      </c>
      <c r="H19" s="598">
        <f t="shared" si="7"/>
        <v>0</v>
      </c>
      <c r="I19" s="598">
        <f t="shared" si="7"/>
        <v>3.8302277432712216E-2</v>
      </c>
      <c r="J19" s="598">
        <f t="shared" si="7"/>
        <v>4.7976011994002997E-2</v>
      </c>
      <c r="M19" s="41" t="s">
        <v>185</v>
      </c>
      <c r="N19" s="839">
        <v>52</v>
      </c>
      <c r="O19" s="839">
        <v>16</v>
      </c>
      <c r="P19" s="839">
        <v>36</v>
      </c>
      <c r="Q19" s="839">
        <v>53</v>
      </c>
      <c r="R19" s="839">
        <v>16</v>
      </c>
      <c r="S19" s="839">
        <v>34</v>
      </c>
      <c r="T19" s="839">
        <v>2</v>
      </c>
      <c r="U19" s="839">
        <v>6</v>
      </c>
      <c r="V19" s="839">
        <v>9</v>
      </c>
      <c r="W19" s="839">
        <v>25</v>
      </c>
      <c r="X19" s="839">
        <v>12</v>
      </c>
      <c r="Y19" s="839">
        <v>2</v>
      </c>
      <c r="Z19" s="839">
        <v>29</v>
      </c>
      <c r="AA19" s="839">
        <v>40</v>
      </c>
      <c r="AB19" s="839">
        <v>50</v>
      </c>
      <c r="AC19" s="839">
        <v>112</v>
      </c>
      <c r="AD19" s="839">
        <v>71</v>
      </c>
      <c r="AE19" s="839"/>
      <c r="AF19" s="676">
        <v>140</v>
      </c>
      <c r="AG19" s="839"/>
    </row>
    <row r="20" spans="1:33" ht="18.75" customHeight="1" x14ac:dyDescent="0.2">
      <c r="A20" s="840" t="s">
        <v>527</v>
      </c>
      <c r="B20" s="597">
        <f>SUM(N12:P12)</f>
        <v>62</v>
      </c>
      <c r="C20" s="597">
        <f>SUM(Q12:R12)</f>
        <v>71</v>
      </c>
      <c r="D20" s="597">
        <f>SUM(S12:V12)</f>
        <v>36</v>
      </c>
      <c r="E20" s="597">
        <f>SUM(W12:Y12)</f>
        <v>38</v>
      </c>
      <c r="F20" s="597">
        <f>SUM(Z12:AA12)</f>
        <v>45</v>
      </c>
      <c r="G20" s="597">
        <f>SUM(AB12:AD12)</f>
        <v>224</v>
      </c>
      <c r="H20" s="597">
        <f>AE12</f>
        <v>0</v>
      </c>
      <c r="I20" s="597">
        <f>AF12</f>
        <v>70</v>
      </c>
      <c r="J20" s="599">
        <f>SUM(B20:I20)</f>
        <v>546</v>
      </c>
      <c r="M20" s="41" t="s">
        <v>726</v>
      </c>
      <c r="N20" s="839"/>
      <c r="O20" s="839"/>
      <c r="P20" s="839"/>
      <c r="Q20" s="839"/>
      <c r="R20" s="839"/>
      <c r="S20" s="839"/>
      <c r="T20" s="839"/>
      <c r="U20" s="839"/>
      <c r="V20" s="839"/>
      <c r="W20" s="839"/>
      <c r="X20" s="839"/>
      <c r="Y20" s="839"/>
      <c r="Z20" s="839"/>
      <c r="AA20" s="839"/>
      <c r="AB20" s="839"/>
      <c r="AC20" s="839"/>
      <c r="AD20" s="839"/>
      <c r="AE20" s="839"/>
      <c r="AG20" s="839"/>
    </row>
    <row r="21" spans="1:33" ht="18.75" customHeight="1" x14ac:dyDescent="0.2">
      <c r="A21" s="841" t="s">
        <v>528</v>
      </c>
      <c r="B21" s="598">
        <f>B20/B$36</f>
        <v>3.8557213930348257E-2</v>
      </c>
      <c r="C21" s="598">
        <f t="shared" ref="C21:J21" si="8">C20/C$36</f>
        <v>3.9161610590182021E-2</v>
      </c>
      <c r="D21" s="598">
        <f t="shared" si="8"/>
        <v>2.7006751687921979E-2</v>
      </c>
      <c r="E21" s="598">
        <f t="shared" si="8"/>
        <v>3.1224322103533278E-2</v>
      </c>
      <c r="F21" s="598">
        <f t="shared" si="8"/>
        <v>3.6734693877551024E-2</v>
      </c>
      <c r="G21" s="598">
        <f t="shared" si="8"/>
        <v>4.7538200339558571E-2</v>
      </c>
      <c r="H21" s="598">
        <f t="shared" si="8"/>
        <v>0</v>
      </c>
      <c r="I21" s="598">
        <f t="shared" si="8"/>
        <v>3.6231884057971016E-2</v>
      </c>
      <c r="J21" s="598">
        <f t="shared" si="8"/>
        <v>3.8980509745127435E-2</v>
      </c>
    </row>
    <row r="22" spans="1:33" ht="18.75" customHeight="1" x14ac:dyDescent="0.2">
      <c r="A22" s="840" t="s">
        <v>529</v>
      </c>
      <c r="B22" s="597">
        <f>SUM(N13:P13)</f>
        <v>49</v>
      </c>
      <c r="C22" s="597">
        <f>SUM(Q13:R13)</f>
        <v>64</v>
      </c>
      <c r="D22" s="597">
        <f>SUM(S13:V13)</f>
        <v>36</v>
      </c>
      <c r="E22" s="597">
        <f>SUM(W13:Y13)</f>
        <v>26</v>
      </c>
      <c r="F22" s="597">
        <f>SUM(Z13:AA13)</f>
        <v>48</v>
      </c>
      <c r="G22" s="597">
        <f>SUM(AB13:AD13)</f>
        <v>236</v>
      </c>
      <c r="H22" s="597">
        <f>AE13</f>
        <v>0</v>
      </c>
      <c r="I22" s="597">
        <f>AF13</f>
        <v>46</v>
      </c>
      <c r="J22" s="599">
        <f>SUM(B22:I22)</f>
        <v>505</v>
      </c>
    </row>
    <row r="23" spans="1:33" ht="18.75" customHeight="1" x14ac:dyDescent="0.2">
      <c r="A23" s="841" t="s">
        <v>530</v>
      </c>
      <c r="B23" s="598">
        <f>B22/B$36</f>
        <v>3.0472636815920398E-2</v>
      </c>
      <c r="C23" s="598">
        <f t="shared" ref="C23:J23" si="9">C22/C$36</f>
        <v>3.5300606729178161E-2</v>
      </c>
      <c r="D23" s="598">
        <f t="shared" si="9"/>
        <v>2.7006751687921979E-2</v>
      </c>
      <c r="E23" s="598">
        <f t="shared" si="9"/>
        <v>2.1364009860312245E-2</v>
      </c>
      <c r="F23" s="598">
        <f t="shared" si="9"/>
        <v>3.9183673469387753E-2</v>
      </c>
      <c r="G23" s="598">
        <f t="shared" si="9"/>
        <v>5.0084889643463498E-2</v>
      </c>
      <c r="H23" s="598">
        <f t="shared" si="9"/>
        <v>0</v>
      </c>
      <c r="I23" s="598">
        <f t="shared" si="9"/>
        <v>2.3809523809523808E-2</v>
      </c>
      <c r="J23" s="598">
        <f t="shared" si="9"/>
        <v>3.6053401870493322E-2</v>
      </c>
    </row>
    <row r="24" spans="1:33" ht="18.75" customHeight="1" x14ac:dyDescent="0.2">
      <c r="A24" s="840" t="s">
        <v>531</v>
      </c>
      <c r="B24" s="597">
        <f>SUM(N14:P14)</f>
        <v>37</v>
      </c>
      <c r="C24" s="597">
        <f>SUM(Q14:R14)</f>
        <v>51</v>
      </c>
      <c r="D24" s="597">
        <f>SUM(S14:V14)</f>
        <v>24</v>
      </c>
      <c r="E24" s="597">
        <f>SUM(W14:Y14)</f>
        <v>41</v>
      </c>
      <c r="F24" s="597">
        <f>SUM(Z14:AA14)</f>
        <v>33</v>
      </c>
      <c r="G24" s="597">
        <f>SUM(AB14:AD14)</f>
        <v>157</v>
      </c>
      <c r="H24" s="597">
        <f>AE14</f>
        <v>0</v>
      </c>
      <c r="I24" s="597">
        <f>AF14</f>
        <v>49</v>
      </c>
      <c r="J24" s="599">
        <f>SUM(B24:I24)</f>
        <v>392</v>
      </c>
    </row>
    <row r="25" spans="1:33" ht="18.75" customHeight="1" x14ac:dyDescent="0.2">
      <c r="A25" s="841" t="s">
        <v>532</v>
      </c>
      <c r="B25" s="598">
        <f>B24/B$36</f>
        <v>2.3009950248756218E-2</v>
      </c>
      <c r="C25" s="598">
        <f t="shared" ref="C25:J25" si="10">C24/C$36</f>
        <v>2.8130170987313845E-2</v>
      </c>
      <c r="D25" s="598">
        <f t="shared" si="10"/>
        <v>1.8004501125281319E-2</v>
      </c>
      <c r="E25" s="598">
        <f t="shared" si="10"/>
        <v>3.3689400164338537E-2</v>
      </c>
      <c r="F25" s="598">
        <f t="shared" si="10"/>
        <v>2.6938775510204082E-2</v>
      </c>
      <c r="G25" s="598">
        <f t="shared" si="10"/>
        <v>3.3319185059422753E-2</v>
      </c>
      <c r="H25" s="598">
        <f t="shared" si="10"/>
        <v>0</v>
      </c>
      <c r="I25" s="598">
        <f t="shared" si="10"/>
        <v>2.5362318840579712E-2</v>
      </c>
      <c r="J25" s="598">
        <f t="shared" si="10"/>
        <v>2.798600699650175E-2</v>
      </c>
    </row>
    <row r="26" spans="1:33" ht="18.75" customHeight="1" x14ac:dyDescent="0.2">
      <c r="A26" s="840" t="s">
        <v>533</v>
      </c>
      <c r="B26" s="597">
        <f>SUM(N15:P15)</f>
        <v>43</v>
      </c>
      <c r="C26" s="597">
        <f>SUM(Q15:R15)</f>
        <v>68</v>
      </c>
      <c r="D26" s="597">
        <f>SUM(S15:V15)</f>
        <v>39</v>
      </c>
      <c r="E26" s="597">
        <f>SUM(W15:Y15)</f>
        <v>22</v>
      </c>
      <c r="F26" s="597">
        <f>SUM(Z15:AA15)</f>
        <v>28</v>
      </c>
      <c r="G26" s="597">
        <f>SUM(AB15:AD15)</f>
        <v>124</v>
      </c>
      <c r="H26" s="597">
        <f>AE15</f>
        <v>0</v>
      </c>
      <c r="I26" s="597">
        <f>AF15</f>
        <v>42</v>
      </c>
      <c r="J26" s="599">
        <f>SUM(B26:I26)</f>
        <v>366</v>
      </c>
    </row>
    <row r="27" spans="1:33" ht="18.75" customHeight="1" x14ac:dyDescent="0.2">
      <c r="A27" s="841" t="s">
        <v>534</v>
      </c>
      <c r="B27" s="598">
        <f>B26/B$36</f>
        <v>2.6741293532338308E-2</v>
      </c>
      <c r="C27" s="598">
        <f t="shared" ref="C27:J27" si="11">C26/C$36</f>
        <v>3.7506894649751793E-2</v>
      </c>
      <c r="D27" s="598">
        <f t="shared" si="11"/>
        <v>2.9257314328582147E-2</v>
      </c>
      <c r="E27" s="598">
        <f t="shared" si="11"/>
        <v>1.8077239112571898E-2</v>
      </c>
      <c r="F27" s="598">
        <f t="shared" si="11"/>
        <v>2.2857142857142857E-2</v>
      </c>
      <c r="G27" s="598">
        <f t="shared" si="11"/>
        <v>2.6315789473684209E-2</v>
      </c>
      <c r="H27" s="598">
        <f t="shared" si="11"/>
        <v>0</v>
      </c>
      <c r="I27" s="598">
        <f t="shared" si="11"/>
        <v>2.1739130434782608E-2</v>
      </c>
      <c r="J27" s="598">
        <f t="shared" si="11"/>
        <v>2.6129792246733775E-2</v>
      </c>
    </row>
    <row r="28" spans="1:33" ht="18.75" customHeight="1" x14ac:dyDescent="0.2">
      <c r="A28" s="840" t="s">
        <v>535</v>
      </c>
      <c r="B28" s="597">
        <f>SUM(N16:P16)</f>
        <v>34</v>
      </c>
      <c r="C28" s="597">
        <f>SUM(Q16:R16)</f>
        <v>28</v>
      </c>
      <c r="D28" s="597">
        <f>SUM(S16:V16)</f>
        <v>24</v>
      </c>
      <c r="E28" s="597">
        <f>SUM(W16:Y16)</f>
        <v>23</v>
      </c>
      <c r="F28" s="597">
        <f>SUM(Z16:AA16)</f>
        <v>23</v>
      </c>
      <c r="G28" s="597">
        <f>SUM(AB16:AD16)</f>
        <v>105</v>
      </c>
      <c r="H28" s="597">
        <f>AE16</f>
        <v>0</v>
      </c>
      <c r="I28" s="597">
        <f>AF16</f>
        <v>34</v>
      </c>
      <c r="J28" s="599">
        <f>SUM(B28:I28)</f>
        <v>271</v>
      </c>
    </row>
    <row r="29" spans="1:33" ht="18.75" customHeight="1" x14ac:dyDescent="0.2">
      <c r="A29" s="841" t="s">
        <v>536</v>
      </c>
      <c r="B29" s="598">
        <f>B28/B$36</f>
        <v>2.1144278606965175E-2</v>
      </c>
      <c r="C29" s="598">
        <f t="shared" ref="C29:J29" si="12">C28/C$36</f>
        <v>1.5444015444015444E-2</v>
      </c>
      <c r="D29" s="598">
        <f t="shared" si="12"/>
        <v>1.8004501125281319E-2</v>
      </c>
      <c r="E29" s="598">
        <f t="shared" si="12"/>
        <v>1.8898931799506986E-2</v>
      </c>
      <c r="F29" s="598">
        <f t="shared" si="12"/>
        <v>1.8775510204081632E-2</v>
      </c>
      <c r="G29" s="598">
        <f t="shared" si="12"/>
        <v>2.228353140916808E-2</v>
      </c>
      <c r="H29" s="598">
        <f t="shared" si="12"/>
        <v>0</v>
      </c>
      <c r="I29" s="598">
        <f t="shared" si="12"/>
        <v>1.7598343685300208E-2</v>
      </c>
      <c r="J29" s="598">
        <f t="shared" si="12"/>
        <v>1.9347469122581566E-2</v>
      </c>
    </row>
    <row r="30" spans="1:33" ht="18.75" customHeight="1" x14ac:dyDescent="0.2">
      <c r="A30" s="840" t="s">
        <v>537</v>
      </c>
      <c r="B30" s="597">
        <f>SUM(N17:P17)</f>
        <v>31</v>
      </c>
      <c r="C30" s="597">
        <f>SUM(Q17:R17)</f>
        <v>27</v>
      </c>
      <c r="D30" s="597">
        <f>SUM(S17:V17)</f>
        <v>25</v>
      </c>
      <c r="E30" s="597">
        <f>SUM(W17:Y17)</f>
        <v>12</v>
      </c>
      <c r="F30" s="597">
        <f>SUM(Z17:AA17)</f>
        <v>22</v>
      </c>
      <c r="G30" s="597">
        <f>SUM(AB17:AD17)</f>
        <v>74</v>
      </c>
      <c r="H30" s="597">
        <f>AE17</f>
        <v>0</v>
      </c>
      <c r="I30" s="597">
        <f>AF17</f>
        <v>17</v>
      </c>
      <c r="J30" s="599">
        <f>SUM(B30:I30)</f>
        <v>208</v>
      </c>
    </row>
    <row r="31" spans="1:33" ht="18.75" customHeight="1" x14ac:dyDescent="0.2">
      <c r="A31" s="841" t="s">
        <v>538</v>
      </c>
      <c r="B31" s="598">
        <f>B30/B$36</f>
        <v>1.9278606965174128E-2</v>
      </c>
      <c r="C31" s="598">
        <f t="shared" ref="C31:J31" si="13">C30/C$36</f>
        <v>1.4892443463872035E-2</v>
      </c>
      <c r="D31" s="598">
        <f t="shared" si="13"/>
        <v>1.8754688672168042E-2</v>
      </c>
      <c r="E31" s="598">
        <f t="shared" si="13"/>
        <v>9.8603122432210349E-3</v>
      </c>
      <c r="F31" s="598">
        <f t="shared" si="13"/>
        <v>1.7959183673469388E-2</v>
      </c>
      <c r="G31" s="598">
        <f t="shared" si="13"/>
        <v>1.5704584040747028E-2</v>
      </c>
      <c r="H31" s="598">
        <f t="shared" si="13"/>
        <v>0</v>
      </c>
      <c r="I31" s="598">
        <f t="shared" si="13"/>
        <v>8.7991718426501039E-3</v>
      </c>
      <c r="J31" s="598">
        <f t="shared" si="13"/>
        <v>1.4849717998143785E-2</v>
      </c>
    </row>
    <row r="32" spans="1:33" ht="18.75" customHeight="1" x14ac:dyDescent="0.2">
      <c r="A32" s="840" t="s">
        <v>539</v>
      </c>
      <c r="B32" s="597">
        <f>SUM(N18:P18)</f>
        <v>153</v>
      </c>
      <c r="C32" s="597">
        <f>SUM(Q18:R18)</f>
        <v>126</v>
      </c>
      <c r="D32" s="597">
        <f>SUM(S18:V18)</f>
        <v>89</v>
      </c>
      <c r="E32" s="597">
        <f>SUM(W18:Y18)</f>
        <v>87</v>
      </c>
      <c r="F32" s="597">
        <f>SUM(Z18:AA18)</f>
        <v>113</v>
      </c>
      <c r="G32" s="597">
        <f>SUM(AB18:AD18)</f>
        <v>456</v>
      </c>
      <c r="H32" s="597">
        <f>AE18</f>
        <v>0</v>
      </c>
      <c r="I32" s="597">
        <f>AF18</f>
        <v>179</v>
      </c>
      <c r="J32" s="599">
        <f>SUM(B32:I32)</f>
        <v>1203</v>
      </c>
    </row>
    <row r="33" spans="1:10" ht="18.75" customHeight="1" x14ac:dyDescent="0.2">
      <c r="A33" s="841" t="s">
        <v>540</v>
      </c>
      <c r="B33" s="598">
        <f>B32/B$36</f>
        <v>9.5149253731343281E-2</v>
      </c>
      <c r="C33" s="598">
        <f t="shared" ref="C33:J33" si="14">C32/C$36</f>
        <v>6.9498069498069498E-2</v>
      </c>
      <c r="D33" s="598">
        <f t="shared" si="14"/>
        <v>6.6766691672918224E-2</v>
      </c>
      <c r="E33" s="598">
        <f t="shared" si="14"/>
        <v>7.1487263763352502E-2</v>
      </c>
      <c r="F33" s="598">
        <f t="shared" si="14"/>
        <v>9.2244897959183669E-2</v>
      </c>
      <c r="G33" s="598">
        <f t="shared" si="14"/>
        <v>9.6774193548387094E-2</v>
      </c>
      <c r="H33" s="598">
        <f t="shared" si="14"/>
        <v>0</v>
      </c>
      <c r="I33" s="598">
        <f t="shared" si="14"/>
        <v>9.2650103519668736E-2</v>
      </c>
      <c r="J33" s="598">
        <f t="shared" si="14"/>
        <v>8.5885628614264298E-2</v>
      </c>
    </row>
    <row r="34" spans="1:10" ht="18.75" customHeight="1" x14ac:dyDescent="0.2">
      <c r="A34" s="1071" t="s">
        <v>60</v>
      </c>
      <c r="B34" s="597">
        <f>SUM(N19:P19)</f>
        <v>104</v>
      </c>
      <c r="C34" s="597">
        <f>SUM(Q19:R19)</f>
        <v>69</v>
      </c>
      <c r="D34" s="597">
        <f>SUM(S19:V19)</f>
        <v>51</v>
      </c>
      <c r="E34" s="597">
        <f>SUM(W19:Y19)</f>
        <v>39</v>
      </c>
      <c r="F34" s="597">
        <f>SUM(Z19:AA19)</f>
        <v>69</v>
      </c>
      <c r="G34" s="597">
        <f>SUM(AB19:AD19)</f>
        <v>233</v>
      </c>
      <c r="H34" s="597">
        <f>AE19</f>
        <v>0</v>
      </c>
      <c r="I34" s="597">
        <f>AF19</f>
        <v>140</v>
      </c>
      <c r="J34" s="599">
        <f>SUM(B34:I34)</f>
        <v>705</v>
      </c>
    </row>
    <row r="35" spans="1:10" ht="18.75" customHeight="1" x14ac:dyDescent="0.2">
      <c r="A35" s="1063"/>
      <c r="B35" s="598">
        <f>B34/B$36</f>
        <v>6.4676616915422883E-2</v>
      </c>
      <c r="C35" s="598">
        <f t="shared" ref="C35:J35" si="15">C34/C$36</f>
        <v>3.8058466629895205E-2</v>
      </c>
      <c r="D35" s="598">
        <f t="shared" si="15"/>
        <v>3.8259564891222807E-2</v>
      </c>
      <c r="E35" s="598">
        <f t="shared" si="15"/>
        <v>3.2046014790468362E-2</v>
      </c>
      <c r="F35" s="598">
        <f t="shared" si="15"/>
        <v>5.63265306122449E-2</v>
      </c>
      <c r="G35" s="598">
        <f t="shared" si="15"/>
        <v>4.9448217317487268E-2</v>
      </c>
      <c r="H35" s="598">
        <f t="shared" si="15"/>
        <v>0</v>
      </c>
      <c r="I35" s="598">
        <f t="shared" si="15"/>
        <v>7.2463768115942032E-2</v>
      </c>
      <c r="J35" s="598">
        <f t="shared" si="15"/>
        <v>5.0331976868708501E-2</v>
      </c>
    </row>
    <row r="36" spans="1:10" ht="18.75" customHeight="1" x14ac:dyDescent="0.2">
      <c r="A36" s="1064" t="s">
        <v>149</v>
      </c>
      <c r="B36" s="360">
        <f>SUM(B4,B6,B8,B10,B12,B14,B16,B18,B20,B22,B24,B26,B28,B30,B32,B34)</f>
        <v>1608</v>
      </c>
      <c r="C36" s="360">
        <f t="shared" ref="C36:J36" si="16">SUM(C4,C6,C8,C10,C12,C14,C16,C18,C20,C22,C24,C26,C28,C30,C32,C34)</f>
        <v>1813</v>
      </c>
      <c r="D36" s="360">
        <f t="shared" si="16"/>
        <v>1333</v>
      </c>
      <c r="E36" s="360">
        <f t="shared" si="16"/>
        <v>1217</v>
      </c>
      <c r="F36" s="360">
        <f t="shared" si="16"/>
        <v>1225</v>
      </c>
      <c r="G36" s="360">
        <f t="shared" si="16"/>
        <v>4712</v>
      </c>
      <c r="H36" s="360">
        <f t="shared" si="16"/>
        <v>167</v>
      </c>
      <c r="I36" s="360">
        <f t="shared" si="16"/>
        <v>1932</v>
      </c>
      <c r="J36" s="361">
        <f t="shared" si="16"/>
        <v>14007</v>
      </c>
    </row>
    <row r="37" spans="1:10" ht="18.75" customHeight="1" x14ac:dyDescent="0.2">
      <c r="A37" s="1063"/>
      <c r="B37" s="362">
        <f t="shared" ref="B37:J37" si="17">SUM(B5,B7,B9,B11,B13,B15,B17,B19,B21,B23,B25,B27,B29,B31,B33,B35)</f>
        <v>1.0000000000000002</v>
      </c>
      <c r="C37" s="362">
        <f t="shared" si="17"/>
        <v>0.99999999999999978</v>
      </c>
      <c r="D37" s="362">
        <f t="shared" si="17"/>
        <v>1</v>
      </c>
      <c r="E37" s="362">
        <f t="shared" si="17"/>
        <v>0.99999999999999989</v>
      </c>
      <c r="F37" s="362">
        <f t="shared" si="17"/>
        <v>1</v>
      </c>
      <c r="G37" s="362">
        <f t="shared" si="17"/>
        <v>0.99999999999999989</v>
      </c>
      <c r="H37" s="362">
        <f t="shared" si="17"/>
        <v>1</v>
      </c>
      <c r="I37" s="362">
        <f t="shared" si="17"/>
        <v>1</v>
      </c>
      <c r="J37" s="362">
        <f t="shared" si="17"/>
        <v>1.0000000000000002</v>
      </c>
    </row>
    <row r="38" spans="1:10" s="677" customFormat="1" ht="18.75" customHeight="1" x14ac:dyDescent="0.2">
      <c r="A38" s="1071" t="s">
        <v>55</v>
      </c>
      <c r="B38" s="597">
        <f>SUM(B4,B6,B8,B10)</f>
        <v>745</v>
      </c>
      <c r="C38" s="597">
        <f t="shared" ref="C38:I38" si="18">SUM(C4,C6,C8,C10)</f>
        <v>843</v>
      </c>
      <c r="D38" s="597">
        <f t="shared" si="18"/>
        <v>766</v>
      </c>
      <c r="E38" s="597">
        <f t="shared" si="18"/>
        <v>679</v>
      </c>
      <c r="F38" s="597">
        <f t="shared" si="18"/>
        <v>546</v>
      </c>
      <c r="G38" s="597">
        <f t="shared" si="18"/>
        <v>1805</v>
      </c>
      <c r="H38" s="597">
        <f t="shared" si="18"/>
        <v>167</v>
      </c>
      <c r="I38" s="597">
        <f t="shared" si="18"/>
        <v>1023</v>
      </c>
      <c r="J38" s="597">
        <f t="shared" ref="J38" si="19">SUM(B38:I38)</f>
        <v>6574</v>
      </c>
    </row>
    <row r="39" spans="1:10" s="677" customFormat="1" ht="18.75" customHeight="1" x14ac:dyDescent="0.2">
      <c r="A39" s="1063"/>
      <c r="B39" s="598">
        <f>B38/B$36</f>
        <v>0.4633084577114428</v>
      </c>
      <c r="C39" s="598">
        <f t="shared" ref="C39:J45" si="20">C38/C$36</f>
        <v>0.46497517926089355</v>
      </c>
      <c r="D39" s="598">
        <f t="shared" si="20"/>
        <v>0.57464366091522878</v>
      </c>
      <c r="E39" s="598">
        <f t="shared" si="20"/>
        <v>0.55792933442892356</v>
      </c>
      <c r="F39" s="598">
        <f t="shared" si="20"/>
        <v>0.44571428571428573</v>
      </c>
      <c r="G39" s="598">
        <f t="shared" si="20"/>
        <v>0.38306451612903225</v>
      </c>
      <c r="H39" s="598">
        <f t="shared" si="20"/>
        <v>1</v>
      </c>
      <c r="I39" s="598">
        <f t="shared" si="20"/>
        <v>0.52950310559006208</v>
      </c>
      <c r="J39" s="598">
        <f t="shared" si="20"/>
        <v>0.46933676019133291</v>
      </c>
    </row>
    <row r="40" spans="1:10" ht="18.75" customHeight="1" x14ac:dyDescent="0.2">
      <c r="A40" s="842" t="s">
        <v>541</v>
      </c>
      <c r="B40" s="597">
        <f>SUM(B12,B14,B16,B18,B20)</f>
        <v>412</v>
      </c>
      <c r="C40" s="597">
        <f t="shared" ref="C40:I40" si="21">SUM(C12,C14,C16,C18,C20)</f>
        <v>537</v>
      </c>
      <c r="D40" s="597">
        <f t="shared" si="21"/>
        <v>279</v>
      </c>
      <c r="E40" s="597">
        <f t="shared" si="21"/>
        <v>288</v>
      </c>
      <c r="F40" s="597">
        <f t="shared" si="21"/>
        <v>343</v>
      </c>
      <c r="G40" s="597">
        <f t="shared" si="21"/>
        <v>1522</v>
      </c>
      <c r="H40" s="597">
        <f t="shared" si="21"/>
        <v>0</v>
      </c>
      <c r="I40" s="597">
        <f t="shared" si="21"/>
        <v>402</v>
      </c>
      <c r="J40" s="597">
        <f t="shared" ref="J40" si="22">SUM(B40:I40)</f>
        <v>3783</v>
      </c>
    </row>
    <row r="41" spans="1:10" ht="18.75" customHeight="1" x14ac:dyDescent="0.2">
      <c r="A41" s="843" t="s">
        <v>542</v>
      </c>
      <c r="B41" s="598">
        <f>B40/B$36</f>
        <v>0.25621890547263682</v>
      </c>
      <c r="C41" s="598">
        <f t="shared" ref="C41:I41" si="23">C40/C$36</f>
        <v>0.29619415333701049</v>
      </c>
      <c r="D41" s="598">
        <f t="shared" si="23"/>
        <v>0.20930232558139536</v>
      </c>
      <c r="E41" s="598">
        <f t="shared" si="23"/>
        <v>0.23664749383730485</v>
      </c>
      <c r="F41" s="598">
        <f t="shared" si="23"/>
        <v>0.28000000000000003</v>
      </c>
      <c r="G41" s="598">
        <f t="shared" si="23"/>
        <v>0.32300509337860783</v>
      </c>
      <c r="H41" s="598">
        <f t="shared" si="23"/>
        <v>0</v>
      </c>
      <c r="I41" s="598">
        <f t="shared" si="23"/>
        <v>0.20807453416149069</v>
      </c>
      <c r="J41" s="598">
        <f t="shared" si="20"/>
        <v>0.27007924609124012</v>
      </c>
    </row>
    <row r="42" spans="1:10" s="677" customFormat="1" ht="18.75" customHeight="1" x14ac:dyDescent="0.2">
      <c r="A42" s="842" t="s">
        <v>543</v>
      </c>
      <c r="B42" s="597">
        <f>SUM(B22,B24,B26,B28,B30)</f>
        <v>194</v>
      </c>
      <c r="C42" s="597">
        <f t="shared" ref="C42:I42" si="24">SUM(C22,C24,C26,C28,C30)</f>
        <v>238</v>
      </c>
      <c r="D42" s="597">
        <f t="shared" si="24"/>
        <v>148</v>
      </c>
      <c r="E42" s="597">
        <f t="shared" si="24"/>
        <v>124</v>
      </c>
      <c r="F42" s="597">
        <f t="shared" si="24"/>
        <v>154</v>
      </c>
      <c r="G42" s="597">
        <f t="shared" si="24"/>
        <v>696</v>
      </c>
      <c r="H42" s="597">
        <f t="shared" si="24"/>
        <v>0</v>
      </c>
      <c r="I42" s="597">
        <f t="shared" si="24"/>
        <v>188</v>
      </c>
      <c r="J42" s="597">
        <f t="shared" ref="J42" si="25">SUM(B42:I42)</f>
        <v>1742</v>
      </c>
    </row>
    <row r="43" spans="1:10" s="677" customFormat="1" ht="18.75" customHeight="1" x14ac:dyDescent="0.2">
      <c r="A43" s="843" t="s">
        <v>544</v>
      </c>
      <c r="B43" s="598">
        <f>B42/B$36</f>
        <v>0.12064676616915423</v>
      </c>
      <c r="C43" s="598">
        <f t="shared" ref="C43:I43" si="26">C42/C$36</f>
        <v>0.13127413127413126</v>
      </c>
      <c r="D43" s="598">
        <f t="shared" si="26"/>
        <v>0.11102775693923481</v>
      </c>
      <c r="E43" s="598">
        <f t="shared" si="26"/>
        <v>0.1018898931799507</v>
      </c>
      <c r="F43" s="598">
        <f t="shared" si="26"/>
        <v>0.12571428571428572</v>
      </c>
      <c r="G43" s="598">
        <f t="shared" si="26"/>
        <v>0.14770797962648557</v>
      </c>
      <c r="H43" s="598">
        <f t="shared" si="26"/>
        <v>0</v>
      </c>
      <c r="I43" s="598">
        <f t="shared" si="26"/>
        <v>9.7308488612836433E-2</v>
      </c>
      <c r="J43" s="598">
        <f t="shared" si="20"/>
        <v>0.1243663882344542</v>
      </c>
    </row>
    <row r="44" spans="1:10" ht="18.75" customHeight="1" x14ac:dyDescent="0.2">
      <c r="A44" s="1071" t="s">
        <v>545</v>
      </c>
      <c r="B44" s="597">
        <f>SUM(B32,B34)</f>
        <v>257</v>
      </c>
      <c r="C44" s="597">
        <f t="shared" ref="C44:I44" si="27">SUM(C32,C34)</f>
        <v>195</v>
      </c>
      <c r="D44" s="597">
        <f t="shared" si="27"/>
        <v>140</v>
      </c>
      <c r="E44" s="597">
        <f t="shared" si="27"/>
        <v>126</v>
      </c>
      <c r="F44" s="597">
        <f t="shared" si="27"/>
        <v>182</v>
      </c>
      <c r="G44" s="597">
        <f t="shared" si="27"/>
        <v>689</v>
      </c>
      <c r="H44" s="597">
        <f t="shared" si="27"/>
        <v>0</v>
      </c>
      <c r="I44" s="597">
        <f t="shared" si="27"/>
        <v>319</v>
      </c>
      <c r="J44" s="597">
        <f t="shared" ref="J44" si="28">SUM(B44:I44)</f>
        <v>1908</v>
      </c>
    </row>
    <row r="45" spans="1:10" ht="18.75" customHeight="1" x14ac:dyDescent="0.2">
      <c r="A45" s="1063"/>
      <c r="B45" s="598">
        <f>B44/B$36</f>
        <v>0.15982587064676618</v>
      </c>
      <c r="C45" s="598">
        <f t="shared" ref="C45:I45" si="29">C44/C$36</f>
        <v>0.1075565361279647</v>
      </c>
      <c r="D45" s="598">
        <f t="shared" si="29"/>
        <v>0.10502625656414104</v>
      </c>
      <c r="E45" s="598">
        <f t="shared" si="29"/>
        <v>0.10353327855382087</v>
      </c>
      <c r="F45" s="598">
        <f t="shared" si="29"/>
        <v>0.14857142857142858</v>
      </c>
      <c r="G45" s="598">
        <f t="shared" si="29"/>
        <v>0.14622241086587437</v>
      </c>
      <c r="H45" s="598">
        <f t="shared" si="29"/>
        <v>0</v>
      </c>
      <c r="I45" s="598">
        <f t="shared" si="29"/>
        <v>0.16511387163561075</v>
      </c>
      <c r="J45" s="598">
        <f t="shared" si="20"/>
        <v>0.13621760548297279</v>
      </c>
    </row>
    <row r="46" spans="1:10" hidden="1" x14ac:dyDescent="0.2">
      <c r="B46" s="27">
        <f>SUM(B38,B40,B42,B44)</f>
        <v>1608</v>
      </c>
      <c r="C46" s="27">
        <f t="shared" ref="C46:I46" si="30">SUM(C38,C40,C42,C44)</f>
        <v>1813</v>
      </c>
      <c r="D46" s="27">
        <f t="shared" si="30"/>
        <v>1333</v>
      </c>
      <c r="E46" s="27">
        <f t="shared" si="30"/>
        <v>1217</v>
      </c>
      <c r="F46" s="27">
        <f t="shared" si="30"/>
        <v>1225</v>
      </c>
      <c r="G46" s="27">
        <f>SUM(G38,G40,G42,G44)</f>
        <v>4712</v>
      </c>
      <c r="H46" s="27">
        <f t="shared" si="30"/>
        <v>167</v>
      </c>
      <c r="I46" s="27">
        <f t="shared" si="30"/>
        <v>1932</v>
      </c>
    </row>
    <row r="47" spans="1:10" x14ac:dyDescent="0.2">
      <c r="B47" s="27"/>
      <c r="C47" s="27"/>
      <c r="D47" s="27"/>
      <c r="E47" s="27"/>
      <c r="F47" s="27"/>
      <c r="G47" s="27"/>
      <c r="H47" s="27"/>
      <c r="I47" s="27"/>
    </row>
  </sheetData>
  <mergeCells count="5">
    <mergeCell ref="A4:A5"/>
    <mergeCell ref="A34:A35"/>
    <mergeCell ref="A36:A37"/>
    <mergeCell ref="A38:A39"/>
    <mergeCell ref="A44:A45"/>
  </mergeCells>
  <phoneticPr fontId="2"/>
  <printOptions horizontalCentered="1"/>
  <pageMargins left="0.70866141732283472" right="0.70866141732283472" top="0.74803149606299213" bottom="0.74803149606299213"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7281" r:id="rId4" name="Button 1">
              <controlPr defaultSize="0" print="0" autoFill="0" autoPict="0" macro="[0]!データ削除_在院期間区分病院所在地">
                <anchor moveWithCells="1" sizeWithCells="1">
                  <from>
                    <xdr:col>11</xdr:col>
                    <xdr:colOff>304800</xdr:colOff>
                    <xdr:row>21</xdr:row>
                    <xdr:rowOff>60960</xdr:rowOff>
                  </from>
                  <to>
                    <xdr:col>13</xdr:col>
                    <xdr:colOff>655320</xdr:colOff>
                    <xdr:row>23</xdr:row>
                    <xdr:rowOff>160020</xdr:rowOff>
                  </to>
                </anchor>
              </controlPr>
            </control>
          </mc:Choice>
        </mc:AlternateContent>
      </controls>
    </mc:Choice>
  </mc:AlternateContent>
  <tableParts count="1">
    <tablePart r:id="rId5"/>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tint="-0.249977111117893"/>
  </sheetPr>
  <dimension ref="A1:T22"/>
  <sheetViews>
    <sheetView showGridLines="0" view="pageBreakPreview" zoomScale="90" zoomScaleNormal="100" zoomScaleSheetLayoutView="90" workbookViewId="0"/>
  </sheetViews>
  <sheetFormatPr defaultColWidth="9" defaultRowHeight="17.399999999999999" x14ac:dyDescent="0.2"/>
  <cols>
    <col min="1" max="1" width="22.109375" style="1" customWidth="1"/>
    <col min="2" max="2" width="10.5546875" style="1" bestFit="1" customWidth="1"/>
    <col min="3" max="3" width="10.77734375" style="1" bestFit="1" customWidth="1"/>
    <col min="4" max="4" width="9" style="1" customWidth="1"/>
    <col min="5" max="5" width="10.77734375" style="1" bestFit="1" customWidth="1"/>
    <col min="6" max="6" width="5.88671875" style="1" bestFit="1" customWidth="1"/>
    <col min="7" max="7" width="20.77734375" style="1" hidden="1" customWidth="1"/>
    <col min="8" max="8" width="22.21875" style="1" hidden="1" customWidth="1"/>
    <col min="9" max="9" width="5" style="1" hidden="1" customWidth="1"/>
    <col min="10" max="10" width="15.21875" style="1" hidden="1" customWidth="1"/>
    <col min="11" max="11" width="13.88671875" style="1" hidden="1" customWidth="1"/>
    <col min="12" max="12" width="20.33203125" style="1" hidden="1" customWidth="1"/>
    <col min="13" max="13" width="5" style="1" hidden="1" customWidth="1"/>
    <col min="14" max="14" width="6.6640625" style="1" hidden="1" customWidth="1"/>
    <col min="15" max="15" width="7.33203125" style="1" customWidth="1"/>
    <col min="16" max="16384" width="9" style="1"/>
  </cols>
  <sheetData>
    <row r="1" spans="1:20" s="3" customFormat="1" ht="19.2" x14ac:dyDescent="0.2">
      <c r="A1" s="2" t="s">
        <v>108</v>
      </c>
    </row>
    <row r="2" spans="1:20" x14ac:dyDescent="0.2">
      <c r="A2" s="4"/>
      <c r="G2" s="43" t="s">
        <v>62</v>
      </c>
    </row>
    <row r="3" spans="1:20" s="3" customFormat="1" ht="18" customHeight="1" thickBot="1" x14ac:dyDescent="0.25">
      <c r="A3" s="4" t="s">
        <v>13</v>
      </c>
      <c r="G3" s="228" t="s">
        <v>260</v>
      </c>
      <c r="H3" s="302" t="s">
        <v>326</v>
      </c>
      <c r="I3" s="1"/>
      <c r="J3" s="1"/>
    </row>
    <row r="4" spans="1:20" ht="15.75" customHeight="1" thickTop="1" thickBot="1" x14ac:dyDescent="0.25">
      <c r="A4" s="388"/>
      <c r="B4" s="388" t="s">
        <v>0</v>
      </c>
      <c r="C4" s="388" t="s">
        <v>1</v>
      </c>
      <c r="D4" s="145"/>
      <c r="E4" s="145"/>
      <c r="G4" s="697" t="s">
        <v>655</v>
      </c>
      <c r="H4" s="698" t="s">
        <v>663</v>
      </c>
      <c r="J4" s="24"/>
    </row>
    <row r="5" spans="1:20" ht="18" thickTop="1" x14ac:dyDescent="0.2">
      <c r="A5" s="467" t="s">
        <v>14</v>
      </c>
      <c r="B5" s="476">
        <f>IFERROR(VLOOKUP("措置入院",'２-Ⅱ'!$G$4:$H$12,2,FALSE),0)+IFERROR(VLOOKUP("緊急措置入院",'２-Ⅱ'!$G$4:$H$12,2,FALSE),0)</f>
        <v>41</v>
      </c>
      <c r="C5" s="469">
        <f>IFERROR(B5/B$10,"-")</f>
        <v>2.9271078746341116E-3</v>
      </c>
      <c r="D5" s="145"/>
      <c r="E5" s="145"/>
      <c r="G5" s="699" t="s">
        <v>664</v>
      </c>
      <c r="H5" s="700">
        <v>7498</v>
      </c>
      <c r="J5" s="29"/>
    </row>
    <row r="6" spans="1:20" x14ac:dyDescent="0.2">
      <c r="A6" s="467" t="s">
        <v>15</v>
      </c>
      <c r="B6" s="476">
        <f>IFERROR(VLOOKUP(A6,'２-Ⅱ'!$G$4:$H$12,2,FALSE),0)</f>
        <v>6431</v>
      </c>
      <c r="C6" s="469">
        <f t="shared" ref="C6:C9" si="0">IFERROR(B6/B$10,"-")</f>
        <v>0.45912757906760904</v>
      </c>
      <c r="D6" s="145"/>
      <c r="E6" s="145"/>
      <c r="G6" s="701" t="s">
        <v>665</v>
      </c>
      <c r="H6" s="702">
        <v>41</v>
      </c>
      <c r="J6" s="29"/>
    </row>
    <row r="7" spans="1:20" x14ac:dyDescent="0.2">
      <c r="A7" s="467" t="s">
        <v>16</v>
      </c>
      <c r="B7" s="476">
        <f>IFERROR(VLOOKUP(A7,'２-Ⅱ'!$G$4:$H$12,2,FALSE),0)</f>
        <v>7498</v>
      </c>
      <c r="C7" s="469">
        <f t="shared" si="0"/>
        <v>0.53530377668308704</v>
      </c>
      <c r="D7" s="145"/>
      <c r="E7" s="145"/>
      <c r="G7" s="703" t="s">
        <v>666</v>
      </c>
      <c r="H7" s="700">
        <v>5</v>
      </c>
      <c r="J7" s="29"/>
    </row>
    <row r="8" spans="1:20" x14ac:dyDescent="0.2">
      <c r="A8" s="467" t="s">
        <v>17</v>
      </c>
      <c r="B8" s="476">
        <f>IFERROR(VLOOKUP(A8,'２-Ⅱ'!$G$4:$H$12,2,FALSE),0)</f>
        <v>3</v>
      </c>
      <c r="C8" s="469">
        <f t="shared" si="0"/>
        <v>2.1417862497322766E-4</v>
      </c>
      <c r="D8" s="145"/>
      <c r="E8" s="145"/>
      <c r="G8" s="701" t="s">
        <v>667</v>
      </c>
      <c r="H8" s="702">
        <v>3</v>
      </c>
      <c r="J8" s="29"/>
    </row>
    <row r="9" spans="1:20" x14ac:dyDescent="0.2">
      <c r="A9" s="467" t="s">
        <v>18</v>
      </c>
      <c r="B9" s="476">
        <f>IFERROR(VLOOKUP("鑑定入院",'２-Ⅱ'!$G$4:$H$12,2,FALSE),0)+IFERROR(VLOOKUP("医療観察法による入院",'２-Ⅱ'!$G$4:$H$12,2,FALSE),0)+IFERROR(VLOOKUP("不明",'２-Ⅱ'!$G$4:$H$12,2,FALSE),0)</f>
        <v>34</v>
      </c>
      <c r="C9" s="469">
        <f t="shared" si="0"/>
        <v>2.4273577496965802E-3</v>
      </c>
      <c r="D9" s="145"/>
      <c r="E9" s="145"/>
      <c r="G9" s="703" t="s">
        <v>668</v>
      </c>
      <c r="H9" s="700">
        <v>6431</v>
      </c>
    </row>
    <row r="10" spans="1:20" x14ac:dyDescent="0.2">
      <c r="A10" s="471" t="s">
        <v>11</v>
      </c>
      <c r="B10" s="472">
        <f>SUM(B5:B9)</f>
        <v>14007</v>
      </c>
      <c r="C10" s="473">
        <f>SUM(C5:C9)</f>
        <v>1</v>
      </c>
      <c r="D10" s="145"/>
      <c r="E10" s="145"/>
      <c r="G10" s="704" t="s">
        <v>669</v>
      </c>
      <c r="H10" s="702">
        <v>29</v>
      </c>
    </row>
    <row r="11" spans="1:20" x14ac:dyDescent="0.2">
      <c r="A11" s="477"/>
      <c r="B11" s="478"/>
      <c r="C11" s="479"/>
      <c r="D11" s="145"/>
      <c r="E11" s="145"/>
      <c r="G11" s="705" t="s">
        <v>670</v>
      </c>
      <c r="H11" s="700">
        <v>0</v>
      </c>
    </row>
    <row r="12" spans="1:20" x14ac:dyDescent="0.2">
      <c r="A12" s="477"/>
      <c r="B12" s="478"/>
      <c r="C12" s="479"/>
      <c r="D12" s="145"/>
      <c r="E12" s="145"/>
      <c r="G12" s="706" t="s">
        <v>671</v>
      </c>
      <c r="H12" s="28">
        <v>0</v>
      </c>
    </row>
    <row r="13" spans="1:20" ht="18" thickBot="1" x14ac:dyDescent="0.25">
      <c r="A13" s="477"/>
      <c r="B13" s="478"/>
      <c r="C13" s="479"/>
      <c r="D13" s="145"/>
      <c r="E13" s="145"/>
      <c r="G13" s="711" t="s">
        <v>475</v>
      </c>
      <c r="H13" s="302" t="s">
        <v>106</v>
      </c>
      <c r="J13" s="711" t="s">
        <v>475</v>
      </c>
      <c r="K13" s="302" t="s">
        <v>107</v>
      </c>
    </row>
    <row r="14" spans="1:20" s="3" customFormat="1" ht="20.399999999999999" thickTop="1" thickBot="1" x14ac:dyDescent="0.25">
      <c r="A14" s="480" t="s">
        <v>105</v>
      </c>
      <c r="B14" s="481"/>
      <c r="C14" s="481"/>
      <c r="D14" s="481"/>
      <c r="E14" s="481"/>
      <c r="G14" s="712" t="s">
        <v>655</v>
      </c>
      <c r="H14" s="710" t="s">
        <v>663</v>
      </c>
      <c r="J14" s="712" t="s">
        <v>655</v>
      </c>
      <c r="K14" s="710" t="s">
        <v>663</v>
      </c>
    </row>
    <row r="15" spans="1:20" ht="16.5" customHeight="1" thickTop="1" x14ac:dyDescent="0.2">
      <c r="A15" s="388"/>
      <c r="B15" s="388" t="s">
        <v>106</v>
      </c>
      <c r="C15" s="388" t="s">
        <v>107</v>
      </c>
      <c r="D15" s="388" t="s">
        <v>12</v>
      </c>
      <c r="E15" s="388" t="s">
        <v>1</v>
      </c>
      <c r="G15" s="709" t="s">
        <v>664</v>
      </c>
      <c r="H15" s="700">
        <v>224</v>
      </c>
      <c r="J15" s="709" t="s">
        <v>664</v>
      </c>
      <c r="K15" s="700">
        <v>999</v>
      </c>
      <c r="L15" s="34"/>
    </row>
    <row r="16" spans="1:20" x14ac:dyDescent="0.2">
      <c r="A16" s="467" t="s">
        <v>14</v>
      </c>
      <c r="B16" s="470">
        <f>IFERROR(VLOOKUP("措置入院",'２-Ⅱ'!$G$14:$H$22,2,FALSE),0)+IFERROR(VLOOKUP("緊急措置入院",'２-Ⅱ'!$G$14:$H$22,2,FALSE),0)</f>
        <v>2</v>
      </c>
      <c r="C16" s="470">
        <f>IFERROR(VLOOKUP("措置入院",'２-Ⅱ'!$J$14:$K$22,2,FALSE),0)+IFERROR(VLOOKUP("緊急措置入院",'２-Ⅱ'!$J$14:$K$22,2,FALSE),0)</f>
        <v>4</v>
      </c>
      <c r="D16" s="470">
        <f>SUM(B16:C16)</f>
        <v>6</v>
      </c>
      <c r="E16" s="469">
        <f>IFERROR(D16/D$21,"-")</f>
        <v>3.6122817579771222E-3</v>
      </c>
      <c r="G16" s="701" t="s">
        <v>665</v>
      </c>
      <c r="H16" s="707">
        <v>2</v>
      </c>
      <c r="I16" s="16"/>
      <c r="J16" s="701" t="s">
        <v>665</v>
      </c>
      <c r="K16" s="707">
        <v>4</v>
      </c>
      <c r="L16" s="36"/>
      <c r="M16" s="16"/>
      <c r="N16" s="16"/>
      <c r="O16" s="16"/>
      <c r="P16" s="16"/>
      <c r="Q16" s="16"/>
      <c r="R16" s="16"/>
      <c r="S16" s="16"/>
      <c r="T16" s="16"/>
    </row>
    <row r="17" spans="1:20" x14ac:dyDescent="0.2">
      <c r="A17" s="467" t="s">
        <v>15</v>
      </c>
      <c r="B17" s="470">
        <f>IFERROR(VLOOKUP(A17,'２-Ⅱ'!$G$14:$H$22,2,FALSE),0)</f>
        <v>74</v>
      </c>
      <c r="C17" s="470">
        <f>IFERROR(VLOOKUP(A17,'２-Ⅱ'!$J$14:$K$22,2,FALSE),0)</f>
        <v>356</v>
      </c>
      <c r="D17" s="470">
        <f t="shared" ref="D17:D20" si="1">SUM(B17:C17)</f>
        <v>430</v>
      </c>
      <c r="E17" s="469">
        <f t="shared" ref="E17:E20" si="2">IFERROR(D17/D$21,"-")</f>
        <v>0.2588801926550271</v>
      </c>
      <c r="G17" s="703" t="s">
        <v>666</v>
      </c>
      <c r="H17" s="708">
        <v>0</v>
      </c>
      <c r="I17" s="16"/>
      <c r="J17" s="703" t="s">
        <v>666</v>
      </c>
      <c r="K17" s="708">
        <v>1</v>
      </c>
      <c r="L17" s="36"/>
      <c r="M17" s="16"/>
      <c r="N17" s="16"/>
      <c r="O17" s="16"/>
      <c r="P17" s="16"/>
      <c r="Q17" s="16"/>
      <c r="R17" s="16"/>
      <c r="S17" s="16"/>
      <c r="T17" s="16"/>
    </row>
    <row r="18" spans="1:20" x14ac:dyDescent="0.2">
      <c r="A18" s="467" t="s">
        <v>16</v>
      </c>
      <c r="B18" s="470">
        <f>IFERROR(VLOOKUP(A18,'２-Ⅱ'!$G$14:$H$22,2,FALSE),0)</f>
        <v>224</v>
      </c>
      <c r="C18" s="470">
        <f>IFERROR(VLOOKUP(A18,'２-Ⅱ'!$J$14:$K$22,2,FALSE),0)</f>
        <v>999</v>
      </c>
      <c r="D18" s="470">
        <f t="shared" si="1"/>
        <v>1223</v>
      </c>
      <c r="E18" s="469">
        <f t="shared" si="2"/>
        <v>0.73630343166767009</v>
      </c>
      <c r="G18" s="701" t="s">
        <v>667</v>
      </c>
      <c r="H18" s="707">
        <v>0</v>
      </c>
      <c r="I18" s="16"/>
      <c r="J18" s="701" t="s">
        <v>667</v>
      </c>
      <c r="K18" s="707">
        <v>0</v>
      </c>
      <c r="L18" s="36"/>
      <c r="M18" s="16"/>
      <c r="N18" s="16"/>
      <c r="O18" s="16"/>
      <c r="P18" s="16"/>
      <c r="Q18" s="16"/>
      <c r="R18" s="16"/>
      <c r="S18" s="16"/>
      <c r="T18" s="16"/>
    </row>
    <row r="19" spans="1:20" x14ac:dyDescent="0.2">
      <c r="A19" s="467" t="s">
        <v>17</v>
      </c>
      <c r="B19" s="470">
        <f>IFERROR(VLOOKUP(A19,'２-Ⅱ'!$G$14:$H$22,2,FALSE),0)</f>
        <v>0</v>
      </c>
      <c r="C19" s="470">
        <f>IFERROR(VLOOKUP(A19,'２-Ⅱ'!$J$14:$K$22,2,FALSE),0)</f>
        <v>0</v>
      </c>
      <c r="D19" s="470">
        <f t="shared" si="1"/>
        <v>0</v>
      </c>
      <c r="E19" s="469">
        <f t="shared" si="2"/>
        <v>0</v>
      </c>
      <c r="G19" s="703" t="s">
        <v>668</v>
      </c>
      <c r="H19" s="708">
        <v>74</v>
      </c>
      <c r="I19" s="16"/>
      <c r="J19" s="703" t="s">
        <v>668</v>
      </c>
      <c r="K19" s="708">
        <v>356</v>
      </c>
      <c r="L19" s="36"/>
      <c r="M19" s="16"/>
      <c r="N19" s="16"/>
      <c r="O19" s="16"/>
      <c r="P19" s="16"/>
      <c r="Q19" s="16"/>
      <c r="R19" s="16"/>
      <c r="S19" s="16"/>
      <c r="T19" s="16"/>
    </row>
    <row r="20" spans="1:20" x14ac:dyDescent="0.2">
      <c r="A20" s="467" t="s">
        <v>18</v>
      </c>
      <c r="B20" s="476">
        <f>IFERROR(VLOOKUP("鑑定入院",'２-Ⅱ'!$G$14:$H$22,2,FALSE),0)+IFERROR(VLOOKUP("医療観察法による入院",'２-Ⅱ'!$G$14:$H$22,2,FALSE),0)+IFERROR(VLOOKUP("不明",'２-Ⅱ'!$G$14:$H$22,2,FALSE),0)</f>
        <v>0</v>
      </c>
      <c r="C20" s="476">
        <f>IFERROR(VLOOKUP("鑑定入院",'２-Ⅱ'!$J$14:$K$22,2,FALSE),0)+IFERROR(VLOOKUP("医療観察法による入院",'２-Ⅱ'!$J$14:$K$22,2,FALSE),0)+IFERROR(VLOOKUP("不明",'２-Ⅱ'!$J$14:$K$22,2,FALSE),0)</f>
        <v>2</v>
      </c>
      <c r="D20" s="470">
        <f t="shared" si="1"/>
        <v>2</v>
      </c>
      <c r="E20" s="469">
        <f t="shared" si="2"/>
        <v>1.2040939193257074E-3</v>
      </c>
      <c r="G20" s="704" t="s">
        <v>669</v>
      </c>
      <c r="H20" s="707">
        <v>0</v>
      </c>
      <c r="J20" s="704" t="s">
        <v>669</v>
      </c>
      <c r="K20" s="707">
        <v>1</v>
      </c>
      <c r="L20" s="39"/>
    </row>
    <row r="21" spans="1:20" x14ac:dyDescent="0.2">
      <c r="A21" s="471" t="s">
        <v>11</v>
      </c>
      <c r="B21" s="472">
        <f>SUM(B16:B20)</f>
        <v>300</v>
      </c>
      <c r="C21" s="472">
        <f>SUM(C16:C20)</f>
        <v>1361</v>
      </c>
      <c r="D21" s="472">
        <f>SUM(D16:D20)</f>
        <v>1661</v>
      </c>
      <c r="E21" s="473">
        <f>SUM(E16:E20)</f>
        <v>1</v>
      </c>
      <c r="G21" s="705" t="s">
        <v>670</v>
      </c>
      <c r="H21" s="708">
        <v>0</v>
      </c>
      <c r="J21" s="705" t="s">
        <v>670</v>
      </c>
      <c r="K21" s="708">
        <v>0</v>
      </c>
    </row>
    <row r="22" spans="1:20" x14ac:dyDescent="0.2">
      <c r="G22" s="706" t="s">
        <v>671</v>
      </c>
      <c r="H22" s="35">
        <v>0</v>
      </c>
      <c r="J22" s="706" t="s">
        <v>671</v>
      </c>
      <c r="K22" s="35">
        <v>0</v>
      </c>
    </row>
  </sheetData>
  <phoneticPr fontId="2"/>
  <pageMargins left="0.70866141732283472" right="0.70866141732283472" top="0.74803149606299213" bottom="0.74803149606299213" header="0.31496062992125984" footer="0.31496062992125984"/>
  <pageSetup paperSize="11" scale="8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データ削除_入院形態">
                <anchor moveWithCells="1" sizeWithCells="1">
                  <from>
                    <xdr:col>11</xdr:col>
                    <xdr:colOff>533400</xdr:colOff>
                    <xdr:row>2</xdr:row>
                    <xdr:rowOff>152400</xdr:rowOff>
                  </from>
                  <to>
                    <xdr:col>13</xdr:col>
                    <xdr:colOff>289560</xdr:colOff>
                    <xdr:row>5</xdr:row>
                    <xdr:rowOff>7620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8">
    <tabColor theme="9" tint="-0.499984740745262"/>
    <pageSetUpPr fitToPage="1"/>
  </sheetPr>
  <dimension ref="A1:BB38"/>
  <sheetViews>
    <sheetView showGridLines="0" view="pageBreakPreview" zoomScale="90" zoomScaleNormal="80" zoomScaleSheetLayoutView="90" workbookViewId="0"/>
  </sheetViews>
  <sheetFormatPr defaultColWidth="13.77734375" defaultRowHeight="17.399999999999999" x14ac:dyDescent="0.2"/>
  <cols>
    <col min="1" max="1" width="10" style="352" customWidth="1"/>
    <col min="2" max="7" width="8.77734375" style="352" customWidth="1"/>
    <col min="8" max="8" width="8.6640625" style="352" customWidth="1"/>
    <col min="9" max="10" width="8.77734375" style="352" customWidth="1"/>
    <col min="11" max="12" width="7.44140625" style="352" hidden="1" customWidth="1"/>
    <col min="13" max="13" width="10" style="352" hidden="1" customWidth="1"/>
    <col min="14" max="14" width="10.77734375" style="352" hidden="1" customWidth="1"/>
    <col min="15" max="16" width="12.44140625" style="352" hidden="1" customWidth="1"/>
    <col min="17" max="17" width="8.88671875" style="352" hidden="1" customWidth="1"/>
    <col min="18" max="18" width="12.44140625" style="352" hidden="1" customWidth="1"/>
    <col min="19" max="19" width="14.21875" style="352" hidden="1" customWidth="1"/>
    <col min="20" max="20" width="16.109375" style="352" hidden="1" customWidth="1"/>
    <col min="21" max="22" width="12.44140625" style="352" hidden="1" customWidth="1"/>
    <col min="23" max="23" width="16.109375" style="352" hidden="1" customWidth="1"/>
    <col min="24" max="24" width="14.21875" style="352" hidden="1" customWidth="1"/>
    <col min="25" max="27" width="12.44140625" style="352" hidden="1" customWidth="1"/>
    <col min="28" max="31" width="10.77734375" style="352" hidden="1" customWidth="1"/>
    <col min="32" max="32" width="8.88671875" style="352" hidden="1" customWidth="1"/>
    <col min="33" max="34" width="13.77734375" style="352" hidden="1" customWidth="1"/>
    <col min="35" max="55" width="0" style="352" hidden="1" customWidth="1"/>
    <col min="56" max="16384" width="13.77734375" style="352"/>
  </cols>
  <sheetData>
    <row r="1" spans="1:54" s="3" customFormat="1" ht="19.2" x14ac:dyDescent="0.2">
      <c r="A1" s="2" t="s">
        <v>377</v>
      </c>
    </row>
    <row r="2" spans="1:54" ht="18" thickBot="1" x14ac:dyDescent="0.25">
      <c r="A2" s="4"/>
      <c r="AJ2" s="440" t="s">
        <v>364</v>
      </c>
      <c r="AK2" s="440" t="s">
        <v>365</v>
      </c>
      <c r="AL2" s="440" t="s">
        <v>366</v>
      </c>
      <c r="AM2" s="440" t="s">
        <v>367</v>
      </c>
      <c r="AN2" s="440" t="s">
        <v>368</v>
      </c>
      <c r="AO2" s="440" t="s">
        <v>369</v>
      </c>
      <c r="AP2" s="440" t="s">
        <v>370</v>
      </c>
      <c r="AQ2" s="440" t="s">
        <v>371</v>
      </c>
      <c r="AR2" s="440" t="s">
        <v>372</v>
      </c>
      <c r="AS2" s="440" t="s">
        <v>373</v>
      </c>
      <c r="AT2" s="440" t="s">
        <v>386</v>
      </c>
      <c r="AU2" s="440" t="s">
        <v>387</v>
      </c>
      <c r="AV2" s="440" t="s">
        <v>388</v>
      </c>
      <c r="AW2" s="440" t="s">
        <v>389</v>
      </c>
      <c r="AX2" s="440" t="s">
        <v>390</v>
      </c>
      <c r="AY2" s="440" t="s">
        <v>391</v>
      </c>
      <c r="AZ2" s="440" t="s">
        <v>392</v>
      </c>
      <c r="BA2" s="440" t="s">
        <v>393</v>
      </c>
      <c r="BB2" s="440" t="s">
        <v>394</v>
      </c>
    </row>
    <row r="3" spans="1:54" ht="18.75" customHeight="1" thickTop="1" thickBot="1" x14ac:dyDescent="0.25">
      <c r="A3" s="596"/>
      <c r="B3" s="596" t="s">
        <v>356</v>
      </c>
      <c r="C3" s="596" t="s">
        <v>357</v>
      </c>
      <c r="D3" s="596" t="s">
        <v>358</v>
      </c>
      <c r="E3" s="596" t="s">
        <v>359</v>
      </c>
      <c r="F3" s="596" t="s">
        <v>360</v>
      </c>
      <c r="G3" s="596" t="s">
        <v>361</v>
      </c>
      <c r="H3" s="596" t="s">
        <v>362</v>
      </c>
      <c r="I3" s="596" t="s">
        <v>363</v>
      </c>
      <c r="J3" s="596" t="s">
        <v>61</v>
      </c>
      <c r="M3" s="385" t="s">
        <v>655</v>
      </c>
      <c r="N3" s="366" t="s">
        <v>728</v>
      </c>
      <c r="O3" s="366" t="s">
        <v>729</v>
      </c>
      <c r="P3" s="366" t="s">
        <v>730</v>
      </c>
      <c r="Q3" s="366" t="s">
        <v>731</v>
      </c>
      <c r="R3" s="366" t="s">
        <v>732</v>
      </c>
      <c r="S3" s="366" t="s">
        <v>733</v>
      </c>
      <c r="T3" s="366" t="s">
        <v>734</v>
      </c>
      <c r="U3" s="366" t="s">
        <v>735</v>
      </c>
      <c r="V3" s="366" t="s">
        <v>736</v>
      </c>
      <c r="W3" s="366" t="s">
        <v>737</v>
      </c>
      <c r="X3" s="366" t="s">
        <v>738</v>
      </c>
      <c r="Y3" s="366" t="s">
        <v>739</v>
      </c>
      <c r="Z3" s="366" t="s">
        <v>740</v>
      </c>
      <c r="AA3" s="366" t="s">
        <v>741</v>
      </c>
      <c r="AB3" s="366" t="s">
        <v>742</v>
      </c>
      <c r="AC3" s="366" t="s">
        <v>743</v>
      </c>
      <c r="AD3" s="366" t="s">
        <v>744</v>
      </c>
      <c r="AE3" s="366" t="s">
        <v>745</v>
      </c>
      <c r="AF3" s="365" t="s">
        <v>746</v>
      </c>
      <c r="AG3" s="366" t="s">
        <v>396</v>
      </c>
      <c r="AH3" s="366"/>
    </row>
    <row r="4" spans="1:54" s="16" customFormat="1" ht="18.75" customHeight="1" thickTop="1" thickBot="1" x14ac:dyDescent="0.25">
      <c r="A4" s="1076" t="s">
        <v>28</v>
      </c>
      <c r="B4" s="597">
        <f>AJ5</f>
        <v>38</v>
      </c>
      <c r="C4" s="597">
        <f t="shared" ref="C4:I4" si="0">AK5</f>
        <v>67</v>
      </c>
      <c r="D4" s="597">
        <f t="shared" si="0"/>
        <v>19</v>
      </c>
      <c r="E4" s="597">
        <f t="shared" si="0"/>
        <v>45</v>
      </c>
      <c r="F4" s="597">
        <f t="shared" si="0"/>
        <v>28</v>
      </c>
      <c r="G4" s="597">
        <f t="shared" si="0"/>
        <v>65</v>
      </c>
      <c r="H4" s="597">
        <f t="shared" si="0"/>
        <v>22</v>
      </c>
      <c r="I4" s="597">
        <f t="shared" si="0"/>
        <v>16</v>
      </c>
      <c r="J4" s="599">
        <f>SUM(B4:I4)</f>
        <v>300</v>
      </c>
      <c r="M4" s="365">
        <v>1</v>
      </c>
      <c r="N4" s="367">
        <v>4</v>
      </c>
      <c r="O4" s="367">
        <v>28</v>
      </c>
      <c r="P4" s="367">
        <v>6</v>
      </c>
      <c r="Q4" s="367">
        <v>21</v>
      </c>
      <c r="R4" s="367">
        <v>46</v>
      </c>
      <c r="S4" s="367">
        <v>10</v>
      </c>
      <c r="T4" s="367">
        <v>4</v>
      </c>
      <c r="U4" s="367">
        <v>1</v>
      </c>
      <c r="V4" s="367">
        <v>4</v>
      </c>
      <c r="W4" s="367">
        <v>13</v>
      </c>
      <c r="X4" s="367">
        <v>32</v>
      </c>
      <c r="Y4" s="367"/>
      <c r="Z4" s="367">
        <v>15</v>
      </c>
      <c r="AA4" s="367">
        <v>13</v>
      </c>
      <c r="AB4" s="367">
        <v>46</v>
      </c>
      <c r="AC4" s="367">
        <v>18</v>
      </c>
      <c r="AD4" s="367">
        <v>1</v>
      </c>
      <c r="AE4" s="367">
        <v>22</v>
      </c>
      <c r="AF4" s="368">
        <v>16</v>
      </c>
      <c r="AG4" s="369"/>
      <c r="AH4" s="369"/>
      <c r="AI4" s="441"/>
      <c r="AJ4" s="442" t="s">
        <v>356</v>
      </c>
      <c r="AK4" s="443" t="s">
        <v>357</v>
      </c>
      <c r="AL4" s="443" t="s">
        <v>358</v>
      </c>
      <c r="AM4" s="443" t="s">
        <v>359</v>
      </c>
      <c r="AN4" s="443" t="s">
        <v>360</v>
      </c>
      <c r="AO4" s="443" t="s">
        <v>361</v>
      </c>
      <c r="AP4" s="443" t="s">
        <v>362</v>
      </c>
      <c r="AQ4" s="444" t="s">
        <v>363</v>
      </c>
    </row>
    <row r="5" spans="1:54" s="16" customFormat="1" ht="18.75" customHeight="1" x14ac:dyDescent="0.2">
      <c r="A5" s="1075"/>
      <c r="B5" s="598">
        <f>IFERROR(B4/B$16,"-")</f>
        <v>2.36318407960199E-2</v>
      </c>
      <c r="C5" s="598">
        <f>IFERROR(C4/C$16,"-")</f>
        <v>3.6955322669608381E-2</v>
      </c>
      <c r="D5" s="598">
        <f>IFERROR(D4/D$16,"-")</f>
        <v>1.4253563390847712E-2</v>
      </c>
      <c r="E5" s="598">
        <f>IFERROR(E4/E$16,"-")</f>
        <v>3.697617091207888E-2</v>
      </c>
      <c r="F5" s="598">
        <f t="shared" ref="F5:J5" si="1">IFERROR(F4/F$16,"-")</f>
        <v>2.2857142857142857E-2</v>
      </c>
      <c r="G5" s="598">
        <f t="shared" si="1"/>
        <v>1.3794567062818336E-2</v>
      </c>
      <c r="H5" s="598">
        <f t="shared" si="1"/>
        <v>0.1317365269461078</v>
      </c>
      <c r="I5" s="598">
        <f t="shared" si="1"/>
        <v>8.2815734989648039E-3</v>
      </c>
      <c r="J5" s="598">
        <f t="shared" si="1"/>
        <v>2.1417862497322766E-2</v>
      </c>
      <c r="M5" s="365">
        <v>2</v>
      </c>
      <c r="N5" s="367">
        <v>13</v>
      </c>
      <c r="O5" s="367">
        <v>99</v>
      </c>
      <c r="P5" s="367">
        <v>23</v>
      </c>
      <c r="Q5" s="367">
        <v>46</v>
      </c>
      <c r="R5" s="367">
        <v>105</v>
      </c>
      <c r="S5" s="367">
        <v>56</v>
      </c>
      <c r="T5" s="367">
        <v>36</v>
      </c>
      <c r="U5" s="367">
        <v>6</v>
      </c>
      <c r="V5" s="367">
        <v>11</v>
      </c>
      <c r="W5" s="367">
        <v>77</v>
      </c>
      <c r="X5" s="367">
        <v>102</v>
      </c>
      <c r="Y5" s="367">
        <v>13</v>
      </c>
      <c r="Z5" s="367">
        <v>58</v>
      </c>
      <c r="AA5" s="367">
        <v>62</v>
      </c>
      <c r="AB5" s="367">
        <v>212</v>
      </c>
      <c r="AC5" s="367">
        <v>214</v>
      </c>
      <c r="AD5" s="367">
        <v>26</v>
      </c>
      <c r="AE5" s="367">
        <v>13</v>
      </c>
      <c r="AF5" s="368">
        <v>189</v>
      </c>
      <c r="AG5" s="369"/>
      <c r="AH5" s="369"/>
      <c r="AI5" s="445">
        <v>1</v>
      </c>
      <c r="AJ5" s="446">
        <f>IFERROR(INDEX(状態像区分病院所在地[#All],MATCH(1,状態像区分病院所在地[[#All],[行ラベル]]),MATCH($AJ$2,状態像区分病院所在地[#Headers],0)),0)+IFERROR(INDEX(状態像区分病院所在地[#All],MATCH(1,状態像区分病院所在地[[#All],[行ラベル]]),MATCH($AK$2,状態像区分病院所在地[#Headers],0)),0)+IFERROR(INDEX(状態像区分病院所在地[#All],MATCH(1,状態像区分病院所在地[[#All],[行ラベル]]),MATCH($AL$2,状態像区分病院所在地[#Headers],0)),0)</f>
        <v>38</v>
      </c>
      <c r="AK5" s="447">
        <f>IFERROR(INDEX(状態像区分病院所在地[#All],MATCH(1,状態像区分病院所在地[[#All],[行ラベル]]),MATCH($AM$2,状態像区分病院所在地[#Headers],0)),0)+IFERROR(INDEX(状態像区分病院所在地[#All],MATCH(1,状態像区分病院所在地[[#All],[行ラベル]]),MATCH($AN$2,状態像区分病院所在地[#Headers],0)),0)</f>
        <v>67</v>
      </c>
      <c r="AL5" s="447">
        <f>IFERROR(INDEX(状態像区分病院所在地[#All],MATCH(1,状態像区分病院所在地[[#All],[行ラベル]]),MATCH($AO$2,状態像区分病院所在地[#Headers],0)),0)+IFERROR(INDEX(状態像区分病院所在地[#All],MATCH(1,状態像区分病院所在地[[#All],[行ラベル]]),MATCH($AP$2,状態像区分病院所在地[#Headers],0)),0)+IFERROR(INDEX(状態像区分病院所在地[#All],MATCH(1,状態像区分病院所在地[[#All],[行ラベル]]),MATCH($AQ$2,状態像区分病院所在地[#Headers],0)),0)+IFERROR(INDEX(状態像区分病院所在地[#All],MATCH(1,状態像区分病院所在地[[#All],[行ラベル]]),MATCH($AR$2,状態像区分病院所在地[#Headers],0)),0)</f>
        <v>19</v>
      </c>
      <c r="AM5" s="447">
        <f>IFERROR(INDEX(状態像区分病院所在地[#All],MATCH(1,状態像区分病院所在地[[#All],[行ラベル]]),MATCH($AS$2,状態像区分病院所在地[#Headers],0)),0)+IFERROR(INDEX(状態像区分病院所在地[#All],MATCH(1,状態像区分病院所在地[[#All],[行ラベル]]),MATCH($AT$2,状態像区分病院所在地[#Headers],0)),0)+IFERROR(INDEX(状態像区分病院所在地[#All],MATCH(1,状態像区分病院所在地[[#All],[行ラベル]]),MATCH($AU$2,状態像区分病院所在地[#Headers],0)),0)</f>
        <v>45</v>
      </c>
      <c r="AN5" s="447">
        <f>IFERROR(INDEX(状態像区分病院所在地[#All],MATCH(1,状態像区分病院所在地[[#All],[行ラベル]]),MATCH($AV$2,状態像区分病院所在地[#Headers],0)),0)+IFERROR(INDEX(状態像区分病院所在地[#All],MATCH(1,状態像区分病院所在地[[#All],[行ラベル]]),MATCH($AW$2,状態像区分病院所在地[#Headers],0)),0)</f>
        <v>28</v>
      </c>
      <c r="AO5" s="447">
        <f>IFERROR(INDEX(状態像区分病院所在地[#All],MATCH(1,状態像区分病院所在地[[#All],[行ラベル]]),MATCH($AX$2,状態像区分病院所在地[#Headers],0)),0)+IFERROR(INDEX(状態像区分病院所在地[#All],MATCH(1,状態像区分病院所在地[[#All],[行ラベル]]),MATCH($AY$2,状態像区分病院所在地[#Headers],0)),0)+IFERROR(INDEX(状態像区分病院所在地[#All],MATCH(1,状態像区分病院所在地[[#All],[行ラベル]]),MATCH($AZ$2,状態像区分病院所在地[#Headers],0)),0)</f>
        <v>65</v>
      </c>
      <c r="AP5" s="447">
        <f>IFERROR(INDEX(状態像区分病院所在地[#All],MATCH(1,状態像区分病院所在地[[#All],[行ラベル]]),MATCH($BA$2,状態像区分病院所在地[#Headers],0)),0)</f>
        <v>22</v>
      </c>
      <c r="AQ5" s="447">
        <f>IFERROR(INDEX(状態像区分病院所在地[#All],MATCH(1,状態像区分病院所在地[[#All],[行ラベル]]),MATCH($BB$2,状態像区分病院所在地[#Headers],0)),0)</f>
        <v>16</v>
      </c>
    </row>
    <row r="6" spans="1:54" s="16" customFormat="1" ht="18.75" customHeight="1" x14ac:dyDescent="0.2">
      <c r="A6" s="1076" t="s">
        <v>29</v>
      </c>
      <c r="B6" s="597">
        <f>AJ6</f>
        <v>135</v>
      </c>
      <c r="C6" s="597">
        <f t="shared" ref="C6:I6" si="2">AK6</f>
        <v>151</v>
      </c>
      <c r="D6" s="597">
        <f t="shared" si="2"/>
        <v>109</v>
      </c>
      <c r="E6" s="597">
        <f t="shared" si="2"/>
        <v>192</v>
      </c>
      <c r="F6" s="597">
        <f t="shared" si="2"/>
        <v>120</v>
      </c>
      <c r="G6" s="597">
        <f t="shared" si="2"/>
        <v>452</v>
      </c>
      <c r="H6" s="597">
        <f t="shared" si="2"/>
        <v>13</v>
      </c>
      <c r="I6" s="597">
        <f t="shared" si="2"/>
        <v>189</v>
      </c>
      <c r="J6" s="599">
        <f>SUM(B6:I6)</f>
        <v>1361</v>
      </c>
      <c r="M6" s="365">
        <v>3</v>
      </c>
      <c r="N6" s="367">
        <v>79</v>
      </c>
      <c r="O6" s="367">
        <v>160</v>
      </c>
      <c r="P6" s="367">
        <v>34</v>
      </c>
      <c r="Q6" s="367">
        <v>110</v>
      </c>
      <c r="R6" s="367">
        <v>173</v>
      </c>
      <c r="S6" s="367">
        <v>127</v>
      </c>
      <c r="T6" s="367">
        <v>56</v>
      </c>
      <c r="U6" s="367">
        <v>16</v>
      </c>
      <c r="V6" s="367">
        <v>40</v>
      </c>
      <c r="W6" s="367">
        <v>252</v>
      </c>
      <c r="X6" s="367">
        <v>90</v>
      </c>
      <c r="Y6" s="367">
        <v>19</v>
      </c>
      <c r="Z6" s="367">
        <v>73</v>
      </c>
      <c r="AA6" s="367">
        <v>158</v>
      </c>
      <c r="AB6" s="367">
        <v>341</v>
      </c>
      <c r="AC6" s="367">
        <v>373</v>
      </c>
      <c r="AD6" s="367">
        <v>225</v>
      </c>
      <c r="AE6" s="367">
        <v>35</v>
      </c>
      <c r="AF6" s="368">
        <v>454</v>
      </c>
      <c r="AG6" s="369"/>
      <c r="AH6" s="369"/>
      <c r="AI6" s="448">
        <v>2</v>
      </c>
      <c r="AJ6" s="449">
        <f>IFERROR(INDEX(状態像区分病院所在地[#All],MATCH(2,状態像区分病院所在地[[#All],[行ラベル]]),MATCH($AJ$2,状態像区分病院所在地[#Headers],0)),0)+IFERROR(INDEX(状態像区分病院所在地[#All],MATCH(2,状態像区分病院所在地[[#All],[行ラベル]]),MATCH($AK$2,状態像区分病院所在地[#Headers],0)),0)+IFERROR(INDEX(状態像区分病院所在地[#All],MATCH(2,状態像区分病院所在地[[#All],[行ラベル]]),MATCH($AL$2,状態像区分病院所在地[#Headers],0)),0)</f>
        <v>135</v>
      </c>
      <c r="AK6" s="450">
        <f>IFERROR(INDEX(状態像区分病院所在地[#All],MATCH(2,状態像区分病院所在地[[#All],[行ラベル]]),MATCH($AM$2,状態像区分病院所在地[#Headers],0)),0)+IFERROR(INDEX(状態像区分病院所在地[#All],MATCH(2,状態像区分病院所在地[[#All],[行ラベル]]),MATCH($AN$2,状態像区分病院所在地[#Headers],0)),0)</f>
        <v>151</v>
      </c>
      <c r="AL6" s="450">
        <f>IFERROR(INDEX(状態像区分病院所在地[#All],MATCH(2,状態像区分病院所在地[[#All],[行ラベル]]),MATCH($AO$2,状態像区分病院所在地[#Headers],0)),0)+IFERROR(INDEX(状態像区分病院所在地[#All],MATCH(2,状態像区分病院所在地[[#All],[行ラベル]]),MATCH($AP$2,状態像区分病院所在地[#Headers],0)),0)+IFERROR(INDEX(状態像区分病院所在地[#All],MATCH(2,状態像区分病院所在地[[#All],[行ラベル]]),MATCH($AQ$2,状態像区分病院所在地[#Headers],0)),0)+IFERROR(INDEX(状態像区分病院所在地[#All],MATCH(2,状態像区分病院所在地[[#All],[行ラベル]]),MATCH($AR$2,状態像区分病院所在地[#Headers],0)),0)</f>
        <v>109</v>
      </c>
      <c r="AM6" s="450">
        <f>IFERROR(INDEX(状態像区分病院所在地[#All],MATCH(2,状態像区分病院所在地[[#All],[行ラベル]]),MATCH($AS$2,状態像区分病院所在地[#Headers],0)),0)+IFERROR(INDEX(状態像区分病院所在地[#All],MATCH(2,状態像区分病院所在地[[#All],[行ラベル]]),MATCH($AT$2,状態像区分病院所在地[#Headers],0)),0)+IFERROR(INDEX(状態像区分病院所在地[#All],MATCH(2,状態像区分病院所在地[[#All],[行ラベル]]),MATCH($AU$2,状態像区分病院所在地[#Headers],0)),0)</f>
        <v>192</v>
      </c>
      <c r="AN6" s="450">
        <f>IFERROR(INDEX(状態像区分病院所在地[#All],MATCH(2,状態像区分病院所在地[[#All],[行ラベル]]),MATCH($AV$2,状態像区分病院所在地[#Headers],0)),0)+IFERROR(INDEX(状態像区分病院所在地[#All],MATCH(2,状態像区分病院所在地[[#All],[行ラベル]]),MATCH($AW$2,状態像区分病院所在地[#Headers],0)),0)</f>
        <v>120</v>
      </c>
      <c r="AO6" s="450">
        <f>IFERROR(INDEX(状態像区分病院所在地[#All],MATCH(2,状態像区分病院所在地[[#All],[行ラベル]]),MATCH($AX$2,状態像区分病院所在地[#Headers],0)),0)+IFERROR(INDEX(状態像区分病院所在地[#All],MATCH(2,状態像区分病院所在地[[#All],[行ラベル]]),MATCH($AY$2,状態像区分病院所在地[#Headers],0)),0)+IFERROR(INDEX(状態像区分病院所在地[#All],MATCH(2,状態像区分病院所在地[[#All],[行ラベル]]),MATCH($AZ$2,状態像区分病院所在地[#Headers],0)),0)</f>
        <v>452</v>
      </c>
      <c r="AP6" s="450">
        <f>IFERROR(INDEX(状態像区分病院所在地[#All],MATCH(2,状態像区分病院所在地[[#All],[行ラベル]]),MATCH($BA$2,状態像区分病院所在地[#Headers],0)),0)</f>
        <v>13</v>
      </c>
      <c r="AQ6" s="450">
        <f>IFERROR(INDEX(状態像区分病院所在地[#All],MATCH(2,状態像区分病院所在地[[#All],[行ラベル]]),MATCH($BB$2,状態像区分病院所在地[#Headers],0)),0)</f>
        <v>189</v>
      </c>
    </row>
    <row r="7" spans="1:54" s="16" customFormat="1" ht="18.75" customHeight="1" x14ac:dyDescent="0.2">
      <c r="A7" s="1075"/>
      <c r="B7" s="598">
        <f t="shared" ref="B7:J7" si="3">IFERROR(B6/B$16,"-")</f>
        <v>8.3955223880597021E-2</v>
      </c>
      <c r="C7" s="598">
        <f t="shared" si="3"/>
        <v>8.3287369001654718E-2</v>
      </c>
      <c r="D7" s="598">
        <f t="shared" si="3"/>
        <v>8.1770442610652666E-2</v>
      </c>
      <c r="E7" s="598">
        <f t="shared" si="3"/>
        <v>0.15776499589153656</v>
      </c>
      <c r="F7" s="598">
        <f t="shared" si="3"/>
        <v>9.7959183673469383E-2</v>
      </c>
      <c r="G7" s="598">
        <f t="shared" si="3"/>
        <v>9.5925297113752125E-2</v>
      </c>
      <c r="H7" s="598">
        <f t="shared" si="3"/>
        <v>7.7844311377245512E-2</v>
      </c>
      <c r="I7" s="598">
        <f t="shared" si="3"/>
        <v>9.7826086956521743E-2</v>
      </c>
      <c r="J7" s="598">
        <f t="shared" si="3"/>
        <v>9.7165702862854281E-2</v>
      </c>
      <c r="M7" s="365">
        <v>4</v>
      </c>
      <c r="N7" s="367">
        <v>260</v>
      </c>
      <c r="O7" s="367">
        <v>334</v>
      </c>
      <c r="P7" s="367">
        <v>95</v>
      </c>
      <c r="Q7" s="367">
        <v>492</v>
      </c>
      <c r="R7" s="367">
        <v>210</v>
      </c>
      <c r="S7" s="367">
        <v>299</v>
      </c>
      <c r="T7" s="367">
        <v>82</v>
      </c>
      <c r="U7" s="367">
        <v>87</v>
      </c>
      <c r="V7" s="367">
        <v>77</v>
      </c>
      <c r="W7" s="367">
        <v>295</v>
      </c>
      <c r="X7" s="367">
        <v>65</v>
      </c>
      <c r="Y7" s="367">
        <v>53</v>
      </c>
      <c r="Z7" s="367">
        <v>173</v>
      </c>
      <c r="AA7" s="367">
        <v>326</v>
      </c>
      <c r="AB7" s="367">
        <v>617</v>
      </c>
      <c r="AC7" s="367">
        <v>799</v>
      </c>
      <c r="AD7" s="367">
        <v>556</v>
      </c>
      <c r="AE7" s="367">
        <v>67</v>
      </c>
      <c r="AF7" s="368">
        <v>752</v>
      </c>
      <c r="AG7" s="369"/>
      <c r="AH7" s="369"/>
      <c r="AI7" s="448">
        <v>3</v>
      </c>
      <c r="AJ7" s="449">
        <f>IFERROR(INDEX(状態像区分病院所在地[#All],MATCH(3,状態像区分病院所在地[[#All],[行ラベル]]),MATCH($AJ$2,状態像区分病院所在地[#Headers],0)),0)+IFERROR(INDEX(状態像区分病院所在地[#All],MATCH(3,状態像区分病院所在地[[#All],[行ラベル]]),MATCH($AK$2,状態像区分病院所在地[#Headers],0)),0)+IFERROR(INDEX(状態像区分病院所在地[#All],MATCH(3,状態像区分病院所在地[[#All],[行ラベル]]),MATCH($AL$2,状態像区分病院所在地[#Headers],0)),0)</f>
        <v>273</v>
      </c>
      <c r="AK7" s="450">
        <f>IFERROR(INDEX(状態像区分病院所在地[#All],MATCH(3,状態像区分病院所在地[[#All],[行ラベル]]),MATCH($AM$2,状態像区分病院所在地[#Headers],0)),0)+IFERROR(INDEX(状態像区分病院所在地[#All],MATCH(3,状態像区分病院所在地[[#All],[行ラベル]]),MATCH($AN$2,状態像区分病院所在地[#Headers],0)),0)</f>
        <v>283</v>
      </c>
      <c r="AL7" s="450">
        <f>IFERROR(INDEX(状態像区分病院所在地[#All],MATCH(3,状態像区分病院所在地[[#All],[行ラベル]]),MATCH($AO$2,状態像区分病院所在地[#Headers],0)),0)+IFERROR(INDEX(状態像区分病院所在地[#All],MATCH(3,状態像区分病院所在地[[#All],[行ラベル]]),MATCH($AP$2,状態像区分病院所在地[#Headers],0)),0)+IFERROR(INDEX(状態像区分病院所在地[#All],MATCH(3,状態像区分病院所在地[[#All],[行ラベル]]),MATCH($AQ$2,状態像区分病院所在地[#Headers],0)),0)+IFERROR(INDEX(状態像区分病院所在地[#All],MATCH(3,状態像区分病院所在地[[#All],[行ラベル]]),MATCH($AR$2,状態像区分病院所在地[#Headers],0)),0)</f>
        <v>239</v>
      </c>
      <c r="AM7" s="450">
        <f>IFERROR(INDEX(状態像区分病院所在地[#All],MATCH(3,状態像区分病院所在地[[#All],[行ラベル]]),MATCH($AS$2,状態像区分病院所在地[#Headers],0)),0)+IFERROR(INDEX(状態像区分病院所在地[#All],MATCH(3,状態像区分病院所在地[[#All],[行ラベル]]),MATCH($AT$2,状態像区分病院所在地[#Headers],0)),0)+IFERROR(INDEX(状態像区分病院所在地[#All],MATCH(3,状態像区分病院所在地[[#All],[行ラベル]]),MATCH($AU$2,状態像区分病院所在地[#Headers],0)),0)</f>
        <v>361</v>
      </c>
      <c r="AN7" s="450">
        <f>IFERROR(INDEX(状態像区分病院所在地[#All],MATCH(3,状態像区分病院所在地[[#All],[行ラベル]]),MATCH($AV$2,状態像区分病院所在地[#Headers],0)),0)+IFERROR(INDEX(状態像区分病院所在地[#All],MATCH(3,状態像区分病院所在地[[#All],[行ラベル]]),MATCH($AW$2,状態像区分病院所在地[#Headers],0)),0)</f>
        <v>231</v>
      </c>
      <c r="AO7" s="450">
        <f>IFERROR(INDEX(状態像区分病院所在地[#All],MATCH(3,状態像区分病院所在地[[#All],[行ラベル]]),MATCH($AX$2,状態像区分病院所在地[#Headers],0)),0)+IFERROR(INDEX(状態像区分病院所在地[#All],MATCH(3,状態像区分病院所在地[[#All],[行ラベル]]),MATCH($AY$2,状態像区分病院所在地[#Headers],0)),0)+IFERROR(INDEX(状態像区分病院所在地[#All],MATCH(3,状態像区分病院所在地[[#All],[行ラベル]]),MATCH($AZ$2,状態像区分病院所在地[#Headers],0)),0)</f>
        <v>939</v>
      </c>
      <c r="AP7" s="450">
        <f>IFERROR(INDEX(状態像区分病院所在地[#All],MATCH(3,状態像区分病院所在地[[#All],[行ラベル]]),MATCH($BA$2,状態像区分病院所在地[#Headers],0)),0)</f>
        <v>35</v>
      </c>
      <c r="AQ7" s="450">
        <f>IFERROR(INDEX(状態像区分病院所在地[#All],MATCH(3,状態像区分病院所在地[[#All],[行ラベル]]),MATCH($BB$2,状態像区分病院所在地[#Headers],0)),0)</f>
        <v>454</v>
      </c>
    </row>
    <row r="8" spans="1:54" s="16" customFormat="1" ht="18.75" customHeight="1" x14ac:dyDescent="0.2">
      <c r="A8" s="1076" t="s">
        <v>30</v>
      </c>
      <c r="B8" s="597">
        <f>AJ7</f>
        <v>273</v>
      </c>
      <c r="C8" s="597">
        <f t="shared" ref="C8:I8" si="4">AK7</f>
        <v>283</v>
      </c>
      <c r="D8" s="597">
        <f t="shared" si="4"/>
        <v>239</v>
      </c>
      <c r="E8" s="597">
        <f t="shared" si="4"/>
        <v>361</v>
      </c>
      <c r="F8" s="597">
        <f t="shared" si="4"/>
        <v>231</v>
      </c>
      <c r="G8" s="597">
        <f t="shared" si="4"/>
        <v>939</v>
      </c>
      <c r="H8" s="597">
        <f t="shared" si="4"/>
        <v>35</v>
      </c>
      <c r="I8" s="597">
        <f t="shared" si="4"/>
        <v>454</v>
      </c>
      <c r="J8" s="599">
        <f>SUM(B8:I8)</f>
        <v>2815</v>
      </c>
      <c r="M8" s="365">
        <v>5</v>
      </c>
      <c r="N8" s="367">
        <v>151</v>
      </c>
      <c r="O8" s="367">
        <v>180</v>
      </c>
      <c r="P8" s="367">
        <v>80</v>
      </c>
      <c r="Q8" s="367">
        <v>413</v>
      </c>
      <c r="R8" s="367">
        <v>76</v>
      </c>
      <c r="S8" s="367">
        <v>193</v>
      </c>
      <c r="T8" s="367">
        <v>29</v>
      </c>
      <c r="U8" s="367">
        <v>70</v>
      </c>
      <c r="V8" s="367">
        <v>35</v>
      </c>
      <c r="W8" s="367">
        <v>63</v>
      </c>
      <c r="X8" s="367">
        <v>49</v>
      </c>
      <c r="Y8" s="367">
        <v>45</v>
      </c>
      <c r="Z8" s="367">
        <v>89</v>
      </c>
      <c r="AA8" s="367">
        <v>197</v>
      </c>
      <c r="AB8" s="367">
        <v>352</v>
      </c>
      <c r="AC8" s="367">
        <v>555</v>
      </c>
      <c r="AD8" s="367">
        <v>283</v>
      </c>
      <c r="AE8" s="367">
        <v>27</v>
      </c>
      <c r="AF8" s="368">
        <v>460</v>
      </c>
      <c r="AG8" s="369"/>
      <c r="AH8" s="369"/>
      <c r="AI8" s="448">
        <v>4</v>
      </c>
      <c r="AJ8" s="449">
        <f>IFERROR(INDEX(状態像区分病院所在地[#All],MATCH(4,状態像区分病院所在地[[#All],[行ラベル]]),MATCH($AJ$2,状態像区分病院所在地[#Headers],0)),0)+IFERROR(INDEX(状態像区分病院所在地[#All],MATCH(4,状態像区分病院所在地[[#All],[行ラベル]]),MATCH($AK$2,状態像区分病院所在地[#Headers],0)),0)+IFERROR(INDEX(状態像区分病院所在地[#All],MATCH(4,状態像区分病院所在地[[#All],[行ラベル]]),MATCH($AL$2,状態像区分病院所在地[#Headers],0)),0)</f>
        <v>689</v>
      </c>
      <c r="AK8" s="450">
        <f>IFERROR(INDEX(状態像区分病院所在地[#All],MATCH(4,状態像区分病院所在地[[#All],[行ラベル]]),MATCH($AM$2,状態像区分病院所在地[#Headers],0)),0)+IFERROR(INDEX(状態像区分病院所在地[#All],MATCH(4,状態像区分病院所在地[[#All],[行ラベル]]),MATCH($AN$2,状態像区分病院所在地[#Headers],0)),0)</f>
        <v>702</v>
      </c>
      <c r="AL8" s="450">
        <f>IFERROR(INDEX(状態像区分病院所在地[#All],MATCH(4,状態像区分病院所在地[[#All],[行ラベル]]),MATCH($AO$2,状態像区分病院所在地[#Headers],0)),0)+IFERROR(INDEX(状態像区分病院所在地[#All],MATCH(4,状態像区分病院所在地[[#All],[行ラベル]]),MATCH($AP$2,状態像区分病院所在地[#Headers],0)),0)+IFERROR(INDEX(状態像区分病院所在地[#All],MATCH(4,状態像区分病院所在地[[#All],[行ラベル]]),MATCH($AQ$2,状態像区分病院所在地[#Headers],0)),0)+IFERROR(INDEX(状態像区分病院所在地[#All],MATCH(4,状態像区分病院所在地[[#All],[行ラベル]]),MATCH($AR$2,状態像区分病院所在地[#Headers],0)),0)</f>
        <v>545</v>
      </c>
      <c r="AM8" s="450">
        <f>IFERROR(INDEX(状態像区分病院所在地[#All],MATCH(4,状態像区分病院所在地[[#All],[行ラベル]]),MATCH($AS$2,状態像区分病院所在地[#Headers],0)),0)+IFERROR(INDEX(状態像区分病院所在地[#All],MATCH(4,状態像区分病院所在地[[#All],[行ラベル]]),MATCH($AT$2,状態像区分病院所在地[#Headers],0)),0)+IFERROR(INDEX(状態像区分病院所在地[#All],MATCH(4,状態像区分病院所在地[[#All],[行ラベル]]),MATCH($AU$2,状態像区分病院所在地[#Headers],0)),0)</f>
        <v>413</v>
      </c>
      <c r="AN8" s="450">
        <f>IFERROR(INDEX(状態像区分病院所在地[#All],MATCH(4,状態像区分病院所在地[[#All],[行ラベル]]),MATCH($AV$2,状態像区分病院所在地[#Headers],0)),0)+IFERROR(INDEX(状態像区分病院所在地[#All],MATCH(4,状態像区分病院所在地[[#All],[行ラベル]]),MATCH($AW$2,状態像区分病院所在地[#Headers],0)),0)</f>
        <v>499</v>
      </c>
      <c r="AO8" s="450">
        <f>IFERROR(INDEX(状態像区分病院所在地[#All],MATCH(4,状態像区分病院所在地[[#All],[行ラベル]]),MATCH($AX$2,状態像区分病院所在地[#Headers],0)),0)+IFERROR(INDEX(状態像区分病院所在地[#All],MATCH(4,状態像区分病院所在地[[#All],[行ラベル]]),MATCH($AY$2,状態像区分病院所在地[#Headers],0)),0)+IFERROR(INDEX(状態像区分病院所在地[#All],MATCH(4,状態像区分病院所在地[[#All],[行ラベル]]),MATCH($AZ$2,状態像区分病院所在地[#Headers],0)),0)</f>
        <v>1972</v>
      </c>
      <c r="AP8" s="450">
        <f>IFERROR(INDEX(状態像区分病院所在地[#All],MATCH(4,状態像区分病院所在地[[#All],[行ラベル]]),MATCH($BA$2,状態像区分病院所在地[#Headers],0)),0)</f>
        <v>67</v>
      </c>
      <c r="AQ8" s="450">
        <f>IFERROR(INDEX(状態像区分病院所在地[#All],MATCH(4,状態像区分病院所在地[[#All],[行ラベル]]),MATCH($BB$2,状態像区分病院所在地[#Headers],0)),0)</f>
        <v>752</v>
      </c>
    </row>
    <row r="9" spans="1:54" s="16" customFormat="1" ht="18.75" customHeight="1" x14ac:dyDescent="0.2">
      <c r="A9" s="1075"/>
      <c r="B9" s="598">
        <f t="shared" ref="B9" si="5">IFERROR(B8/B$16,"-")</f>
        <v>0.16977611940298507</v>
      </c>
      <c r="C9" s="598">
        <f t="shared" ref="C9" si="6">IFERROR(C8/C$16,"-")</f>
        <v>0.15609487038058467</v>
      </c>
      <c r="D9" s="598">
        <f t="shared" ref="D9" si="7">IFERROR(D8/D$16,"-")</f>
        <v>0.17929482370592648</v>
      </c>
      <c r="E9" s="598">
        <f t="shared" ref="E9" si="8">IFERROR(E8/E$16,"-")</f>
        <v>0.29663105998356615</v>
      </c>
      <c r="F9" s="598">
        <f t="shared" ref="F9" si="9">IFERROR(F8/F$16,"-")</f>
        <v>0.18857142857142858</v>
      </c>
      <c r="G9" s="598">
        <f t="shared" ref="G9" si="10">IFERROR(G8/G$16,"-")</f>
        <v>0.19927843803056028</v>
      </c>
      <c r="H9" s="598">
        <f t="shared" ref="H9" si="11">IFERROR(H8/H$16,"-")</f>
        <v>0.20958083832335328</v>
      </c>
      <c r="I9" s="598">
        <f t="shared" ref="I9" si="12">IFERROR(I8/I$16,"-")</f>
        <v>0.2349896480331263</v>
      </c>
      <c r="J9" s="598">
        <f t="shared" ref="J9" si="13">IFERROR(J8/J$16,"-")</f>
        <v>0.20097094309987862</v>
      </c>
      <c r="M9" s="365">
        <v>6</v>
      </c>
      <c r="N9" s="367">
        <v>17</v>
      </c>
      <c r="O9" s="367">
        <v>22</v>
      </c>
      <c r="P9" s="367">
        <v>23</v>
      </c>
      <c r="Q9" s="367">
        <v>114</v>
      </c>
      <c r="R9" s="367">
        <v>7</v>
      </c>
      <c r="S9" s="367">
        <v>36</v>
      </c>
      <c r="T9" s="367">
        <v>1</v>
      </c>
      <c r="U9" s="367">
        <v>51</v>
      </c>
      <c r="V9" s="367">
        <v>6</v>
      </c>
      <c r="W9" s="367">
        <v>4</v>
      </c>
      <c r="X9" s="367">
        <v>5</v>
      </c>
      <c r="Y9" s="367">
        <v>40</v>
      </c>
      <c r="Z9" s="367">
        <v>18</v>
      </c>
      <c r="AA9" s="367">
        <v>43</v>
      </c>
      <c r="AB9" s="367">
        <v>31</v>
      </c>
      <c r="AC9" s="367">
        <v>30</v>
      </c>
      <c r="AD9" s="367">
        <v>33</v>
      </c>
      <c r="AE9" s="367">
        <v>3</v>
      </c>
      <c r="AF9" s="368">
        <v>61</v>
      </c>
      <c r="AG9" s="369"/>
      <c r="AH9" s="369"/>
      <c r="AI9" s="448">
        <v>5</v>
      </c>
      <c r="AJ9" s="449">
        <f>IFERROR(INDEX(状態像区分病院所在地[#All],MATCH(5,状態像区分病院所在地[[#All],[行ラベル]]),MATCH($AJ$2,状態像区分病院所在地[#Headers],0)),0)+IFERROR(INDEX(状態像区分病院所在地[#All],MATCH(5,状態像区分病院所在地[[#All],[行ラベル]]),MATCH($AK$2,状態像区分病院所在地[#Headers],0)),0)+IFERROR(INDEX(状態像区分病院所在地[#All],MATCH(5,状態像区分病院所在地[[#All],[行ラベル]]),MATCH($AL$2,状態像区分病院所在地[#Headers],0)),0)</f>
        <v>411</v>
      </c>
      <c r="AK9" s="450">
        <f>IFERROR(INDEX(状態像区分病院所在地[#All],MATCH(5,状態像区分病院所在地[[#All],[行ラベル]]),MATCH($AM$2,状態像区分病院所在地[#Headers],0)),0)+IFERROR(INDEX(状態像区分病院所在地[#All],MATCH(5,状態像区分病院所在地[[#All],[行ラベル]]),MATCH($AN$2,状態像区分病院所在地[#Headers],0)),0)</f>
        <v>489</v>
      </c>
      <c r="AL9" s="450">
        <f>IFERROR(INDEX(状態像区分病院所在地[#All],MATCH(5,状態像区分病院所在地[[#All],[行ラベル]]),MATCH($AO$2,状態像区分病院所在地[#Headers],0)),0)+IFERROR(INDEX(状態像区分病院所在地[#All],MATCH(5,状態像区分病院所在地[[#All],[行ラベル]]),MATCH($AP$2,状態像区分病院所在地[#Headers],0)),0)+IFERROR(INDEX(状態像区分病院所在地[#All],MATCH(5,状態像区分病院所在地[[#All],[行ラベル]]),MATCH($AQ$2,状態像区分病院所在地[#Headers],0)),0)+IFERROR(INDEX(状態像区分病院所在地[#All],MATCH(5,状態像区分病院所在地[[#All],[行ラベル]]),MATCH($AR$2,状態像区分病院所在地[#Headers],0)),0)</f>
        <v>327</v>
      </c>
      <c r="AM9" s="450">
        <f>IFERROR(INDEX(状態像区分病院所在地[#All],MATCH(5,状態像区分病院所在地[[#All],[行ラベル]]),MATCH($AS$2,状態像区分病院所在地[#Headers],0)),0)+IFERROR(INDEX(状態像区分病院所在地[#All],MATCH(5,状態像区分病院所在地[[#All],[行ラベル]]),MATCH($AT$2,状態像区分病院所在地[#Headers],0)),0)+IFERROR(INDEX(状態像区分病院所在地[#All],MATCH(5,状態像区分病院所在地[[#All],[行ラベル]]),MATCH($AU$2,状態像区分病院所在地[#Headers],0)),0)</f>
        <v>157</v>
      </c>
      <c r="AN9" s="450">
        <f>IFERROR(INDEX(状態像区分病院所在地[#All],MATCH(5,状態像区分病院所在地[[#All],[行ラベル]]),MATCH($AV$2,状態像区分病院所在地[#Headers],0)),0)+IFERROR(INDEX(状態像区分病院所在地[#All],MATCH(5,状態像区分病院所在地[[#All],[行ラベル]]),MATCH($AW$2,状態像区分病院所在地[#Headers],0)),0)</f>
        <v>286</v>
      </c>
      <c r="AO9" s="450">
        <f>IFERROR(INDEX(状態像区分病院所在地[#All],MATCH(5,状態像区分病院所在地[[#All],[行ラベル]]),MATCH($AX$2,状態像区分病院所在地[#Headers],0)),0)+IFERROR(INDEX(状態像区分病院所在地[#All],MATCH(5,状態像区分病院所在地[[#All],[行ラベル]]),MATCH($AY$2,状態像区分病院所在地[#Headers],0)),0)+IFERROR(INDEX(状態像区分病院所在地[#All],MATCH(5,状態像区分病院所在地[[#All],[行ラベル]]),MATCH($AZ$2,状態像区分病院所在地[#Headers],0)),0)</f>
        <v>1190</v>
      </c>
      <c r="AP9" s="450">
        <f>IFERROR(INDEX(状態像区分病院所在地[#All],MATCH(5,状態像区分病院所在地[[#All],[行ラベル]]),MATCH($BA$2,状態像区分病院所在地[#Headers],0)),0)</f>
        <v>27</v>
      </c>
      <c r="AQ9" s="450">
        <f>IFERROR(INDEX(状態像区分病院所在地[#All],MATCH(5,状態像区分病院所在地[[#All],[行ラベル]]),MATCH($BB$2,状態像区分病院所在地[#Headers],0)),0)</f>
        <v>460</v>
      </c>
    </row>
    <row r="10" spans="1:54" s="16" customFormat="1" ht="18.75" customHeight="1" thickBot="1" x14ac:dyDescent="0.25">
      <c r="A10" s="1076" t="s">
        <v>31</v>
      </c>
      <c r="B10" s="597">
        <f>AJ8</f>
        <v>689</v>
      </c>
      <c r="C10" s="597">
        <f t="shared" ref="C10:I10" si="14">AK8</f>
        <v>702</v>
      </c>
      <c r="D10" s="597">
        <f t="shared" si="14"/>
        <v>545</v>
      </c>
      <c r="E10" s="597">
        <f t="shared" si="14"/>
        <v>413</v>
      </c>
      <c r="F10" s="597">
        <f t="shared" si="14"/>
        <v>499</v>
      </c>
      <c r="G10" s="597">
        <f t="shared" si="14"/>
        <v>1972</v>
      </c>
      <c r="H10" s="597">
        <f t="shared" si="14"/>
        <v>67</v>
      </c>
      <c r="I10" s="597">
        <f t="shared" si="14"/>
        <v>752</v>
      </c>
      <c r="J10" s="599">
        <f>SUM(B10:I10)</f>
        <v>5639</v>
      </c>
      <c r="M10" s="368" t="s">
        <v>726</v>
      </c>
      <c r="N10" s="369"/>
      <c r="O10" s="369"/>
      <c r="P10" s="369"/>
      <c r="Q10" s="369"/>
      <c r="R10" s="369"/>
      <c r="S10" s="369"/>
      <c r="T10" s="369"/>
      <c r="U10" s="369"/>
      <c r="V10" s="369"/>
      <c r="W10" s="369"/>
      <c r="X10" s="369"/>
      <c r="Y10" s="369"/>
      <c r="Z10" s="369"/>
      <c r="AA10" s="369"/>
      <c r="AB10" s="369"/>
      <c r="AC10" s="369"/>
      <c r="AD10" s="369"/>
      <c r="AE10" s="369"/>
      <c r="AF10" s="368"/>
      <c r="AG10" s="369"/>
      <c r="AH10" s="369"/>
      <c r="AI10" s="451">
        <v>6</v>
      </c>
      <c r="AJ10" s="449">
        <f>IFERROR(INDEX(状態像区分病院所在地[#All],MATCH(6,状態像区分病院所在地[[#All],[行ラベル]]),MATCH($AJ$2,状態像区分病院所在地[#Headers],0)),0)+IFERROR(INDEX(状態像区分病院所在地[#All],MATCH(6,状態像区分病院所在地[[#All],[行ラベル]]),MATCH($AK$2,状態像区分病院所在地[#Headers],0)),0)+IFERROR(INDEX(状態像区分病院所在地[#All],MATCH(6,状態像区分病院所在地[[#All],[行ラベル]]),MATCH($AL$2,状態像区分病院所在地[#Headers],0)),0)</f>
        <v>62</v>
      </c>
      <c r="AK10" s="450">
        <f>IFERROR(INDEX(状態像区分病院所在地[#All],MATCH(6,状態像区分病院所在地[[#All],[行ラベル]]),MATCH($AM$2,状態像区分病院所在地[#Headers],0)),0)+IFERROR(INDEX(状態像区分病院所在地[#All],MATCH(6,状態像区分病院所在地[[#All],[行ラベル]]),MATCH($AN$2,状態像区分病院所在地[#Headers],0)),0)</f>
        <v>121</v>
      </c>
      <c r="AL10" s="450">
        <f>IFERROR(INDEX(状態像区分病院所在地[#All],MATCH(6,状態像区分病院所在地[[#All],[行ラベル]]),MATCH($AO$2,状態像区分病院所在地[#Headers],0)),0)+IFERROR(INDEX(状態像区分病院所在地[#All],MATCH(61,状態像区分病院所在地[[#All],[行ラベル]]),MATCH($AP$2,状態像区分病院所在地[#Headers],0)),0)+IFERROR(INDEX(状態像区分病院所在地[#All],MATCH(6,状態像区分病院所在地[[#All],[行ラベル]]),MATCH($AQ$2,状態像区分病院所在地[#Headers],0)),0)+IFERROR(INDEX(状態像区分病院所在地[#All],MATCH(6,状態像区分病院所在地[[#All],[行ラベル]]),MATCH($AR$2,状態像区分病院所在地[#Headers],0)),0)</f>
        <v>94</v>
      </c>
      <c r="AM10" s="450">
        <f>IFERROR(INDEX(状態像区分病院所在地[#All],MATCH(6,状態像区分病院所在地[[#All],[行ラベル]]),MATCH($AS$2,状態像区分病院所在地[#Headers],0)),0)+IFERROR(INDEX(状態像区分病院所在地[#All],MATCH(6,状態像区分病院所在地[[#All],[行ラベル]]),MATCH($AT$2,状態像区分病院所在地[#Headers],0)),0)+IFERROR(INDEX(状態像区分病院所在地[#All],MATCH(6,状態像区分病院所在地[[#All],[行ラベル]]),MATCH($AU$2,状態像区分病院所在地[#Headers],0)),0)</f>
        <v>49</v>
      </c>
      <c r="AN10" s="450">
        <f>IFERROR(INDEX(状態像区分病院所在地[#All],MATCH(6,状態像区分病院所在地[[#All],[行ラベル]]),MATCH($AV$2,状態像区分病院所在地[#Headers],0)),0)+IFERROR(INDEX(状態像区分病院所在地[#All],MATCH(6,状態像区分病院所在地[[#All],[行ラベル]]),MATCH($AW$2,状態像区分病院所在地[#Headers],0)),0)</f>
        <v>61</v>
      </c>
      <c r="AO10" s="450">
        <f>IFERROR(INDEX(状態像区分病院所在地[#All],MATCH(6,状態像区分病院所在地[[#All],[行ラベル]]),MATCH($AX$2,状態像区分病院所在地[#Headers],0)),0)+IFERROR(INDEX(状態像区分病院所在地[#All],MATCH(6,状態像区分病院所在地[[#All],[行ラベル]]),MATCH($AY$2,状態像区分病院所在地[#Headers],0)),0)+IFERROR(INDEX(状態像区分病院所在地[#All],MATCH(6,状態像区分病院所在地[[#All],[行ラベル]]),MATCH($AZ$2,状態像区分病院所在地[#Headers],0)),0)</f>
        <v>94</v>
      </c>
      <c r="AP10" s="450">
        <f>IFERROR(INDEX(状態像区分病院所在地[#All],MATCH(6,状態像区分病院所在地[[#All],[行ラベル]]),MATCH($BA$2,状態像区分病院所在地[#Headers],0)),0)</f>
        <v>3</v>
      </c>
      <c r="AQ10" s="450">
        <f>IFERROR(INDEX(状態像区分病院所在地[#All],MATCH(6,状態像区分病院所在地[[#All],[行ラベル]]),MATCH($BB$2,状態像区分病院所在地[#Headers],0)),0)</f>
        <v>61</v>
      </c>
    </row>
    <row r="11" spans="1:54" s="16" customFormat="1" ht="18.75" customHeight="1" x14ac:dyDescent="0.2">
      <c r="A11" s="1075"/>
      <c r="B11" s="598">
        <f t="shared" ref="B11" si="15">IFERROR(B10/B$16,"-")</f>
        <v>0.42848258706467662</v>
      </c>
      <c r="C11" s="598">
        <f t="shared" ref="C11" si="16">IFERROR(C10/C$16,"-")</f>
        <v>0.38720353006067293</v>
      </c>
      <c r="D11" s="598">
        <f t="shared" ref="D11" si="17">IFERROR(D10/D$16,"-")</f>
        <v>0.4088522130532633</v>
      </c>
      <c r="E11" s="598">
        <f t="shared" ref="E11" si="18">IFERROR(E10/E$16,"-")</f>
        <v>0.33935907970419066</v>
      </c>
      <c r="F11" s="598">
        <f t="shared" ref="F11" si="19">IFERROR(F10/F$16,"-")</f>
        <v>0.4073469387755102</v>
      </c>
      <c r="G11" s="598">
        <f t="shared" ref="G11" si="20">IFERROR(G10/G$16,"-")</f>
        <v>0.41850594227504245</v>
      </c>
      <c r="H11" s="598">
        <f t="shared" ref="H11" si="21">IFERROR(H10/H$16,"-")</f>
        <v>0.40119760479041916</v>
      </c>
      <c r="I11" s="598">
        <f t="shared" ref="I11" si="22">IFERROR(I10/I$16,"-")</f>
        <v>0.38923395445134573</v>
      </c>
      <c r="J11" s="598">
        <f t="shared" ref="J11" si="23">IFERROR(J10/J$16,"-")</f>
        <v>0.40258442207467693</v>
      </c>
      <c r="M11" s="368" t="s">
        <v>726</v>
      </c>
      <c r="N11" s="369"/>
      <c r="O11" s="369"/>
      <c r="P11" s="369"/>
      <c r="Q11" s="369"/>
      <c r="R11" s="369"/>
      <c r="S11" s="369"/>
      <c r="T11" s="369"/>
      <c r="U11" s="369"/>
      <c r="V11" s="369"/>
      <c r="W11" s="369"/>
      <c r="X11" s="369"/>
      <c r="Y11" s="369"/>
      <c r="Z11" s="369"/>
      <c r="AA11" s="369"/>
      <c r="AB11" s="369"/>
      <c r="AC11" s="369"/>
      <c r="AD11" s="369"/>
      <c r="AE11" s="369"/>
      <c r="AF11" s="368"/>
      <c r="AG11" s="369"/>
      <c r="AJ11" s="440"/>
    </row>
    <row r="12" spans="1:54" s="16" customFormat="1" ht="18.75" customHeight="1" x14ac:dyDescent="0.2">
      <c r="A12" s="1076" t="s">
        <v>32</v>
      </c>
      <c r="B12" s="597">
        <f>AJ9</f>
        <v>411</v>
      </c>
      <c r="C12" s="597">
        <f t="shared" ref="C12:I12" si="24">AK9</f>
        <v>489</v>
      </c>
      <c r="D12" s="597">
        <f t="shared" si="24"/>
        <v>327</v>
      </c>
      <c r="E12" s="597">
        <f t="shared" si="24"/>
        <v>157</v>
      </c>
      <c r="F12" s="597">
        <f t="shared" si="24"/>
        <v>286</v>
      </c>
      <c r="G12" s="597">
        <f t="shared" si="24"/>
        <v>1190</v>
      </c>
      <c r="H12" s="597">
        <f t="shared" si="24"/>
        <v>27</v>
      </c>
      <c r="I12" s="597">
        <f t="shared" si="24"/>
        <v>460</v>
      </c>
      <c r="J12" s="599">
        <f>SUM(B12:I12)</f>
        <v>3347</v>
      </c>
      <c r="AJ12" s="440"/>
    </row>
    <row r="13" spans="1:54" s="16" customFormat="1" ht="18.75" customHeight="1" x14ac:dyDescent="0.2">
      <c r="A13" s="1075"/>
      <c r="B13" s="598">
        <f t="shared" ref="B13" si="25">IFERROR(B12/B$16,"-")</f>
        <v>0.25559701492537312</v>
      </c>
      <c r="C13" s="598">
        <f t="shared" ref="C13" si="26">IFERROR(C12/C$16,"-")</f>
        <v>0.26971869829012685</v>
      </c>
      <c r="D13" s="598">
        <f t="shared" ref="D13" si="27">IFERROR(D12/D$16,"-")</f>
        <v>0.245311327831958</v>
      </c>
      <c r="E13" s="598">
        <f t="shared" ref="E13" si="28">IFERROR(E12/E$16,"-")</f>
        <v>0.12900575184880855</v>
      </c>
      <c r="F13" s="598">
        <f t="shared" ref="F13" si="29">IFERROR(F12/F$16,"-")</f>
        <v>0.23346938775510204</v>
      </c>
      <c r="G13" s="598">
        <f t="shared" ref="G13" si="30">IFERROR(G12/G$16,"-")</f>
        <v>0.25254668930390495</v>
      </c>
      <c r="H13" s="598">
        <f t="shared" ref="H13" si="31">IFERROR(H12/H$16,"-")</f>
        <v>0.16167664670658682</v>
      </c>
      <c r="I13" s="598">
        <f t="shared" ref="I13" si="32">IFERROR(I12/I$16,"-")</f>
        <v>0.23809523809523808</v>
      </c>
      <c r="J13" s="598">
        <f t="shared" ref="J13" si="33">IFERROR(J12/J$16,"-")</f>
        <v>0.238951952595131</v>
      </c>
      <c r="AJ13" s="440"/>
    </row>
    <row r="14" spans="1:54" s="16" customFormat="1" ht="18.75" customHeight="1" x14ac:dyDescent="0.2">
      <c r="A14" s="1076" t="s">
        <v>33</v>
      </c>
      <c r="B14" s="597">
        <f>AJ10</f>
        <v>62</v>
      </c>
      <c r="C14" s="597">
        <f t="shared" ref="C14:I14" si="34">AK10</f>
        <v>121</v>
      </c>
      <c r="D14" s="597">
        <f t="shared" si="34"/>
        <v>94</v>
      </c>
      <c r="E14" s="597">
        <f t="shared" si="34"/>
        <v>49</v>
      </c>
      <c r="F14" s="597">
        <f t="shared" si="34"/>
        <v>61</v>
      </c>
      <c r="G14" s="597">
        <f t="shared" si="34"/>
        <v>94</v>
      </c>
      <c r="H14" s="597">
        <f t="shared" si="34"/>
        <v>3</v>
      </c>
      <c r="I14" s="597">
        <f t="shared" si="34"/>
        <v>61</v>
      </c>
      <c r="J14" s="599">
        <f>SUM(B14:I14)</f>
        <v>545</v>
      </c>
      <c r="AJ14" s="440"/>
    </row>
    <row r="15" spans="1:54" s="16" customFormat="1" ht="18.75" customHeight="1" x14ac:dyDescent="0.2">
      <c r="A15" s="1075"/>
      <c r="B15" s="598">
        <f t="shared" ref="B15" si="35">IFERROR(B14/B$16,"-")</f>
        <v>3.8557213930348257E-2</v>
      </c>
      <c r="C15" s="598">
        <f t="shared" ref="C15" si="36">IFERROR(C14/C$16,"-")</f>
        <v>6.6740209597352454E-2</v>
      </c>
      <c r="D15" s="598">
        <f t="shared" ref="D15" si="37">IFERROR(D14/D$16,"-")</f>
        <v>7.0517629407351831E-2</v>
      </c>
      <c r="E15" s="598">
        <f t="shared" ref="E15" si="38">IFERROR(E14/E$16,"-")</f>
        <v>4.0262941659819231E-2</v>
      </c>
      <c r="F15" s="598">
        <f t="shared" ref="F15" si="39">IFERROR(F14/F$16,"-")</f>
        <v>4.9795918367346939E-2</v>
      </c>
      <c r="G15" s="598">
        <f t="shared" ref="G15" si="40">IFERROR(G14/G$16,"-")</f>
        <v>1.9949066213921902E-2</v>
      </c>
      <c r="H15" s="598">
        <f t="shared" ref="H15" si="41">IFERROR(H14/H$16,"-")</f>
        <v>1.7964071856287425E-2</v>
      </c>
      <c r="I15" s="598">
        <f t="shared" ref="I15" si="42">IFERROR(I14/I$16,"-")</f>
        <v>3.1573498964803312E-2</v>
      </c>
      <c r="J15" s="598">
        <f t="shared" ref="J15" si="43">IFERROR(J14/J$16,"-")</f>
        <v>3.8909116870136359E-2</v>
      </c>
      <c r="AJ15" s="440"/>
    </row>
    <row r="16" spans="1:54" s="16" customFormat="1" ht="18.75" customHeight="1" x14ac:dyDescent="0.2">
      <c r="A16" s="1074" t="s">
        <v>149</v>
      </c>
      <c r="B16" s="360">
        <f>SUM(B4,B6,B8,B10,B12,B14)</f>
        <v>1608</v>
      </c>
      <c r="C16" s="360">
        <f t="shared" ref="C16:J16" si="44">SUM(C4,C6,C8,C10,C12,C14)</f>
        <v>1813</v>
      </c>
      <c r="D16" s="360">
        <f t="shared" si="44"/>
        <v>1333</v>
      </c>
      <c r="E16" s="360">
        <f t="shared" si="44"/>
        <v>1217</v>
      </c>
      <c r="F16" s="360">
        <f t="shared" si="44"/>
        <v>1225</v>
      </c>
      <c r="G16" s="360">
        <f t="shared" si="44"/>
        <v>4712</v>
      </c>
      <c r="H16" s="360">
        <f t="shared" si="44"/>
        <v>167</v>
      </c>
      <c r="I16" s="360">
        <f t="shared" si="44"/>
        <v>1932</v>
      </c>
      <c r="J16" s="361">
        <f t="shared" si="44"/>
        <v>14007</v>
      </c>
      <c r="AJ16" s="440"/>
    </row>
    <row r="17" spans="1:43" s="16" customFormat="1" ht="18.75" customHeight="1" x14ac:dyDescent="0.2">
      <c r="A17" s="1075"/>
      <c r="B17" s="362">
        <f t="shared" ref="B17:J17" si="45">SUM(B5,B7,B9,B11,B13,B15)</f>
        <v>1</v>
      </c>
      <c r="C17" s="362">
        <f t="shared" si="45"/>
        <v>1</v>
      </c>
      <c r="D17" s="362">
        <f t="shared" si="45"/>
        <v>1</v>
      </c>
      <c r="E17" s="362">
        <f t="shared" si="45"/>
        <v>1</v>
      </c>
      <c r="F17" s="362">
        <f t="shared" si="45"/>
        <v>1</v>
      </c>
      <c r="G17" s="362">
        <f t="shared" si="45"/>
        <v>1</v>
      </c>
      <c r="H17" s="362">
        <f t="shared" si="45"/>
        <v>1</v>
      </c>
      <c r="I17" s="362">
        <f t="shared" si="45"/>
        <v>1</v>
      </c>
      <c r="J17" s="362">
        <f t="shared" si="45"/>
        <v>0.99999999999999989</v>
      </c>
      <c r="AJ17" s="440"/>
    </row>
    <row r="18" spans="1:43" x14ac:dyDescent="0.2">
      <c r="AJ18" s="440"/>
    </row>
    <row r="19" spans="1:43" x14ac:dyDescent="0.2">
      <c r="AJ19" s="440"/>
    </row>
    <row r="20" spans="1:43" x14ac:dyDescent="0.2">
      <c r="A20" s="370"/>
      <c r="B20" s="371"/>
      <c r="C20" s="371"/>
      <c r="D20" s="371"/>
      <c r="E20" s="371"/>
      <c r="F20" s="371"/>
      <c r="G20" s="371"/>
      <c r="H20" s="371"/>
      <c r="I20" s="371"/>
      <c r="AJ20" s="440"/>
    </row>
    <row r="21" spans="1:43" x14ac:dyDescent="0.2">
      <c r="A21" s="95"/>
      <c r="B21" s="95"/>
      <c r="C21" s="95"/>
      <c r="D21" s="95"/>
      <c r="E21" s="95"/>
      <c r="F21" s="95"/>
      <c r="G21" s="95"/>
      <c r="H21" s="95"/>
      <c r="I21" s="95"/>
      <c r="AJ21" s="440"/>
    </row>
    <row r="22" spans="1:43" ht="19.2" x14ac:dyDescent="0.2">
      <c r="A22" s="2" t="s">
        <v>428</v>
      </c>
      <c r="B22" s="3"/>
      <c r="C22" s="3"/>
      <c r="D22" s="3"/>
      <c r="E22" s="3"/>
      <c r="F22" s="3"/>
      <c r="G22" s="3"/>
      <c r="H22" s="3"/>
      <c r="I22" s="3"/>
      <c r="J22" s="3"/>
    </row>
    <row r="23" spans="1:43" ht="18" thickBot="1" x14ac:dyDescent="0.25">
      <c r="A23" s="4"/>
    </row>
    <row r="24" spans="1:43" ht="18.600000000000001" thickTop="1" thickBot="1" x14ac:dyDescent="0.25">
      <c r="A24" s="435"/>
      <c r="B24" s="435" t="s">
        <v>356</v>
      </c>
      <c r="C24" s="435" t="s">
        <v>357</v>
      </c>
      <c r="D24" s="435" t="s">
        <v>358</v>
      </c>
      <c r="E24" s="435" t="s">
        <v>359</v>
      </c>
      <c r="F24" s="435" t="s">
        <v>360</v>
      </c>
      <c r="G24" s="435" t="s">
        <v>361</v>
      </c>
      <c r="H24" s="435" t="s">
        <v>362</v>
      </c>
      <c r="I24" s="435" t="s">
        <v>363</v>
      </c>
      <c r="J24" s="435" t="s">
        <v>61</v>
      </c>
      <c r="M24" s="797" t="s">
        <v>655</v>
      </c>
      <c r="N24" s="795" t="s">
        <v>728</v>
      </c>
      <c r="O24" s="432" t="s">
        <v>729</v>
      </c>
      <c r="P24" s="432" t="s">
        <v>730</v>
      </c>
      <c r="Q24" s="432" t="s">
        <v>731</v>
      </c>
      <c r="R24" s="432" t="s">
        <v>732</v>
      </c>
      <c r="S24" s="432" t="s">
        <v>733</v>
      </c>
      <c r="T24" s="432" t="s">
        <v>734</v>
      </c>
      <c r="U24" s="432" t="s">
        <v>735</v>
      </c>
      <c r="V24" s="432" t="s">
        <v>736</v>
      </c>
      <c r="W24" s="432" t="s">
        <v>737</v>
      </c>
      <c r="X24" s="432" t="s">
        <v>738</v>
      </c>
      <c r="Y24" s="432" t="s">
        <v>739</v>
      </c>
      <c r="Z24" s="432" t="s">
        <v>740</v>
      </c>
      <c r="AA24" s="432" t="s">
        <v>741</v>
      </c>
      <c r="AB24" s="432" t="s">
        <v>742</v>
      </c>
      <c r="AC24" s="432" t="s">
        <v>743</v>
      </c>
      <c r="AD24" s="432" t="s">
        <v>744</v>
      </c>
      <c r="AE24" s="432" t="s">
        <v>746</v>
      </c>
      <c r="AF24" s="436" t="s">
        <v>446</v>
      </c>
      <c r="AG24" s="452" t="s">
        <v>396</v>
      </c>
      <c r="AH24" s="453"/>
    </row>
    <row r="25" spans="1:43" ht="18.600000000000001" thickTop="1" thickBot="1" x14ac:dyDescent="0.25">
      <c r="A25" s="1062" t="s">
        <v>28</v>
      </c>
      <c r="B25" s="597">
        <f>AJ26</f>
        <v>9</v>
      </c>
      <c r="C25" s="597">
        <f t="shared" ref="C25:I25" si="46">AK26</f>
        <v>0</v>
      </c>
      <c r="D25" s="597">
        <f t="shared" si="46"/>
        <v>7</v>
      </c>
      <c r="E25" s="597">
        <f t="shared" si="46"/>
        <v>10</v>
      </c>
      <c r="F25" s="597">
        <f t="shared" si="46"/>
        <v>1</v>
      </c>
      <c r="G25" s="597">
        <f t="shared" si="46"/>
        <v>9</v>
      </c>
      <c r="H25" s="597">
        <f t="shared" si="46"/>
        <v>0</v>
      </c>
      <c r="I25" s="597">
        <f t="shared" si="46"/>
        <v>4</v>
      </c>
      <c r="J25" s="599">
        <f>SUM(B25:I25)</f>
        <v>40</v>
      </c>
      <c r="M25" s="796">
        <v>1</v>
      </c>
      <c r="N25" s="434">
        <v>1</v>
      </c>
      <c r="O25" s="434">
        <v>4</v>
      </c>
      <c r="P25" s="434">
        <v>4</v>
      </c>
      <c r="Q25" s="434"/>
      <c r="R25" s="434"/>
      <c r="S25" s="434">
        <v>1</v>
      </c>
      <c r="T25" s="434">
        <v>2</v>
      </c>
      <c r="U25" s="434"/>
      <c r="V25" s="434">
        <v>4</v>
      </c>
      <c r="W25" s="434">
        <v>5</v>
      </c>
      <c r="X25" s="434">
        <v>5</v>
      </c>
      <c r="Y25" s="434"/>
      <c r="Z25" s="434"/>
      <c r="AA25" s="434">
        <v>1</v>
      </c>
      <c r="AB25" s="434">
        <v>7</v>
      </c>
      <c r="AC25" s="434">
        <v>1</v>
      </c>
      <c r="AD25" s="434">
        <v>1</v>
      </c>
      <c r="AE25" s="434">
        <v>4</v>
      </c>
      <c r="AF25" s="433">
        <v>40</v>
      </c>
      <c r="AG25" s="454"/>
      <c r="AH25" s="369"/>
      <c r="AI25" s="441"/>
      <c r="AJ25" s="455" t="s">
        <v>356</v>
      </c>
      <c r="AK25" s="456" t="s">
        <v>357</v>
      </c>
      <c r="AL25" s="456" t="s">
        <v>358</v>
      </c>
      <c r="AM25" s="456" t="s">
        <v>359</v>
      </c>
      <c r="AN25" s="456" t="s">
        <v>360</v>
      </c>
      <c r="AO25" s="456" t="s">
        <v>361</v>
      </c>
      <c r="AP25" s="456" t="s">
        <v>362</v>
      </c>
      <c r="AQ25" s="457" t="s">
        <v>363</v>
      </c>
    </row>
    <row r="26" spans="1:43" x14ac:dyDescent="0.2">
      <c r="A26" s="1063"/>
      <c r="B26" s="598">
        <f t="shared" ref="B26" si="47">IFERROR(B25/B$16,"-")</f>
        <v>5.597014925373134E-3</v>
      </c>
      <c r="C26" s="598">
        <f t="shared" ref="C26" si="48">IFERROR(C25/C$16,"-")</f>
        <v>0</v>
      </c>
      <c r="D26" s="598">
        <f t="shared" ref="D26" si="49">IFERROR(D25/D$16,"-")</f>
        <v>5.2513128282070517E-3</v>
      </c>
      <c r="E26" s="598">
        <f t="shared" ref="E26" si="50">IFERROR(E25/E$16,"-")</f>
        <v>8.2169268693508633E-3</v>
      </c>
      <c r="F26" s="598">
        <f t="shared" ref="F26" si="51">IFERROR(F25/F$16,"-")</f>
        <v>8.1632653061224493E-4</v>
      </c>
      <c r="G26" s="598">
        <f t="shared" ref="G26" si="52">IFERROR(G25/G$16,"-")</f>
        <v>1.9100169779286927E-3</v>
      </c>
      <c r="H26" s="598">
        <f t="shared" ref="H26" si="53">IFERROR(H25/H$16,"-")</f>
        <v>0</v>
      </c>
      <c r="I26" s="598">
        <f t="shared" ref="I26" si="54">IFERROR(I25/I$16,"-")</f>
        <v>2.070393374741201E-3</v>
      </c>
      <c r="J26" s="598">
        <f t="shared" ref="J26" si="55">IFERROR(J25/J$16,"-")</f>
        <v>2.8557149996430355E-3</v>
      </c>
      <c r="M26" s="433">
        <v>2</v>
      </c>
      <c r="N26" s="434">
        <v>8</v>
      </c>
      <c r="O26" s="434">
        <v>22</v>
      </c>
      <c r="P26" s="434">
        <v>16</v>
      </c>
      <c r="Q26" s="434">
        <v>25</v>
      </c>
      <c r="R26" s="434">
        <v>19</v>
      </c>
      <c r="S26" s="434">
        <v>13</v>
      </c>
      <c r="T26" s="434">
        <v>12</v>
      </c>
      <c r="U26" s="434"/>
      <c r="V26" s="434">
        <v>4</v>
      </c>
      <c r="W26" s="434">
        <v>33</v>
      </c>
      <c r="X26" s="434">
        <v>25</v>
      </c>
      <c r="Y26" s="434">
        <v>3</v>
      </c>
      <c r="Z26" s="434">
        <v>19</v>
      </c>
      <c r="AA26" s="434">
        <v>26</v>
      </c>
      <c r="AB26" s="434">
        <v>76</v>
      </c>
      <c r="AC26" s="434">
        <v>122</v>
      </c>
      <c r="AD26" s="434">
        <v>10</v>
      </c>
      <c r="AE26" s="434">
        <v>52</v>
      </c>
      <c r="AF26" s="433">
        <v>485</v>
      </c>
      <c r="AG26" s="454"/>
      <c r="AH26" s="369"/>
      <c r="AI26" s="458">
        <v>1</v>
      </c>
      <c r="AJ26" s="459">
        <f>IFERROR(INDEX(状態像区分病院所在地_1年以上[#All],MATCH(1,状態像区分病院所在地_1年以上[[#All],[行ラベル]]),MATCH($AJ$2,状態像区分病院所在地_1年以上[#Headers],0)),0)+IFERROR(INDEX(状態像区分病院所在地_1年以上[#All],MATCH(1,状態像区分病院所在地_1年以上[[#All],[行ラベル]]),MATCH($AK$2,状態像区分病院所在地_1年以上[#Headers],0)),0)+IFERROR(INDEX(状態像区分病院所在地_1年以上[#All],MATCH(1,状態像区分病院所在地_1年以上[[#All],[行ラベル]]),MATCH($AL$2,状態像区分病院所在地_1年以上[#Headers],0)),0)</f>
        <v>9</v>
      </c>
      <c r="AK26" s="460">
        <f>IFERROR(INDEX(状態像区分病院所在地_1年以上[#All],MATCH(1,状態像区分病院所在地_1年以上[[#All],[行ラベル]]),MATCH($AM$2,状態像区分病院所在地_1年以上[#Headers],0)),0)+IFERROR(INDEX(状態像区分病院所在地_1年以上[#All],MATCH(1,状態像区分病院所在地_1年以上[[#All],[行ラベル]]),MATCH($AN$2,状態像区分病院所在地_1年以上[#Headers],0)),0)</f>
        <v>0</v>
      </c>
      <c r="AL26" s="460">
        <f>IFERROR(INDEX(状態像区分病院所在地_1年以上[#All],MATCH(1,状態像区分病院所在地_1年以上[[#All],[行ラベル]]),MATCH($AO$2,状態像区分病院所在地_1年以上[#Headers],0)),0)+IFERROR(INDEX(状態像区分病院所在地_1年以上[#All],MATCH(1,状態像区分病院所在地_1年以上[[#All],[行ラベル]]),MATCH($AP$2,状態像区分病院所在地_1年以上[#Headers],0)),0)+IFERROR(INDEX(状態像区分病院所在地_1年以上[#All],MATCH(1,状態像区分病院所在地_1年以上[[#All],[行ラベル]]),MATCH($AQ$2,状態像区分病院所在地_1年以上[#Headers],0)),0)+IFERROR(INDEX(状態像区分病院所在地_1年以上[#All],MATCH(1,状態像区分病院所在地_1年以上[[#All],[行ラベル]]),MATCH($AR$2,状態像区分病院所在地_1年以上[#Headers],0)),0)</f>
        <v>7</v>
      </c>
      <c r="AM26" s="460">
        <f>IFERROR(INDEX(状態像区分病院所在地_1年以上[#All],MATCH(1,状態像区分病院所在地_1年以上[[#All],[行ラベル]]),MATCH($AS$2,状態像区分病院所在地_1年以上[#Headers],0)),0)+IFERROR(INDEX(状態像区分病院所在地_1年以上[#All],MATCH(1,状態像区分病院所在地_1年以上[[#All],[行ラベル]]),MATCH($AT$2,状態像区分病院所在地_1年以上[#Headers],0)),0)+IFERROR(INDEX(状態像区分病院所在地_1年以上[#All],MATCH(1,状態像区分病院所在地_1年以上[[#All],[行ラベル]]),MATCH($AU$2,状態像区分病院所在地_1年以上[#Headers],0)),0)</f>
        <v>10</v>
      </c>
      <c r="AN26" s="460">
        <f>IFERROR(INDEX(状態像区分病院所在地_1年以上[#All],MATCH(1,状態像区分病院所在地_1年以上[[#All],[行ラベル]]),MATCH($AV$2,状態像区分病院所在地_1年以上[#Headers],0)),0)+IFERROR(INDEX(状態像区分病院所在地_1年以上[#All],MATCH(1,状態像区分病院所在地_1年以上[[#All],[行ラベル]]),MATCH($AW$2,状態像区分病院所在地_1年以上[#Headers],0)),0)</f>
        <v>1</v>
      </c>
      <c r="AO26" s="460">
        <f>IFERROR(INDEX(状態像区分病院所在地_1年以上[#All],MATCH(1,状態像区分病院所在地_1年以上[[#All],[行ラベル]]),MATCH($AX$2,状態像区分病院所在地_1年以上[#Headers],0)),0)+IFERROR(INDEX(状態像区分病院所在地_1年以上[#All],MATCH(1,状態像区分病院所在地_1年以上[[#All],[行ラベル]]),MATCH($AY$2,状態像区分病院所在地_1年以上[#Headers],0)),0)+IFERROR(INDEX(状態像区分病院所在地_1年以上[#All],MATCH(1,状態像区分病院所在地_1年以上[[#All],[行ラベル]]),MATCH($AZ$2,状態像区分病院所在地_1年以上[#Headers],0)),0)</f>
        <v>9</v>
      </c>
      <c r="AP26" s="460">
        <f>IFERROR(INDEX(状態像区分病院所在地_1年以上[#All],MATCH(1,状態像区分病院所在地_1年以上[[#All],[行ラベル]]),MATCH($BA$2,状態像区分病院所在地_1年以上[#Headers],0)),0)</f>
        <v>0</v>
      </c>
      <c r="AQ26" s="461">
        <f>IFERROR(INDEX(状態像区分病院所在地_1年以上[#All],MATCH(1,状態像区分病院所在地_1年以上[[#All],[行ラベル]]),MATCH($BB$2,状態像区分病院所在地_1年以上[#Headers],0)),0)</f>
        <v>4</v>
      </c>
    </row>
    <row r="27" spans="1:43" x14ac:dyDescent="0.2">
      <c r="A27" s="1062" t="s">
        <v>29</v>
      </c>
      <c r="B27" s="597">
        <f>AJ27</f>
        <v>46</v>
      </c>
      <c r="C27" s="597">
        <f t="shared" ref="C27:I27" si="56">AK27</f>
        <v>44</v>
      </c>
      <c r="D27" s="597">
        <f t="shared" si="56"/>
        <v>29</v>
      </c>
      <c r="E27" s="597">
        <f t="shared" si="56"/>
        <v>61</v>
      </c>
      <c r="F27" s="597">
        <f t="shared" si="56"/>
        <v>45</v>
      </c>
      <c r="G27" s="597">
        <f t="shared" si="56"/>
        <v>208</v>
      </c>
      <c r="H27" s="597">
        <f t="shared" si="56"/>
        <v>0</v>
      </c>
      <c r="I27" s="597">
        <f t="shared" si="56"/>
        <v>52</v>
      </c>
      <c r="J27" s="599">
        <f>SUM(B27:I27)</f>
        <v>485</v>
      </c>
      <c r="M27" s="433">
        <v>3</v>
      </c>
      <c r="N27" s="434">
        <v>45</v>
      </c>
      <c r="O27" s="434">
        <v>41</v>
      </c>
      <c r="P27" s="434">
        <v>16</v>
      </c>
      <c r="Q27" s="434">
        <v>61</v>
      </c>
      <c r="R27" s="434">
        <v>85</v>
      </c>
      <c r="S27" s="434">
        <v>53</v>
      </c>
      <c r="T27" s="434">
        <v>25</v>
      </c>
      <c r="U27" s="434">
        <v>3</v>
      </c>
      <c r="V27" s="434">
        <v>12</v>
      </c>
      <c r="W27" s="434">
        <v>116</v>
      </c>
      <c r="X27" s="434">
        <v>26</v>
      </c>
      <c r="Y27" s="434">
        <v>9</v>
      </c>
      <c r="Z27" s="434">
        <v>40</v>
      </c>
      <c r="AA27" s="434">
        <v>76</v>
      </c>
      <c r="AB27" s="434">
        <v>121</v>
      </c>
      <c r="AC27" s="434">
        <v>231</v>
      </c>
      <c r="AD27" s="434">
        <v>118</v>
      </c>
      <c r="AE27" s="434">
        <v>198</v>
      </c>
      <c r="AF27" s="433">
        <v>1276</v>
      </c>
      <c r="AG27" s="454"/>
      <c r="AH27" s="369"/>
      <c r="AI27" s="462">
        <v>2</v>
      </c>
      <c r="AJ27" s="459">
        <f>IFERROR(INDEX(状態像区分病院所在地_1年以上[#All],MATCH(2,状態像区分病院所在地_1年以上[[#All],[行ラベル]]),MATCH($AJ$2,状態像区分病院所在地_1年以上[#Headers],0)),0)+IFERROR(INDEX(状態像区分病院所在地_1年以上[#All],MATCH(2,状態像区分病院所在地_1年以上[[#All],[行ラベル]]),MATCH($AK$2,状態像区分病院所在地_1年以上[#Headers],0)),0)+IFERROR(INDEX(状態像区分病院所在地_1年以上[#All],MATCH(2,状態像区分病院所在地_1年以上[[#All],[行ラベル]]),MATCH($AL$2,状態像区分病院所在地_1年以上[#Headers],0)),0)</f>
        <v>46</v>
      </c>
      <c r="AK27" s="460">
        <f>IFERROR(INDEX(状態像区分病院所在地_1年以上[#All],MATCH(2,状態像区分病院所在地_1年以上[[#All],[行ラベル]]),MATCH($AM$2,状態像区分病院所在地_1年以上[#Headers],0)),0)+IFERROR(INDEX(状態像区分病院所在地_1年以上[#All],MATCH(2,状態像区分病院所在地_1年以上[[#All],[行ラベル]]),MATCH($AN$2,状態像区分病院所在地_1年以上[#Headers],0)),0)</f>
        <v>44</v>
      </c>
      <c r="AL27" s="460">
        <f>IFERROR(INDEX(状態像区分病院所在地_1年以上[#All],MATCH(2,状態像区分病院所在地_1年以上[[#All],[行ラベル]]),MATCH($AO$2,状態像区分病院所在地_1年以上[#Headers],0)),0)+IFERROR(INDEX(状態像区分病院所在地_1年以上[#All],MATCH(2,状態像区分病院所在地_1年以上[[#All],[行ラベル]]),MATCH($AP$2,状態像区分病院所在地_1年以上[#Headers],0)),0)+IFERROR(INDEX(状態像区分病院所在地_1年以上[#All],MATCH(2,状態像区分病院所在地_1年以上[[#All],[行ラベル]]),MATCH($AQ$2,状態像区分病院所在地_1年以上[#Headers],0)),0)+IFERROR(INDEX(状態像区分病院所在地_1年以上[#All],MATCH(2,状態像区分病院所在地_1年以上[[#All],[行ラベル]]),MATCH($AR$2,状態像区分病院所在地_1年以上[#Headers],0)),0)</f>
        <v>29</v>
      </c>
      <c r="AM27" s="460">
        <f>IFERROR(INDEX(状態像区分病院所在地_1年以上[#All],MATCH(2,状態像区分病院所在地_1年以上[[#All],[行ラベル]]),MATCH($AS$2,状態像区分病院所在地_1年以上[#Headers],0)),0)+IFERROR(INDEX(状態像区分病院所在地_1年以上[#All],MATCH(2,状態像区分病院所在地_1年以上[[#All],[行ラベル]]),MATCH($AT$2,状態像区分病院所在地_1年以上[#Headers],0)),0)+IFERROR(INDEX(状態像区分病院所在地_1年以上[#All],MATCH(2,状態像区分病院所在地_1年以上[[#All],[行ラベル]]),MATCH($AU$2,状態像区分病院所在地_1年以上[#Headers],0)),0)</f>
        <v>61</v>
      </c>
      <c r="AN27" s="460">
        <f>IFERROR(INDEX(状態像区分病院所在地_1年以上[#All],MATCH(2,状態像区分病院所在地_1年以上[[#All],[行ラベル]]),MATCH($AV$2,状態像区分病院所在地_1年以上[#Headers],0)),0)+IFERROR(INDEX(状態像区分病院所在地_1年以上[#All],MATCH(2,状態像区分病院所在地_1年以上[[#All],[行ラベル]]),MATCH($AW$2,状態像区分病院所在地_1年以上[#Headers],0)),0)</f>
        <v>45</v>
      </c>
      <c r="AO27" s="460">
        <f>IFERROR(INDEX(状態像区分病院所在地_1年以上[#All],MATCH(2,状態像区分病院所在地_1年以上[[#All],[行ラベル]]),MATCH($AX$2,状態像区分病院所在地_1年以上[#Headers],0)),0)+IFERROR(INDEX(状態像区分病院所在地_1年以上[#All],MATCH(2,状態像区分病院所在地_1年以上[[#All],[行ラベル]]),MATCH($AY$2,状態像区分病院所在地_1年以上[#Headers],0)),0)+IFERROR(INDEX(状態像区分病院所在地_1年以上[#All],MATCH(2,状態像区分病院所在地_1年以上[[#All],[行ラベル]]),MATCH($AZ$2,状態像区分病院所在地_1年以上[#Headers],0)),0)</f>
        <v>208</v>
      </c>
      <c r="AP27" s="460">
        <f>IFERROR(INDEX(状態像区分病院所在地_1年以上[#All],MATCH(2,状態像区分病院所在地_1年以上[[#All],[行ラベル]]),MATCH($BA$2,状態像区分病院所在地_1年以上[#Headers],0)),0)</f>
        <v>0</v>
      </c>
      <c r="AQ27" s="461">
        <f>IFERROR(INDEX(状態像区分病院所在地_1年以上[#All],MATCH(2,状態像区分病院所在地_1年以上[[#All],[行ラベル]]),MATCH($BB$2,状態像区分病院所在地_1年以上[#Headers],0)),0)</f>
        <v>52</v>
      </c>
    </row>
    <row r="28" spans="1:43" x14ac:dyDescent="0.2">
      <c r="A28" s="1063"/>
      <c r="B28" s="598">
        <f t="shared" ref="B28" si="57">IFERROR(B27/B$16,"-")</f>
        <v>2.8606965174129355E-2</v>
      </c>
      <c r="C28" s="598">
        <f t="shared" ref="C28" si="58">IFERROR(C27/C$16,"-")</f>
        <v>2.4269167126309985E-2</v>
      </c>
      <c r="D28" s="598">
        <f t="shared" ref="D28" si="59">IFERROR(D27/D$16,"-")</f>
        <v>2.175543885971493E-2</v>
      </c>
      <c r="E28" s="598">
        <f t="shared" ref="E28" si="60">IFERROR(E27/E$16,"-")</f>
        <v>5.012325390304026E-2</v>
      </c>
      <c r="F28" s="598">
        <f t="shared" ref="F28" si="61">IFERROR(F27/F$16,"-")</f>
        <v>3.6734693877551024E-2</v>
      </c>
      <c r="G28" s="598">
        <f t="shared" ref="G28" si="62">IFERROR(G27/G$16,"-")</f>
        <v>4.4142614601018676E-2</v>
      </c>
      <c r="H28" s="598">
        <f t="shared" ref="H28" si="63">IFERROR(H27/H$16,"-")</f>
        <v>0</v>
      </c>
      <c r="I28" s="598">
        <f t="shared" ref="I28" si="64">IFERROR(I27/I$16,"-")</f>
        <v>2.6915113871635612E-2</v>
      </c>
      <c r="J28" s="598">
        <f t="shared" ref="J28" si="65">IFERROR(J27/J$16,"-")</f>
        <v>3.4625544370671807E-2</v>
      </c>
      <c r="M28" s="433">
        <v>4</v>
      </c>
      <c r="N28" s="434">
        <v>176</v>
      </c>
      <c r="O28" s="434">
        <v>169</v>
      </c>
      <c r="P28" s="434">
        <v>61</v>
      </c>
      <c r="Q28" s="434">
        <v>309</v>
      </c>
      <c r="R28" s="434">
        <v>107</v>
      </c>
      <c r="S28" s="434">
        <v>122</v>
      </c>
      <c r="T28" s="434">
        <v>33</v>
      </c>
      <c r="U28" s="434">
        <v>44</v>
      </c>
      <c r="V28" s="434">
        <v>52</v>
      </c>
      <c r="W28" s="434">
        <v>165</v>
      </c>
      <c r="X28" s="434">
        <v>27</v>
      </c>
      <c r="Y28" s="434">
        <v>29</v>
      </c>
      <c r="Z28" s="434">
        <v>128</v>
      </c>
      <c r="AA28" s="434">
        <v>181</v>
      </c>
      <c r="AB28" s="434">
        <v>380</v>
      </c>
      <c r="AC28" s="434">
        <v>577</v>
      </c>
      <c r="AD28" s="434">
        <v>349</v>
      </c>
      <c r="AE28" s="434">
        <v>383</v>
      </c>
      <c r="AF28" s="433">
        <v>3292</v>
      </c>
      <c r="AG28" s="454"/>
      <c r="AH28" s="369"/>
      <c r="AI28" s="462">
        <v>3</v>
      </c>
      <c r="AJ28" s="459">
        <f>IFERROR(INDEX(状態像区分病院所在地_1年以上[#All],MATCH(3,状態像区分病院所在地_1年以上[[#All],[行ラベル]]),MATCH($AJ$2,状態像区分病院所在地_1年以上[#Headers],0)),0)+IFERROR(INDEX(状態像区分病院所在地_1年以上[#All],MATCH(3,状態像区分病院所在地_1年以上[[#All],[行ラベル]]),MATCH($AK$2,状態像区分病院所在地_1年以上[#Headers],0)),0)+IFERROR(INDEX(状態像区分病院所在地_1年以上[#All],MATCH(3,状態像区分病院所在地_1年以上[[#All],[行ラベル]]),MATCH($AL$2,状態像区分病院所在地_1年以上[#Headers],0)),0)</f>
        <v>102</v>
      </c>
      <c r="AK28" s="460">
        <f>IFERROR(INDEX(状態像区分病院所在地_1年以上[#All],MATCH(3,状態像区分病院所在地_1年以上[[#All],[行ラベル]]),MATCH($AM$2,状態像区分病院所在地_1年以上[#Headers],0)),0)+IFERROR(INDEX(状態像区分病院所在地_1年以上[#All],MATCH(3,状態像区分病院所在地_1年以上[[#All],[行ラベル]]),MATCH($AN$2,状態像区分病院所在地_1年以上[#Headers],0)),0)</f>
        <v>146</v>
      </c>
      <c r="AL28" s="460">
        <f>IFERROR(INDEX(状態像区分病院所在地_1年以上[#All],MATCH(3,状態像区分病院所在地_1年以上[[#All],[行ラベル]]),MATCH($AO$2,状態像区分病院所在地_1年以上[#Headers],0)),0)+IFERROR(INDEX(状態像区分病院所在地_1年以上[#All],MATCH(3,状態像区分病院所在地_1年以上[[#All],[行ラベル]]),MATCH($AP$2,状態像区分病院所在地_1年以上[#Headers],0)),0)+IFERROR(INDEX(状態像区分病院所在地_1年以上[#All],MATCH(3,状態像区分病院所在地_1年以上[[#All],[行ラベル]]),MATCH($AQ$2,状態像区分病院所在地_1年以上[#Headers],0)),0)+IFERROR(INDEX(状態像区分病院所在地_1年以上[#All],MATCH(3,状態像区分病院所在地_1年以上[[#All],[行ラベル]]),MATCH($AR$2,状態像区分病院所在地_1年以上[#Headers],0)),0)</f>
        <v>93</v>
      </c>
      <c r="AM28" s="460">
        <f>IFERROR(INDEX(状態像区分病院所在地_1年以上[#All],MATCH(3,状態像区分病院所在地_1年以上[[#All],[行ラベル]]),MATCH($AS$2,状態像区分病院所在地_1年以上[#Headers],0)),0)+IFERROR(INDEX(状態像区分病院所在地_1年以上[#All],MATCH(3,状態像区分病院所在地_1年以上[[#All],[行ラベル]]),MATCH($AT$2,状態像区分病院所在地_1年以上[#Headers],0)),0)+IFERROR(INDEX(状態像区分病院所在地_1年以上[#All],MATCH(3,状態像区分病院所在地_1年以上[[#All],[行ラベル]]),MATCH($AU$2,状態像区分病院所在地_1年以上[#Headers],0)),0)</f>
        <v>151</v>
      </c>
      <c r="AN28" s="460">
        <f>IFERROR(INDEX(状態像区分病院所在地_1年以上[#All],MATCH(3,状態像区分病院所在地_1年以上[[#All],[行ラベル]]),MATCH($AV$2,状態像区分病院所在地_1年以上[#Headers],0)),0)+IFERROR(INDEX(状態像区分病院所在地_1年以上[#All],MATCH(3,状態像区分病院所在地_1年以上[[#All],[行ラベル]]),MATCH($AW$2,状態像区分病院所在地_1年以上[#Headers],0)),0)</f>
        <v>116</v>
      </c>
      <c r="AO28" s="460">
        <f>IFERROR(INDEX(状態像区分病院所在地_1年以上[#All],MATCH(3,状態像区分病院所在地_1年以上[[#All],[行ラベル]]),MATCH($AX$2,状態像区分病院所在地_1年以上[#Headers],0)),0)+IFERROR(INDEX(状態像区分病院所在地_1年以上[#All],MATCH(3,状態像区分病院所在地_1年以上[[#All],[行ラベル]]),MATCH($AY$2,状態像区分病院所在地_1年以上[#Headers],0)),0)+IFERROR(INDEX(状態像区分病院所在地_1年以上[#All],MATCH(3,状態像区分病院所在地_1年以上[[#All],[行ラベル]]),MATCH($AZ$2,状態像区分病院所在地_1年以上[#Headers],0)),0)</f>
        <v>470</v>
      </c>
      <c r="AP28" s="460">
        <f>IFERROR(INDEX(状態像区分病院所在地_1年以上[#All],MATCH(3,状態像区分病院所在地_1年以上[[#All],[行ラベル]]),MATCH($BA$2,状態像区分病院所在地_1年以上[#Headers],0)),0)</f>
        <v>0</v>
      </c>
      <c r="AQ28" s="461">
        <f>IFERROR(INDEX(状態像区分病院所在地_1年以上[#All],MATCH(3,状態像区分病院所在地_1年以上[[#All],[行ラベル]]),MATCH($BB$2,状態像区分病院所在地_1年以上[#Headers],0)),0)</f>
        <v>198</v>
      </c>
    </row>
    <row r="29" spans="1:43" x14ac:dyDescent="0.2">
      <c r="A29" s="1062" t="s">
        <v>30</v>
      </c>
      <c r="B29" s="597">
        <f>AJ28</f>
        <v>102</v>
      </c>
      <c r="C29" s="597">
        <f t="shared" ref="C29:I29" si="66">AK28</f>
        <v>146</v>
      </c>
      <c r="D29" s="597">
        <f t="shared" si="66"/>
        <v>93</v>
      </c>
      <c r="E29" s="597">
        <f t="shared" si="66"/>
        <v>151</v>
      </c>
      <c r="F29" s="597">
        <f t="shared" si="66"/>
        <v>116</v>
      </c>
      <c r="G29" s="597">
        <f t="shared" si="66"/>
        <v>470</v>
      </c>
      <c r="H29" s="597">
        <f t="shared" si="66"/>
        <v>0</v>
      </c>
      <c r="I29" s="597">
        <f t="shared" si="66"/>
        <v>198</v>
      </c>
      <c r="J29" s="599">
        <f>SUM(B29:I29)</f>
        <v>1276</v>
      </c>
      <c r="M29" s="433">
        <v>5</v>
      </c>
      <c r="N29" s="434">
        <v>98</v>
      </c>
      <c r="O29" s="434">
        <v>101</v>
      </c>
      <c r="P29" s="434">
        <v>59</v>
      </c>
      <c r="Q29" s="434">
        <v>259</v>
      </c>
      <c r="R29" s="434">
        <v>40</v>
      </c>
      <c r="S29" s="434">
        <v>78</v>
      </c>
      <c r="T29" s="434">
        <v>17</v>
      </c>
      <c r="U29" s="434">
        <v>34</v>
      </c>
      <c r="V29" s="434">
        <v>20</v>
      </c>
      <c r="W29" s="434">
        <v>34</v>
      </c>
      <c r="X29" s="434">
        <v>17</v>
      </c>
      <c r="Y29" s="434">
        <v>19</v>
      </c>
      <c r="Z29" s="434">
        <v>59</v>
      </c>
      <c r="AA29" s="434">
        <v>116</v>
      </c>
      <c r="AB29" s="434">
        <v>238</v>
      </c>
      <c r="AC29" s="434">
        <v>405</v>
      </c>
      <c r="AD29" s="434">
        <v>211</v>
      </c>
      <c r="AE29" s="434">
        <v>234</v>
      </c>
      <c r="AF29" s="433">
        <v>2039</v>
      </c>
      <c r="AG29" s="454"/>
      <c r="AH29" s="369"/>
      <c r="AI29" s="462">
        <v>4</v>
      </c>
      <c r="AJ29" s="459">
        <f>IFERROR(INDEX(状態像区分病院所在地_1年以上[#All],MATCH(4,状態像区分病院所在地_1年以上[[#All],[行ラベル]]),MATCH($AJ$2,状態像区分病院所在地_1年以上[#Headers],0)),0)+IFERROR(INDEX(状態像区分病院所在地_1年以上[#All],MATCH(4,状態像区分病院所在地_1年以上[[#All],[行ラベル]]),MATCH($AK$2,状態像区分病院所在地_1年以上[#Headers],0)),0)+IFERROR(INDEX(状態像区分病院所在地_1年以上[#All],MATCH(4,状態像区分病院所在地_1年以上[[#All],[行ラベル]]),MATCH($AL$2,状態像区分病院所在地_1年以上[#Headers],0)),0)</f>
        <v>406</v>
      </c>
      <c r="AK29" s="460">
        <f>IFERROR(INDEX(状態像区分病院所在地_1年以上[#All],MATCH(4,状態像区分病院所在地_1年以上[[#All],[行ラベル]]),MATCH($AM$2,状態像区分病院所在地_1年以上[#Headers],0)),0)+IFERROR(INDEX(状態像区分病院所在地_1年以上[#All],MATCH(4,状態像区分病院所在地_1年以上[[#All],[行ラベル]]),MATCH($AN$2,状態像区分病院所在地_1年以上[#Headers],0)),0)</f>
        <v>416</v>
      </c>
      <c r="AL29" s="460">
        <f>IFERROR(INDEX(状態像区分病院所在地_1年以上[#All],MATCH(4,状態像区分病院所在地_1年以上[[#All],[行ラベル]]),MATCH($AO$2,状態像区分病院所在地_1年以上[#Headers],0)),0)+IFERROR(INDEX(状態像区分病院所在地_1年以上[#All],MATCH(4,状態像区分病院所在地_1年以上[[#All],[行ラベル]]),MATCH($AP$2,状態像区分病院所在地_1年以上[#Headers],0)),0)+IFERROR(INDEX(状態像区分病院所在地_1年以上[#All],MATCH(4,状態像区分病院所在地_1年以上[[#All],[行ラベル]]),MATCH($AQ$2,状態像区分病院所在地_1年以上[#Headers],0)),0)+IFERROR(INDEX(状態像区分病院所在地_1年以上[#All],MATCH(4,状態像区分病院所在地_1年以上[[#All],[行ラベル]]),MATCH($AR$2,状態像区分病院所在地_1年以上[#Headers],0)),0)</f>
        <v>251</v>
      </c>
      <c r="AM29" s="460">
        <f>IFERROR(INDEX(状態像区分病院所在地_1年以上[#All],MATCH(4,状態像区分病院所在地_1年以上[[#All],[行ラベル]]),MATCH($AS$2,状態像区分病院所在地_1年以上[#Headers],0)),0)+IFERROR(INDEX(状態像区分病院所在地_1年以上[#All],MATCH(4,状態像区分病院所在地_1年以上[[#All],[行ラベル]]),MATCH($AT$2,状態像区分病院所在地_1年以上[#Headers],0)),0)+IFERROR(INDEX(状態像区分病院所在地_1年以上[#All],MATCH(4,状態像区分病院所在地_1年以上[[#All],[行ラベル]]),MATCH($AU$2,状態像区分病院所在地_1年以上[#Headers],0)),0)</f>
        <v>221</v>
      </c>
      <c r="AN29" s="460">
        <f>IFERROR(INDEX(状態像区分病院所在地_1年以上[#All],MATCH(4,状態像区分病院所在地_1年以上[[#All],[行ラベル]]),MATCH($AV$2,状態像区分病院所在地_1年以上[#Headers],0)),0)+IFERROR(INDEX(状態像区分病院所在地_1年以上[#All],MATCH(4,状態像区分病院所在地_1年以上[[#All],[行ラベル]]),MATCH($AW$2,状態像区分病院所在地_1年以上[#Headers],0)),0)</f>
        <v>309</v>
      </c>
      <c r="AO29" s="460">
        <f>IFERROR(INDEX(状態像区分病院所在地_1年以上[#All],MATCH(4,状態像区分病院所在地_1年以上[[#All],[行ラベル]]),MATCH($AX$2,状態像区分病院所在地_1年以上[#Headers],0)),0)+IFERROR(INDEX(状態像区分病院所在地_1年以上[#All],MATCH(4,状態像区分病院所在地_1年以上[[#All],[行ラベル]]),MATCH($AY$2,状態像区分病院所在地_1年以上[#Headers],0)),0)+IFERROR(INDEX(状態像区分病院所在地_1年以上[#All],MATCH(4,状態像区分病院所在地_1年以上[[#All],[行ラベル]]),MATCH($AZ$2,状態像区分病院所在地_1年以上[#Headers],0)),0)</f>
        <v>1306</v>
      </c>
      <c r="AP29" s="460">
        <f>IFERROR(INDEX(状態像区分病院所在地_1年以上[#All],MATCH(4,状態像区分病院所在地_1年以上[[#All],[行ラベル]]),MATCH($BA$2,状態像区分病院所在地_1年以上[#Headers],0)),0)</f>
        <v>0</v>
      </c>
      <c r="AQ29" s="461">
        <f>IFERROR(INDEX(状態像区分病院所在地_1年以上[#All],MATCH(4,状態像区分病院所在地_1年以上[[#All],[行ラベル]]),MATCH($BB$2,状態像区分病院所在地_1年以上[#Headers],0)),0)</f>
        <v>383</v>
      </c>
    </row>
    <row r="30" spans="1:43" x14ac:dyDescent="0.2">
      <c r="A30" s="1063"/>
      <c r="B30" s="598">
        <f t="shared" ref="B30" si="67">IFERROR(B29/B$16,"-")</f>
        <v>6.3432835820895525E-2</v>
      </c>
      <c r="C30" s="598">
        <f t="shared" ref="C30" si="68">IFERROR(C29/C$16,"-")</f>
        <v>8.0529509100937674E-2</v>
      </c>
      <c r="D30" s="598">
        <f t="shared" ref="D30" si="69">IFERROR(D29/D$16,"-")</f>
        <v>6.9767441860465115E-2</v>
      </c>
      <c r="E30" s="598">
        <f t="shared" ref="E30" si="70">IFERROR(E29/E$16,"-")</f>
        <v>0.12407559572719803</v>
      </c>
      <c r="F30" s="598">
        <f t="shared" ref="F30" si="71">IFERROR(F29/F$16,"-")</f>
        <v>9.4693877551020406E-2</v>
      </c>
      <c r="G30" s="598">
        <f t="shared" ref="G30" si="72">IFERROR(G29/G$16,"-")</f>
        <v>9.9745331069609505E-2</v>
      </c>
      <c r="H30" s="598">
        <f t="shared" ref="H30" si="73">IFERROR(H29/H$16,"-")</f>
        <v>0</v>
      </c>
      <c r="I30" s="598">
        <f t="shared" ref="I30" si="74">IFERROR(I29/I$16,"-")</f>
        <v>0.10248447204968944</v>
      </c>
      <c r="J30" s="598">
        <f t="shared" ref="J30" si="75">IFERROR(J29/J$16,"-")</f>
        <v>9.1097308488612833E-2</v>
      </c>
      <c r="M30" s="463">
        <v>6</v>
      </c>
      <c r="N30" s="464">
        <v>12</v>
      </c>
      <c r="O30" s="464">
        <v>13</v>
      </c>
      <c r="P30" s="464">
        <v>17</v>
      </c>
      <c r="Q30" s="464">
        <v>61</v>
      </c>
      <c r="R30" s="464">
        <v>4</v>
      </c>
      <c r="S30" s="464">
        <v>13</v>
      </c>
      <c r="T30" s="464">
        <v>1</v>
      </c>
      <c r="U30" s="464">
        <v>21</v>
      </c>
      <c r="V30" s="464">
        <v>3</v>
      </c>
      <c r="W30" s="464">
        <v>1</v>
      </c>
      <c r="X30" s="464">
        <v>3</v>
      </c>
      <c r="Y30" s="464">
        <v>21</v>
      </c>
      <c r="Z30" s="464">
        <v>12</v>
      </c>
      <c r="AA30" s="464">
        <v>21</v>
      </c>
      <c r="AB30" s="464">
        <v>14</v>
      </c>
      <c r="AC30" s="464">
        <v>20</v>
      </c>
      <c r="AD30" s="464">
        <v>26</v>
      </c>
      <c r="AE30" s="464">
        <v>38</v>
      </c>
      <c r="AF30" s="463">
        <v>301</v>
      </c>
      <c r="AG30" s="465"/>
      <c r="AH30" s="369"/>
      <c r="AI30" s="462">
        <v>5</v>
      </c>
      <c r="AJ30" s="459">
        <f>IFERROR(INDEX(状態像区分病院所在地_1年以上[#All],MATCH(5,状態像区分病院所在地_1年以上[[#All],[行ラベル]]),MATCH($AJ$2,状態像区分病院所在地_1年以上[#Headers],0)),0)+IFERROR(INDEX(状態像区分病院所在地_1年以上[#All],MATCH(5,状態像区分病院所在地_1年以上[[#All],[行ラベル]]),MATCH($AK$2,状態像区分病院所在地_1年以上[#Headers],0)),0)+IFERROR(INDEX(状態像区分病院所在地_1年以上[#All],MATCH(5,状態像区分病院所在地_1年以上[[#All],[行ラベル]]),MATCH($AL$2,状態像区分病院所在地_1年以上[#Headers],0)),0)</f>
        <v>258</v>
      </c>
      <c r="AK30" s="460">
        <f>IFERROR(INDEX(状態像区分病院所在地_1年以上[#All],MATCH(5,状態像区分病院所在地_1年以上[[#All],[行ラベル]]),MATCH($AM$2,状態像区分病院所在地_1年以上[#Headers],0)),0)+IFERROR(INDEX(状態像区分病院所在地_1年以上[#All],MATCH(5,状態像区分病院所在地_1年以上[[#All],[行ラベル]]),MATCH($AN$2,状態像区分病院所在地_1年以上[#Headers],0)),0)</f>
        <v>299</v>
      </c>
      <c r="AL30" s="460">
        <f>IFERROR(INDEX(状態像区分病院所在地_1年以上[#All],MATCH(5,状態像区分病院所在地_1年以上[[#All],[行ラベル]]),MATCH($AO$2,状態像区分病院所在地_1年以上[#Headers],0)),0)+IFERROR(INDEX(状態像区分病院所在地_1年以上[#All],MATCH(5,状態像区分病院所在地_1年以上[[#All],[行ラベル]]),MATCH($AP$2,状態像区分病院所在地_1年以上[#Headers],0)),0)+IFERROR(INDEX(状態像区分病院所在地_1年以上[#All],MATCH(5,状態像区分病院所在地_1年以上[[#All],[行ラベル]]),MATCH($AQ$2,状態像区分病院所在地_1年以上[#Headers],0)),0)+IFERROR(INDEX(状態像区分病院所在地_1年以上[#All],MATCH(5,状態像区分病院所在地_1年以上[[#All],[行ラベル]]),MATCH($AR$2,状態像区分病院所在地_1年以上[#Headers],0)),0)</f>
        <v>149</v>
      </c>
      <c r="AM30" s="460">
        <f>IFERROR(INDEX(状態像区分病院所在地_1年以上[#All],MATCH(5,状態像区分病院所在地_1年以上[[#All],[行ラベル]]),MATCH($AS$2,状態像区分病院所在地_1年以上[#Headers],0)),0)+IFERROR(INDEX(状態像区分病院所在地_1年以上[#All],MATCH(5,状態像区分病院所在地_1年以上[[#All],[行ラベル]]),MATCH($AT$2,状態像区分病院所在地_1年以上[#Headers],0)),0)+IFERROR(INDEX(状態像区分病院所在地_1年以上[#All],MATCH(5,状態像区分病院所在地_1年以上[[#All],[行ラベル]]),MATCH($AU$2,状態像区分病院所在地_1年以上[#Headers],0)),0)</f>
        <v>70</v>
      </c>
      <c r="AN30" s="460">
        <f>IFERROR(INDEX(状態像区分病院所在地_1年以上[#All],MATCH(5,状態像区分病院所在地_1年以上[[#All],[行ラベル]]),MATCH($AV$2,状態像区分病院所在地_1年以上[#Headers],0)),0)+IFERROR(INDEX(状態像区分病院所在地_1年以上[#All],MATCH(5,状態像区分病院所在地_1年以上[[#All],[行ラベル]]),MATCH($AW$2,状態像区分病院所在地_1年以上[#Headers],0)),0)</f>
        <v>175</v>
      </c>
      <c r="AO30" s="460">
        <f>IFERROR(INDEX(状態像区分病院所在地_1年以上[#All],MATCH(5,状態像区分病院所在地_1年以上[[#All],[行ラベル]]),MATCH($AX$2,状態像区分病院所在地_1年以上[#Headers],0)),0)+IFERROR(INDEX(状態像区分病院所在地_1年以上[#All],MATCH(5,状態像区分病院所在地_1年以上[[#All],[行ラベル]]),MATCH($AY$2,状態像区分病院所在地_1年以上[#Headers],0)),0)+IFERROR(INDEX(状態像区分病院所在地_1年以上[#All],MATCH(5,状態像区分病院所在地_1年以上[[#All],[行ラベル]]),MATCH($AZ$2,状態像区分病院所在地_1年以上[#Headers],0)),0)</f>
        <v>854</v>
      </c>
      <c r="AP30" s="460">
        <f>IFERROR(INDEX(状態像区分病院所在地_1年以上[#All],MATCH(5,状態像区分病院所在地_1年以上[[#All],[行ラベル]]),MATCH($BA$2,状態像区分病院所在地_1年以上[#Headers],0)),0)</f>
        <v>0</v>
      </c>
      <c r="AQ30" s="461">
        <f>IFERROR(INDEX(状態像区分病院所在地_1年以上[#All],MATCH(5,状態像区分病院所在地_1年以上[[#All],[行ラベル]]),MATCH($BB$2,状態像区分病院所在地_1年以上[#Headers],0)),0)</f>
        <v>234</v>
      </c>
    </row>
    <row r="31" spans="1:43" ht="18" thickBot="1" x14ac:dyDescent="0.25">
      <c r="A31" s="1062" t="s">
        <v>31</v>
      </c>
      <c r="B31" s="597">
        <f>AJ29</f>
        <v>406</v>
      </c>
      <c r="C31" s="597">
        <f t="shared" ref="C31:I31" si="76">AK29</f>
        <v>416</v>
      </c>
      <c r="D31" s="597">
        <f t="shared" si="76"/>
        <v>251</v>
      </c>
      <c r="E31" s="597">
        <f t="shared" si="76"/>
        <v>221</v>
      </c>
      <c r="F31" s="597">
        <f t="shared" si="76"/>
        <v>309</v>
      </c>
      <c r="G31" s="597">
        <f t="shared" si="76"/>
        <v>1306</v>
      </c>
      <c r="H31" s="597">
        <f t="shared" si="76"/>
        <v>0</v>
      </c>
      <c r="I31" s="597">
        <f t="shared" si="76"/>
        <v>383</v>
      </c>
      <c r="J31" s="599">
        <f>SUM(B31:I31)</f>
        <v>3292</v>
      </c>
      <c r="M31" s="433" t="s">
        <v>244</v>
      </c>
      <c r="N31" s="434">
        <v>340</v>
      </c>
      <c r="O31" s="434">
        <v>350</v>
      </c>
      <c r="P31" s="434">
        <v>173</v>
      </c>
      <c r="Q31" s="434">
        <v>715</v>
      </c>
      <c r="R31" s="434">
        <v>255</v>
      </c>
      <c r="S31" s="434">
        <v>280</v>
      </c>
      <c r="T31" s="434">
        <v>90</v>
      </c>
      <c r="U31" s="434">
        <v>102</v>
      </c>
      <c r="V31" s="434">
        <v>95</v>
      </c>
      <c r="W31" s="434">
        <v>354</v>
      </c>
      <c r="X31" s="434">
        <v>103</v>
      </c>
      <c r="Y31" s="434">
        <v>81</v>
      </c>
      <c r="Z31" s="434">
        <v>258</v>
      </c>
      <c r="AA31" s="434">
        <v>421</v>
      </c>
      <c r="AB31" s="434">
        <v>836</v>
      </c>
      <c r="AC31" s="434">
        <v>1356</v>
      </c>
      <c r="AD31" s="434">
        <v>715</v>
      </c>
      <c r="AE31" s="434">
        <v>909</v>
      </c>
      <c r="AF31" s="433">
        <v>7433</v>
      </c>
      <c r="AG31" s="454"/>
      <c r="AI31" s="466">
        <v>6</v>
      </c>
      <c r="AJ31" s="459">
        <f>IFERROR(INDEX(状態像区分病院所在地_1年以上[#All],MATCH(6,状態像区分病院所在地_1年以上[[#All],[行ラベル]]),MATCH($AJ$2,状態像区分病院所在地_1年以上[#Headers],0)),0)+IFERROR(INDEX(状態像区分病院所在地_1年以上[#All],MATCH(6,状態像区分病院所在地_1年以上[[#All],[行ラベル]]),MATCH($AK$2,状態像区分病院所在地_1年以上[#Headers],0)),0)+IFERROR(INDEX(状態像区分病院所在地_1年以上[#All],MATCH(6,状態像区分病院所在地_1年以上[[#All],[行ラベル]]),MATCH($AL$2,状態像区分病院所在地_1年以上[#Headers],0)),0)</f>
        <v>42</v>
      </c>
      <c r="AK31" s="460">
        <f>IFERROR(INDEX(状態像区分病院所在地_1年以上[#All],MATCH(6,状態像区分病院所在地_1年以上[[#All],[行ラベル]]),MATCH($AM$2,状態像区分病院所在地_1年以上[#Headers],0)),0)+IFERROR(INDEX(状態像区分病院所在地_1年以上[#All],MATCH(6,状態像区分病院所在地_1年以上[[#All],[行ラベル]]),MATCH($AN$2,状態像区分病院所在地_1年以上[#Headers],0)),0)</f>
        <v>65</v>
      </c>
      <c r="AL31" s="460">
        <f>IFERROR(INDEX(状態像区分病院所在地_1年以上[#All],MATCH(6,状態像区分病院所在地_1年以上[[#All],[行ラベル]]),MATCH($AO$2,状態像区分病院所在地_1年以上[#Headers],0)),0)+IFERROR(INDEX(状態像区分病院所在地_1年以上[#All],MATCH(6,状態像区分病院所在地_1年以上[[#All],[行ラベル]]),MATCH($AP$2,状態像区分病院所在地_1年以上[#Headers],0)),0)+IFERROR(INDEX(状態像区分病院所在地_1年以上[#All],MATCH(6,状態像区分病院所在地_1年以上[[#All],[行ラベル]]),MATCH($AQ$2,状態像区分病院所在地_1年以上[#Headers],0)),0)+IFERROR(INDEX(状態像区分病院所在地_1年以上[#All],MATCH(6,状態像区分病院所在地_1年以上[[#All],[行ラベル]]),MATCH($AR$2,状態像区分病院所在地_1年以上[#Headers],0)),0)</f>
        <v>38</v>
      </c>
      <c r="AM31" s="460">
        <f>IFERROR(INDEX(状態像区分病院所在地_1年以上[#All],MATCH(6,状態像区分病院所在地_1年以上[[#All],[行ラベル]]),MATCH($AS$2,状態像区分病院所在地_1年以上[#Headers],0)),0)+IFERROR(INDEX(状態像区分病院所在地_1年以上[#All],MATCH(6,状態像区分病院所在地_1年以上[[#All],[行ラベル]]),MATCH($AT$2,状態像区分病院所在地_1年以上[#Headers],0)),0)+IFERROR(INDEX(状態像区分病院所在地_1年以上[#All],MATCH(6,状態像区分病院所在地_1年以上[[#All],[行ラベル]]),MATCH($AU$2,状態像区分病院所在地_1年以上[#Headers],0)),0)</f>
        <v>25</v>
      </c>
      <c r="AN31" s="460">
        <f>IFERROR(INDEX(状態像区分病院所在地_1年以上[#All],MATCH(6,状態像区分病院所在地_1年以上[[#All],[行ラベル]]),MATCH($AV$2,状態像区分病院所在地_1年以上[#Headers],0)),0)+IFERROR(INDEX(状態像区分病院所在地_1年以上[#All],MATCH(6,状態像区分病院所在地_1年以上[[#All],[行ラベル]]),MATCH($AW$2,状態像区分病院所在地_1年以上[#Headers],0)),0)</f>
        <v>33</v>
      </c>
      <c r="AO31" s="460">
        <f>IFERROR(INDEX(状態像区分病院所在地_1年以上[#All],MATCH(6,状態像区分病院所在地_1年以上[[#All],[行ラベル]]),MATCH($AX$2,状態像区分病院所在地_1年以上[#Headers],0)),0)+IFERROR(INDEX(状態像区分病院所在地_1年以上[#All],MATCH(6,状態像区分病院所在地_1年以上[[#All],[行ラベル]]),MATCH($AY$2,状態像区分病院所在地_1年以上[#Headers],0)),0)+IFERROR(INDEX(状態像区分病院所在地_1年以上[#All],MATCH(6,状態像区分病院所在地_1年以上[[#All],[行ラベル]]),MATCH($AZ$2,状態像区分病院所在地_1年以上[#Headers],0)),0)</f>
        <v>60</v>
      </c>
      <c r="AP31" s="460">
        <f>IFERROR(INDEX(状態像区分病院所在地_1年以上[#All],MATCH(6,状態像区分病院所在地_1年以上[[#All],[行ラベル]]),MATCH($BA$2,状態像区分病院所在地_1年以上[#Headers],0)),0)</f>
        <v>0</v>
      </c>
      <c r="AQ31" s="461">
        <f>IFERROR(INDEX(状態像区分病院所在地_1年以上[#All],MATCH(6,状態像区分病院所在地_1年以上[[#All],[行ラベル]]),MATCH($BB$2,状態像区分病院所在地_1年以上[#Headers],0)),0)</f>
        <v>38</v>
      </c>
    </row>
    <row r="32" spans="1:43" x14ac:dyDescent="0.2">
      <c r="A32" s="1063"/>
      <c r="B32" s="598">
        <f t="shared" ref="B32" si="77">IFERROR(B31/B$16,"-")</f>
        <v>0.25248756218905472</v>
      </c>
      <c r="C32" s="598">
        <f t="shared" ref="C32" si="78">IFERROR(C31/C$16,"-")</f>
        <v>0.22945394373965802</v>
      </c>
      <c r="D32" s="598">
        <f t="shared" ref="D32" si="79">IFERROR(D31/D$16,"-")</f>
        <v>0.18829707426856715</v>
      </c>
      <c r="E32" s="598">
        <f t="shared" ref="E32" si="80">IFERROR(E31/E$16,"-")</f>
        <v>0.18159408381265407</v>
      </c>
      <c r="F32" s="598">
        <f t="shared" ref="F32" si="81">IFERROR(F31/F$16,"-")</f>
        <v>0.2522448979591837</v>
      </c>
      <c r="G32" s="598">
        <f t="shared" ref="G32" si="82">IFERROR(G31/G$16,"-")</f>
        <v>0.27716468590831916</v>
      </c>
      <c r="H32" s="598">
        <f t="shared" ref="H32" si="83">IFERROR(H31/H$16,"-")</f>
        <v>0</v>
      </c>
      <c r="I32" s="598">
        <f t="shared" ref="I32" si="84">IFERROR(I31/I$16,"-")</f>
        <v>0.19824016563146998</v>
      </c>
      <c r="J32" s="598">
        <f t="shared" ref="J32" si="85">IFERROR(J31/J$16,"-")</f>
        <v>0.23502534447062184</v>
      </c>
    </row>
    <row r="33" spans="1:10" x14ac:dyDescent="0.2">
      <c r="A33" s="1062" t="s">
        <v>32</v>
      </c>
      <c r="B33" s="597">
        <f>AJ30</f>
        <v>258</v>
      </c>
      <c r="C33" s="597">
        <f t="shared" ref="C33:I33" si="86">AK30</f>
        <v>299</v>
      </c>
      <c r="D33" s="597">
        <f t="shared" si="86"/>
        <v>149</v>
      </c>
      <c r="E33" s="597">
        <f t="shared" si="86"/>
        <v>70</v>
      </c>
      <c r="F33" s="597">
        <f t="shared" si="86"/>
        <v>175</v>
      </c>
      <c r="G33" s="597">
        <f t="shared" si="86"/>
        <v>854</v>
      </c>
      <c r="H33" s="597">
        <f t="shared" si="86"/>
        <v>0</v>
      </c>
      <c r="I33" s="597">
        <f t="shared" si="86"/>
        <v>234</v>
      </c>
      <c r="J33" s="599">
        <f>SUM(B33:I33)</f>
        <v>2039</v>
      </c>
    </row>
    <row r="34" spans="1:10" x14ac:dyDescent="0.2">
      <c r="A34" s="1063"/>
      <c r="B34" s="598">
        <f t="shared" ref="B34" si="87">IFERROR(B33/B$16,"-")</f>
        <v>0.16044776119402984</v>
      </c>
      <c r="C34" s="598">
        <f t="shared" ref="C34" si="88">IFERROR(C33/C$16,"-")</f>
        <v>0.1649200220628792</v>
      </c>
      <c r="D34" s="598">
        <f t="shared" ref="D34" si="89">IFERROR(D33/D$16,"-")</f>
        <v>0.11177794448612154</v>
      </c>
      <c r="E34" s="598">
        <f t="shared" ref="E34" si="90">IFERROR(E33/E$16,"-")</f>
        <v>5.7518488085456038E-2</v>
      </c>
      <c r="F34" s="598">
        <f t="shared" ref="F34" si="91">IFERROR(F33/F$16,"-")</f>
        <v>0.14285714285714285</v>
      </c>
      <c r="G34" s="598">
        <f t="shared" ref="G34" si="92">IFERROR(G33/G$16,"-")</f>
        <v>0.18123938879456705</v>
      </c>
      <c r="H34" s="598">
        <f t="shared" ref="H34" si="93">IFERROR(H33/H$16,"-")</f>
        <v>0</v>
      </c>
      <c r="I34" s="598">
        <f t="shared" ref="I34" si="94">IFERROR(I33/I$16,"-")</f>
        <v>0.12111801242236025</v>
      </c>
      <c r="J34" s="598">
        <f t="shared" ref="J34" si="95">IFERROR(J33/J$16,"-")</f>
        <v>0.14557007210680373</v>
      </c>
    </row>
    <row r="35" spans="1:10" x14ac:dyDescent="0.2">
      <c r="A35" s="1062" t="s">
        <v>33</v>
      </c>
      <c r="B35" s="597">
        <f>AJ31</f>
        <v>42</v>
      </c>
      <c r="C35" s="597">
        <f t="shared" ref="C35:I35" si="96">AK31</f>
        <v>65</v>
      </c>
      <c r="D35" s="597">
        <f t="shared" si="96"/>
        <v>38</v>
      </c>
      <c r="E35" s="597">
        <f t="shared" si="96"/>
        <v>25</v>
      </c>
      <c r="F35" s="597">
        <f t="shared" si="96"/>
        <v>33</v>
      </c>
      <c r="G35" s="597">
        <f t="shared" si="96"/>
        <v>60</v>
      </c>
      <c r="H35" s="597">
        <f t="shared" si="96"/>
        <v>0</v>
      </c>
      <c r="I35" s="597">
        <f t="shared" si="96"/>
        <v>38</v>
      </c>
      <c r="J35" s="599">
        <f>SUM(B35:I35)</f>
        <v>301</v>
      </c>
    </row>
    <row r="36" spans="1:10" x14ac:dyDescent="0.2">
      <c r="A36" s="1063"/>
      <c r="B36" s="598">
        <f t="shared" ref="B36" si="97">IFERROR(B35/B$16,"-")</f>
        <v>2.6119402985074626E-2</v>
      </c>
      <c r="C36" s="598">
        <f t="shared" ref="C36" si="98">IFERROR(C35/C$16,"-")</f>
        <v>3.5852178709321565E-2</v>
      </c>
      <c r="D36" s="598">
        <f t="shared" ref="D36" si="99">IFERROR(D35/D$16,"-")</f>
        <v>2.8507126781695424E-2</v>
      </c>
      <c r="E36" s="598">
        <f t="shared" ref="E36" si="100">IFERROR(E35/E$16,"-")</f>
        <v>2.0542317173377157E-2</v>
      </c>
      <c r="F36" s="598">
        <f t="shared" ref="F36" si="101">IFERROR(F35/F$16,"-")</f>
        <v>2.6938775510204082E-2</v>
      </c>
      <c r="G36" s="598">
        <f t="shared" ref="G36" si="102">IFERROR(G35/G$16,"-")</f>
        <v>1.2733446519524618E-2</v>
      </c>
      <c r="H36" s="598">
        <f t="shared" ref="H36" si="103">IFERROR(H35/H$16,"-")</f>
        <v>0</v>
      </c>
      <c r="I36" s="598">
        <f t="shared" ref="I36" si="104">IFERROR(I35/I$16,"-")</f>
        <v>1.9668737060041408E-2</v>
      </c>
      <c r="J36" s="598">
        <f t="shared" ref="J36" si="105">IFERROR(J35/J$16,"-")</f>
        <v>2.1489255372313842E-2</v>
      </c>
    </row>
    <row r="37" spans="1:10" x14ac:dyDescent="0.2">
      <c r="A37" s="1072" t="s">
        <v>149</v>
      </c>
      <c r="B37" s="437">
        <f>SUM(B25,B27,B29,B31,B33,B35)</f>
        <v>863</v>
      </c>
      <c r="C37" s="437">
        <f t="shared" ref="C37:J37" si="106">SUM(C25,C27,C29,C31,C33,C35)</f>
        <v>970</v>
      </c>
      <c r="D37" s="437">
        <f t="shared" si="106"/>
        <v>567</v>
      </c>
      <c r="E37" s="437">
        <f t="shared" si="106"/>
        <v>538</v>
      </c>
      <c r="F37" s="437">
        <f t="shared" si="106"/>
        <v>679</v>
      </c>
      <c r="G37" s="437">
        <f t="shared" si="106"/>
        <v>2907</v>
      </c>
      <c r="H37" s="437">
        <f t="shared" si="106"/>
        <v>0</v>
      </c>
      <c r="I37" s="437">
        <f t="shared" si="106"/>
        <v>909</v>
      </c>
      <c r="J37" s="438">
        <f t="shared" si="106"/>
        <v>7433</v>
      </c>
    </row>
    <row r="38" spans="1:10" x14ac:dyDescent="0.2">
      <c r="A38" s="1073"/>
      <c r="B38" s="439">
        <f t="shared" ref="B38:J38" si="107">SUM(B26,B28,B30,B32,B34,B36)</f>
        <v>0.5366915422885572</v>
      </c>
      <c r="C38" s="439">
        <f t="shared" si="107"/>
        <v>0.53502482073910651</v>
      </c>
      <c r="D38" s="439">
        <f t="shared" si="107"/>
        <v>0.42535633908477122</v>
      </c>
      <c r="E38" s="439">
        <f t="shared" si="107"/>
        <v>0.44207066557107644</v>
      </c>
      <c r="F38" s="439">
        <f t="shared" si="107"/>
        <v>0.55428571428571438</v>
      </c>
      <c r="G38" s="439">
        <f t="shared" si="107"/>
        <v>0.61693548387096764</v>
      </c>
      <c r="H38" s="439">
        <f t="shared" si="107"/>
        <v>0</v>
      </c>
      <c r="I38" s="439">
        <f t="shared" si="107"/>
        <v>0.47049689440993792</v>
      </c>
      <c r="J38" s="439">
        <f t="shared" si="107"/>
        <v>0.53066323980866703</v>
      </c>
    </row>
  </sheetData>
  <mergeCells count="14">
    <mergeCell ref="A14:A15"/>
    <mergeCell ref="A4:A5"/>
    <mergeCell ref="A6:A7"/>
    <mergeCell ref="A8:A9"/>
    <mergeCell ref="A10:A11"/>
    <mergeCell ref="A12:A13"/>
    <mergeCell ref="A35:A36"/>
    <mergeCell ref="A37:A38"/>
    <mergeCell ref="A16:A17"/>
    <mergeCell ref="A25:A26"/>
    <mergeCell ref="A27:A28"/>
    <mergeCell ref="A29:A30"/>
    <mergeCell ref="A31:A32"/>
    <mergeCell ref="A33:A34"/>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Button 1">
              <controlPr defaultSize="0" print="0" autoFill="0" autoPict="0" macro="[0]!データ削除_状態像区分病院所在地">
                <anchor moveWithCells="1" sizeWithCells="1">
                  <from>
                    <xdr:col>10</xdr:col>
                    <xdr:colOff>502920</xdr:colOff>
                    <xdr:row>15</xdr:row>
                    <xdr:rowOff>106680</xdr:rowOff>
                  </from>
                  <to>
                    <xdr:col>14</xdr:col>
                    <xdr:colOff>297180</xdr:colOff>
                    <xdr:row>17</xdr:row>
                    <xdr:rowOff>167640</xdr:rowOff>
                  </to>
                </anchor>
              </controlPr>
            </control>
          </mc:Choice>
        </mc:AlternateContent>
      </controls>
    </mc:Choice>
  </mc:AlternateContent>
  <tableParts count="2">
    <tablePart r:id="rId5"/>
    <tablePart r:id="rId6"/>
  </tableParts>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C93A-D077-4579-9FF0-96DB1033B747}">
  <sheetPr codeName="Sheet37">
    <tabColor theme="9" tint="-0.499984740745262"/>
    <pageSetUpPr fitToPage="1"/>
  </sheetPr>
  <dimension ref="A1:AI89"/>
  <sheetViews>
    <sheetView showGridLines="0" view="pageBreakPreview" zoomScale="60" zoomScaleNormal="80" workbookViewId="0"/>
  </sheetViews>
  <sheetFormatPr defaultColWidth="7.109375" defaultRowHeight="17.399999999999999" x14ac:dyDescent="0.2"/>
  <cols>
    <col min="1" max="1" width="33.109375" style="676" customWidth="1"/>
    <col min="2" max="10" width="8.77734375" style="676" customWidth="1"/>
    <col min="11" max="11" width="7.21875" style="676" customWidth="1"/>
    <col min="12" max="12" width="7.21875" style="676" hidden="1" customWidth="1"/>
    <col min="13" max="13" width="16.33203125" style="676" hidden="1" customWidth="1"/>
    <col min="14" max="32" width="8.44140625" style="676" hidden="1" customWidth="1"/>
    <col min="33" max="35" width="7.109375" style="676" hidden="1" customWidth="1"/>
    <col min="36" max="37" width="7.109375" style="676" customWidth="1"/>
    <col min="38" max="16384" width="7.109375" style="676"/>
  </cols>
  <sheetData>
    <row r="1" spans="1:32" s="677" customFormat="1" ht="19.2" x14ac:dyDescent="0.2">
      <c r="A1" s="2" t="s">
        <v>546</v>
      </c>
    </row>
    <row r="2" spans="1:32" ht="18" thickBot="1" x14ac:dyDescent="0.25">
      <c r="A2" s="4"/>
    </row>
    <row r="3" spans="1:32" ht="18.75" customHeight="1" thickTop="1" thickBot="1" x14ac:dyDescent="0.25">
      <c r="A3" s="359" t="s">
        <v>224</v>
      </c>
      <c r="B3" s="596" t="s">
        <v>356</v>
      </c>
      <c r="C3" s="596" t="s">
        <v>357</v>
      </c>
      <c r="D3" s="596" t="s">
        <v>358</v>
      </c>
      <c r="E3" s="596" t="s">
        <v>359</v>
      </c>
      <c r="F3" s="596" t="s">
        <v>360</v>
      </c>
      <c r="G3" s="596" t="s">
        <v>361</v>
      </c>
      <c r="H3" s="596" t="s">
        <v>362</v>
      </c>
      <c r="I3" s="596" t="s">
        <v>363</v>
      </c>
      <c r="J3" s="596" t="s">
        <v>61</v>
      </c>
      <c r="M3" s="844" t="s">
        <v>436</v>
      </c>
      <c r="N3" s="250" t="s">
        <v>364</v>
      </c>
      <c r="O3" s="250" t="s">
        <v>365</v>
      </c>
      <c r="P3" s="250" t="s">
        <v>366</v>
      </c>
      <c r="Q3" s="250" t="s">
        <v>367</v>
      </c>
      <c r="R3" s="250" t="s">
        <v>368</v>
      </c>
      <c r="S3" s="250" t="s">
        <v>369</v>
      </c>
      <c r="T3" s="250" t="s">
        <v>370</v>
      </c>
      <c r="U3" s="250" t="s">
        <v>371</v>
      </c>
      <c r="V3" s="250" t="s">
        <v>372</v>
      </c>
      <c r="W3" s="250" t="s">
        <v>373</v>
      </c>
      <c r="X3" s="250" t="s">
        <v>386</v>
      </c>
      <c r="Y3" s="250" t="s">
        <v>387</v>
      </c>
      <c r="Z3" s="250" t="s">
        <v>388</v>
      </c>
      <c r="AA3" s="250" t="s">
        <v>389</v>
      </c>
      <c r="AB3" s="250" t="s">
        <v>390</v>
      </c>
      <c r="AC3" s="250" t="s">
        <v>391</v>
      </c>
      <c r="AD3" s="250" t="s">
        <v>392</v>
      </c>
      <c r="AE3" s="250" t="s">
        <v>393</v>
      </c>
      <c r="AF3" s="250" t="s">
        <v>394</v>
      </c>
    </row>
    <row r="4" spans="1:32" ht="18.75" customHeight="1" thickTop="1" x14ac:dyDescent="0.2">
      <c r="A4" s="1083" t="s">
        <v>547</v>
      </c>
      <c r="B4" s="599">
        <f>SUM(N4:P4)</f>
        <v>294</v>
      </c>
      <c r="C4" s="599">
        <f>SUM(Q4:R4)</f>
        <v>277</v>
      </c>
      <c r="D4" s="599">
        <f>SUM(S4:V4)</f>
        <v>214</v>
      </c>
      <c r="E4" s="599">
        <f>SUM(W4:Y4)</f>
        <v>227</v>
      </c>
      <c r="F4" s="599">
        <f>SUM(Z4:AA4)</f>
        <v>160</v>
      </c>
      <c r="G4" s="599">
        <f>SUM(AB4:AD4)</f>
        <v>413</v>
      </c>
      <c r="H4" s="599">
        <f>AE4</f>
        <v>39</v>
      </c>
      <c r="I4" s="599">
        <f>AF4</f>
        <v>226</v>
      </c>
      <c r="J4" s="599">
        <f>SUM(B4:I4)</f>
        <v>1850</v>
      </c>
      <c r="M4" s="805">
        <v>97</v>
      </c>
      <c r="N4" s="676">
        <v>105</v>
      </c>
      <c r="O4" s="676">
        <v>120</v>
      </c>
      <c r="P4" s="676">
        <v>69</v>
      </c>
      <c r="Q4" s="676">
        <v>115</v>
      </c>
      <c r="R4" s="676">
        <v>162</v>
      </c>
      <c r="S4" s="676">
        <v>113</v>
      </c>
      <c r="T4" s="676">
        <v>52</v>
      </c>
      <c r="U4" s="676">
        <v>17</v>
      </c>
      <c r="V4" s="676">
        <v>32</v>
      </c>
      <c r="W4" s="676">
        <v>117</v>
      </c>
      <c r="X4" s="676">
        <v>86</v>
      </c>
      <c r="Y4" s="676">
        <v>24</v>
      </c>
      <c r="Z4" s="676">
        <v>50</v>
      </c>
      <c r="AA4" s="676">
        <v>110</v>
      </c>
      <c r="AB4" s="676">
        <v>225</v>
      </c>
      <c r="AC4" s="676">
        <v>116</v>
      </c>
      <c r="AD4" s="676">
        <v>72</v>
      </c>
      <c r="AE4" s="676">
        <v>39</v>
      </c>
      <c r="AF4" s="676">
        <v>226</v>
      </c>
    </row>
    <row r="5" spans="1:32" ht="18.75" customHeight="1" x14ac:dyDescent="0.2">
      <c r="A5" s="1084"/>
      <c r="B5" s="845">
        <f t="shared" ref="B5:J5" si="0">B4/B$10</f>
        <v>0.18283582089552239</v>
      </c>
      <c r="C5" s="845">
        <f t="shared" si="0"/>
        <v>0.1527854384997242</v>
      </c>
      <c r="D5" s="845">
        <f t="shared" si="0"/>
        <v>0.16054013503375844</v>
      </c>
      <c r="E5" s="845">
        <f t="shared" si="0"/>
        <v>0.18652423993426459</v>
      </c>
      <c r="F5" s="845">
        <f t="shared" si="0"/>
        <v>0.1306122448979592</v>
      </c>
      <c r="G5" s="845">
        <f t="shared" si="0"/>
        <v>8.7648556876061115E-2</v>
      </c>
      <c r="H5" s="845">
        <f t="shared" si="0"/>
        <v>0.23353293413173654</v>
      </c>
      <c r="I5" s="845">
        <f t="shared" si="0"/>
        <v>0.11697722567287784</v>
      </c>
      <c r="J5" s="598">
        <f t="shared" si="0"/>
        <v>0.13207681873349039</v>
      </c>
      <c r="M5" s="805">
        <v>98</v>
      </c>
      <c r="N5" s="676">
        <v>389</v>
      </c>
      <c r="O5" s="676">
        <v>581</v>
      </c>
      <c r="P5" s="676">
        <v>173</v>
      </c>
      <c r="Q5" s="676">
        <v>955</v>
      </c>
      <c r="R5" s="676">
        <v>314</v>
      </c>
      <c r="S5" s="676">
        <v>552</v>
      </c>
      <c r="T5" s="676">
        <v>104</v>
      </c>
      <c r="U5" s="676">
        <v>176</v>
      </c>
      <c r="V5" s="676">
        <v>125</v>
      </c>
      <c r="W5" s="676">
        <v>515</v>
      </c>
      <c r="X5" s="676">
        <v>157</v>
      </c>
      <c r="Y5" s="676">
        <v>136</v>
      </c>
      <c r="Z5" s="676">
        <v>292</v>
      </c>
      <c r="AA5" s="676">
        <v>649</v>
      </c>
      <c r="AB5" s="676">
        <v>1195</v>
      </c>
      <c r="AC5" s="676">
        <v>1796</v>
      </c>
      <c r="AD5" s="676">
        <v>1013</v>
      </c>
      <c r="AE5" s="676">
        <v>87</v>
      </c>
      <c r="AF5" s="676">
        <v>1410</v>
      </c>
    </row>
    <row r="6" spans="1:32" ht="18.75" customHeight="1" x14ac:dyDescent="0.2">
      <c r="A6" s="1083" t="s">
        <v>320</v>
      </c>
      <c r="B6" s="599">
        <f>SUM(N5:P5)</f>
        <v>1143</v>
      </c>
      <c r="C6" s="599">
        <f>SUM(Q5:R5)</f>
        <v>1269</v>
      </c>
      <c r="D6" s="599">
        <f>SUM(S5:V5)</f>
        <v>957</v>
      </c>
      <c r="E6" s="599">
        <f>SUM(W5:Y5)</f>
        <v>808</v>
      </c>
      <c r="F6" s="599">
        <f>SUM(Z5:AA5)</f>
        <v>941</v>
      </c>
      <c r="G6" s="599">
        <f>SUM(AB5:AD5)</f>
        <v>4004</v>
      </c>
      <c r="H6" s="599">
        <f>AE5</f>
        <v>87</v>
      </c>
      <c r="I6" s="599">
        <f>AF5</f>
        <v>1410</v>
      </c>
      <c r="J6" s="599">
        <f>SUM(B6:I6)</f>
        <v>10619</v>
      </c>
      <c r="M6" s="805">
        <v>99</v>
      </c>
      <c r="N6" s="676">
        <v>30</v>
      </c>
      <c r="O6" s="676">
        <v>122</v>
      </c>
      <c r="P6" s="676">
        <v>19</v>
      </c>
      <c r="Q6" s="676">
        <v>126</v>
      </c>
      <c r="R6" s="676">
        <v>141</v>
      </c>
      <c r="S6" s="676">
        <v>56</v>
      </c>
      <c r="T6" s="676">
        <v>52</v>
      </c>
      <c r="U6" s="676">
        <v>38</v>
      </c>
      <c r="V6" s="676">
        <v>16</v>
      </c>
      <c r="W6" s="676">
        <v>72</v>
      </c>
      <c r="X6" s="676">
        <v>100</v>
      </c>
      <c r="Y6" s="676">
        <v>10</v>
      </c>
      <c r="Z6" s="676">
        <v>84</v>
      </c>
      <c r="AA6" s="676">
        <v>40</v>
      </c>
      <c r="AB6" s="676">
        <v>179</v>
      </c>
      <c r="AC6" s="676">
        <v>77</v>
      </c>
      <c r="AD6" s="676">
        <v>39</v>
      </c>
      <c r="AE6" s="676">
        <v>41</v>
      </c>
      <c r="AF6" s="676">
        <v>296</v>
      </c>
    </row>
    <row r="7" spans="1:32" ht="18.75" customHeight="1" x14ac:dyDescent="0.2">
      <c r="A7" s="1084"/>
      <c r="B7" s="845">
        <f t="shared" ref="B7:J7" si="1">B6/B$10</f>
        <v>0.71082089552238803</v>
      </c>
      <c r="C7" s="845">
        <f t="shared" si="1"/>
        <v>0.69994484280198566</v>
      </c>
      <c r="D7" s="845">
        <f t="shared" si="1"/>
        <v>0.71792948237059262</v>
      </c>
      <c r="E7" s="845">
        <f t="shared" si="1"/>
        <v>0.66392769104354976</v>
      </c>
      <c r="F7" s="845">
        <f t="shared" si="1"/>
        <v>0.76816326530612244</v>
      </c>
      <c r="G7" s="845">
        <f t="shared" si="1"/>
        <v>0.84974533106960948</v>
      </c>
      <c r="H7" s="845">
        <f t="shared" si="1"/>
        <v>0.52095808383233533</v>
      </c>
      <c r="I7" s="845">
        <f t="shared" si="1"/>
        <v>0.72981366459627328</v>
      </c>
      <c r="J7" s="845">
        <f t="shared" si="1"/>
        <v>0.75812093953023485</v>
      </c>
      <c r="M7" s="805" t="s">
        <v>726</v>
      </c>
    </row>
    <row r="8" spans="1:32" ht="18.75" customHeight="1" x14ac:dyDescent="0.2">
      <c r="A8" s="1085" t="s">
        <v>36</v>
      </c>
      <c r="B8" s="599">
        <f>SUM(N6:P6)</f>
        <v>171</v>
      </c>
      <c r="C8" s="599">
        <f>SUM(Q6:R6)</f>
        <v>267</v>
      </c>
      <c r="D8" s="599">
        <f>SUM(S6:V6)</f>
        <v>162</v>
      </c>
      <c r="E8" s="599">
        <f>SUM(W6:Y6)</f>
        <v>182</v>
      </c>
      <c r="F8" s="599">
        <f>SUM(Z6:AA6)</f>
        <v>124</v>
      </c>
      <c r="G8" s="599">
        <f>SUM(AB6:AD6)</f>
        <v>295</v>
      </c>
      <c r="H8" s="599">
        <f>AE6</f>
        <v>41</v>
      </c>
      <c r="I8" s="599">
        <f>AF6</f>
        <v>296</v>
      </c>
      <c r="J8" s="599">
        <f>SUM(B8:I8)</f>
        <v>1538</v>
      </c>
    </row>
    <row r="9" spans="1:32" ht="18.75" customHeight="1" x14ac:dyDescent="0.2">
      <c r="A9" s="1086"/>
      <c r="B9" s="845">
        <f>B8/B$10</f>
        <v>0.10634328358208955</v>
      </c>
      <c r="C9" s="845">
        <f t="shared" ref="C9:J9" si="2">C8/C$10</f>
        <v>0.14726971869829011</v>
      </c>
      <c r="D9" s="845">
        <f t="shared" si="2"/>
        <v>0.12153038259564891</v>
      </c>
      <c r="E9" s="845">
        <f t="shared" si="2"/>
        <v>0.1495480690221857</v>
      </c>
      <c r="F9" s="845">
        <f t="shared" si="2"/>
        <v>0.10122448979591837</v>
      </c>
      <c r="G9" s="845">
        <f t="shared" si="2"/>
        <v>6.2606112054329366E-2</v>
      </c>
      <c r="H9" s="845">
        <f t="shared" si="2"/>
        <v>0.24550898203592814</v>
      </c>
      <c r="I9" s="845">
        <f t="shared" si="2"/>
        <v>0.15320910973084886</v>
      </c>
      <c r="J9" s="845">
        <f t="shared" si="2"/>
        <v>0.10980224173627472</v>
      </c>
    </row>
    <row r="10" spans="1:32" ht="18.75" customHeight="1" x14ac:dyDescent="0.2">
      <c r="A10" s="1064" t="s">
        <v>149</v>
      </c>
      <c r="B10" s="360">
        <f>SUM(B4,B6,B8)</f>
        <v>1608</v>
      </c>
      <c r="C10" s="360">
        <f t="shared" ref="C10:J11" si="3">SUM(C4,C6,C8)</f>
        <v>1813</v>
      </c>
      <c r="D10" s="360">
        <f t="shared" si="3"/>
        <v>1333</v>
      </c>
      <c r="E10" s="360">
        <f t="shared" si="3"/>
        <v>1217</v>
      </c>
      <c r="F10" s="360">
        <f t="shared" si="3"/>
        <v>1225</v>
      </c>
      <c r="G10" s="360">
        <f t="shared" si="3"/>
        <v>4712</v>
      </c>
      <c r="H10" s="360">
        <f t="shared" si="3"/>
        <v>167</v>
      </c>
      <c r="I10" s="360">
        <f t="shared" si="3"/>
        <v>1932</v>
      </c>
      <c r="J10" s="360">
        <f>SUM(J4,J6,J8)</f>
        <v>14007</v>
      </c>
    </row>
    <row r="11" spans="1:32" ht="18.75" customHeight="1" x14ac:dyDescent="0.2">
      <c r="A11" s="1063"/>
      <c r="B11" s="362">
        <f>SUM(B5,B7,B9)</f>
        <v>1</v>
      </c>
      <c r="C11" s="362">
        <f t="shared" si="3"/>
        <v>1</v>
      </c>
      <c r="D11" s="362">
        <f t="shared" si="3"/>
        <v>1</v>
      </c>
      <c r="E11" s="362">
        <f t="shared" si="3"/>
        <v>1</v>
      </c>
      <c r="F11" s="362">
        <f t="shared" si="3"/>
        <v>1</v>
      </c>
      <c r="G11" s="362">
        <f t="shared" si="3"/>
        <v>1</v>
      </c>
      <c r="H11" s="362">
        <f t="shared" si="3"/>
        <v>1</v>
      </c>
      <c r="I11" s="362">
        <f t="shared" si="3"/>
        <v>1</v>
      </c>
      <c r="J11" s="362">
        <f t="shared" si="3"/>
        <v>1</v>
      </c>
    </row>
    <row r="12" spans="1:32" ht="18.75" customHeight="1" thickBot="1" x14ac:dyDescent="0.25">
      <c r="A12" s="4"/>
    </row>
    <row r="13" spans="1:32" ht="18.75" customHeight="1" thickTop="1" thickBot="1" x14ac:dyDescent="0.25">
      <c r="A13" s="359" t="s">
        <v>323</v>
      </c>
      <c r="B13" s="596" t="s">
        <v>356</v>
      </c>
      <c r="C13" s="596" t="s">
        <v>357</v>
      </c>
      <c r="D13" s="596" t="s">
        <v>358</v>
      </c>
      <c r="E13" s="596" t="s">
        <v>359</v>
      </c>
      <c r="F13" s="596" t="s">
        <v>360</v>
      </c>
      <c r="G13" s="596" t="s">
        <v>361</v>
      </c>
      <c r="H13" s="596" t="s">
        <v>362</v>
      </c>
      <c r="I13" s="596" t="s">
        <v>363</v>
      </c>
      <c r="J13" s="596" t="s">
        <v>61</v>
      </c>
      <c r="M13" s="844" t="s">
        <v>436</v>
      </c>
      <c r="N13" s="250" t="s">
        <v>364</v>
      </c>
      <c r="O13" s="250" t="s">
        <v>365</v>
      </c>
      <c r="P13" s="250" t="s">
        <v>366</v>
      </c>
      <c r="Q13" s="250" t="s">
        <v>367</v>
      </c>
      <c r="R13" s="250" t="s">
        <v>368</v>
      </c>
      <c r="S13" s="250" t="s">
        <v>369</v>
      </c>
      <c r="T13" s="250" t="s">
        <v>370</v>
      </c>
      <c r="U13" s="250" t="s">
        <v>371</v>
      </c>
      <c r="V13" s="250" t="s">
        <v>372</v>
      </c>
      <c r="W13" s="250" t="s">
        <v>373</v>
      </c>
      <c r="X13" s="250" t="s">
        <v>386</v>
      </c>
      <c r="Y13" s="250" t="s">
        <v>387</v>
      </c>
      <c r="Z13" s="250" t="s">
        <v>388</v>
      </c>
      <c r="AA13" s="250" t="s">
        <v>389</v>
      </c>
      <c r="AB13" s="250" t="s">
        <v>390</v>
      </c>
      <c r="AC13" s="250" t="s">
        <v>391</v>
      </c>
      <c r="AD13" s="250" t="s">
        <v>392</v>
      </c>
      <c r="AE13" s="250" t="s">
        <v>393</v>
      </c>
      <c r="AF13" s="250" t="s">
        <v>394</v>
      </c>
    </row>
    <row r="14" spans="1:32" ht="18.75" customHeight="1" thickTop="1" x14ac:dyDescent="0.2">
      <c r="A14" s="1081" t="s">
        <v>34</v>
      </c>
      <c r="B14" s="599">
        <f>SUM(N14:P14)</f>
        <v>252</v>
      </c>
      <c r="C14" s="599">
        <f>SUM(Q14:R14)</f>
        <v>216</v>
      </c>
      <c r="D14" s="599">
        <f>SUM(S14:V14)</f>
        <v>193</v>
      </c>
      <c r="E14" s="599">
        <f>SUM(W14:Y14)</f>
        <v>208</v>
      </c>
      <c r="F14" s="599">
        <f>SUM(Z14:AA14)</f>
        <v>154</v>
      </c>
      <c r="G14" s="599">
        <f>SUM(AB14:AD14)</f>
        <v>380</v>
      </c>
      <c r="H14" s="599">
        <f>AE14</f>
        <v>21</v>
      </c>
      <c r="I14" s="599">
        <f>AF14</f>
        <v>194</v>
      </c>
      <c r="J14" s="599">
        <f>SUM(B14:I14)</f>
        <v>1618</v>
      </c>
      <c r="M14" s="805">
        <v>91</v>
      </c>
      <c r="N14" s="676">
        <v>101</v>
      </c>
      <c r="O14" s="676">
        <v>92</v>
      </c>
      <c r="P14" s="676">
        <v>59</v>
      </c>
      <c r="Q14" s="676">
        <v>94</v>
      </c>
      <c r="R14" s="676">
        <v>122</v>
      </c>
      <c r="S14" s="676">
        <v>99</v>
      </c>
      <c r="T14" s="676">
        <v>52</v>
      </c>
      <c r="U14" s="676">
        <v>12</v>
      </c>
      <c r="V14" s="676">
        <v>30</v>
      </c>
      <c r="W14" s="676">
        <v>112</v>
      </c>
      <c r="X14" s="676">
        <v>79</v>
      </c>
      <c r="Y14" s="676">
        <v>17</v>
      </c>
      <c r="Z14" s="676">
        <v>49</v>
      </c>
      <c r="AA14" s="676">
        <v>105</v>
      </c>
      <c r="AB14" s="676">
        <v>214</v>
      </c>
      <c r="AC14" s="676">
        <v>99</v>
      </c>
      <c r="AD14" s="676">
        <v>67</v>
      </c>
      <c r="AE14" s="676">
        <v>21</v>
      </c>
      <c r="AF14" s="676">
        <v>194</v>
      </c>
    </row>
    <row r="15" spans="1:32" ht="18.75" customHeight="1" x14ac:dyDescent="0.2">
      <c r="A15" s="1082"/>
      <c r="B15" s="845">
        <f>B14/B$18</f>
        <v>0.8571428571428571</v>
      </c>
      <c r="C15" s="845">
        <f t="shared" ref="C15:J15" si="4">C14/C$18</f>
        <v>0.77978339350180503</v>
      </c>
      <c r="D15" s="845">
        <f t="shared" si="4"/>
        <v>0.90186915887850472</v>
      </c>
      <c r="E15" s="845">
        <f t="shared" si="4"/>
        <v>0.91629955947136565</v>
      </c>
      <c r="F15" s="845">
        <f t="shared" si="4"/>
        <v>0.96250000000000002</v>
      </c>
      <c r="G15" s="845">
        <f t="shared" si="4"/>
        <v>0.92009685230024219</v>
      </c>
      <c r="H15" s="845">
        <f t="shared" si="4"/>
        <v>0.53846153846153844</v>
      </c>
      <c r="I15" s="845">
        <f t="shared" si="4"/>
        <v>0.8584070796460177</v>
      </c>
      <c r="J15" s="845">
        <f t="shared" si="4"/>
        <v>0.87459459459459454</v>
      </c>
      <c r="M15" s="805">
        <v>90</v>
      </c>
      <c r="N15" s="676">
        <v>4</v>
      </c>
      <c r="O15" s="676">
        <v>28</v>
      </c>
      <c r="P15" s="676">
        <v>10</v>
      </c>
      <c r="Q15" s="676">
        <v>21</v>
      </c>
      <c r="R15" s="676">
        <v>40</v>
      </c>
      <c r="S15" s="676">
        <v>14</v>
      </c>
      <c r="U15" s="676">
        <v>5</v>
      </c>
      <c r="V15" s="676">
        <v>2</v>
      </c>
      <c r="W15" s="676">
        <v>5</v>
      </c>
      <c r="X15" s="676">
        <v>7</v>
      </c>
      <c r="Y15" s="676">
        <v>7</v>
      </c>
      <c r="Z15" s="676">
        <v>1</v>
      </c>
      <c r="AA15" s="676">
        <v>5</v>
      </c>
      <c r="AB15" s="676">
        <v>11</v>
      </c>
      <c r="AC15" s="676">
        <v>17</v>
      </c>
      <c r="AD15" s="676">
        <v>5</v>
      </c>
      <c r="AE15" s="676">
        <v>18</v>
      </c>
      <c r="AF15" s="676">
        <v>32</v>
      </c>
    </row>
    <row r="16" spans="1:32" ht="18.75" customHeight="1" x14ac:dyDescent="0.2">
      <c r="A16" s="1081" t="s">
        <v>548</v>
      </c>
      <c r="B16" s="599">
        <f>SUM(N15:P15)</f>
        <v>42</v>
      </c>
      <c r="C16" s="599">
        <f>SUM(Q15:R15)</f>
        <v>61</v>
      </c>
      <c r="D16" s="599">
        <f>SUM(S15:V15)</f>
        <v>21</v>
      </c>
      <c r="E16" s="599">
        <f>SUM(W15:Y15)</f>
        <v>19</v>
      </c>
      <c r="F16" s="599">
        <f>SUM(Z15:AA15)</f>
        <v>6</v>
      </c>
      <c r="G16" s="599">
        <f>SUM(AB15:AD15)</f>
        <v>33</v>
      </c>
      <c r="H16" s="599">
        <f>AE15</f>
        <v>18</v>
      </c>
      <c r="I16" s="599">
        <f>AF15</f>
        <v>32</v>
      </c>
      <c r="J16" s="599">
        <f>SUM(B16:I16)</f>
        <v>232</v>
      </c>
      <c r="M16" s="805" t="s">
        <v>726</v>
      </c>
      <c r="N16" s="676">
        <v>419</v>
      </c>
      <c r="O16" s="676">
        <v>703</v>
      </c>
      <c r="P16" s="676">
        <v>192</v>
      </c>
      <c r="Q16" s="676">
        <v>1081</v>
      </c>
      <c r="R16" s="676">
        <v>455</v>
      </c>
      <c r="S16" s="676">
        <v>608</v>
      </c>
      <c r="T16" s="676">
        <v>156</v>
      </c>
      <c r="U16" s="676">
        <v>214</v>
      </c>
      <c r="V16" s="676">
        <v>141</v>
      </c>
      <c r="W16" s="676">
        <v>587</v>
      </c>
      <c r="X16" s="676">
        <v>257</v>
      </c>
      <c r="Y16" s="676">
        <v>146</v>
      </c>
      <c r="Z16" s="676">
        <v>376</v>
      </c>
      <c r="AA16" s="676">
        <v>689</v>
      </c>
      <c r="AB16" s="676">
        <v>1374</v>
      </c>
      <c r="AC16" s="676">
        <v>1873</v>
      </c>
      <c r="AD16" s="676">
        <v>1052</v>
      </c>
      <c r="AE16" s="676">
        <v>128</v>
      </c>
      <c r="AF16" s="676">
        <v>1706</v>
      </c>
    </row>
    <row r="17" spans="1:33" ht="18.75" customHeight="1" x14ac:dyDescent="0.2">
      <c r="A17" s="1082"/>
      <c r="B17" s="845">
        <f>B16/B$18</f>
        <v>0.14285714285714285</v>
      </c>
      <c r="C17" s="845">
        <f t="shared" ref="C17:J17" si="5">C16/C$18</f>
        <v>0.22021660649819494</v>
      </c>
      <c r="D17" s="845">
        <f t="shared" si="5"/>
        <v>9.8130841121495324E-2</v>
      </c>
      <c r="E17" s="845">
        <f t="shared" si="5"/>
        <v>8.3700440528634359E-2</v>
      </c>
      <c r="F17" s="845">
        <f t="shared" si="5"/>
        <v>3.7499999999999999E-2</v>
      </c>
      <c r="G17" s="845">
        <f t="shared" si="5"/>
        <v>7.990314769975787E-2</v>
      </c>
      <c r="H17" s="845">
        <f t="shared" si="5"/>
        <v>0.46153846153846156</v>
      </c>
      <c r="I17" s="845">
        <f t="shared" si="5"/>
        <v>0.1415929203539823</v>
      </c>
      <c r="J17" s="845">
        <f t="shared" si="5"/>
        <v>0.1254054054054054</v>
      </c>
      <c r="M17" s="688"/>
    </row>
    <row r="18" spans="1:33" ht="18.75" customHeight="1" x14ac:dyDescent="0.2">
      <c r="A18" s="1064" t="s">
        <v>149</v>
      </c>
      <c r="B18" s="360">
        <f>SUM(B14,B16)</f>
        <v>294</v>
      </c>
      <c r="C18" s="360">
        <f t="shared" ref="C18:J19" si="6">SUM(C14,C16)</f>
        <v>277</v>
      </c>
      <c r="D18" s="360">
        <f t="shared" si="6"/>
        <v>214</v>
      </c>
      <c r="E18" s="360">
        <f t="shared" si="6"/>
        <v>227</v>
      </c>
      <c r="F18" s="360">
        <f t="shared" si="6"/>
        <v>160</v>
      </c>
      <c r="G18" s="360">
        <f t="shared" si="6"/>
        <v>413</v>
      </c>
      <c r="H18" s="360">
        <f t="shared" si="6"/>
        <v>39</v>
      </c>
      <c r="I18" s="360">
        <f t="shared" si="6"/>
        <v>226</v>
      </c>
      <c r="J18" s="360">
        <f t="shared" si="6"/>
        <v>1850</v>
      </c>
    </row>
    <row r="19" spans="1:33" ht="18.75" customHeight="1" x14ac:dyDescent="0.2">
      <c r="A19" s="1063"/>
      <c r="B19" s="362">
        <f>SUM(B15,B17)</f>
        <v>1</v>
      </c>
      <c r="C19" s="362">
        <f t="shared" si="6"/>
        <v>1</v>
      </c>
      <c r="D19" s="362">
        <f t="shared" si="6"/>
        <v>1</v>
      </c>
      <c r="E19" s="362">
        <f t="shared" si="6"/>
        <v>1</v>
      </c>
      <c r="F19" s="362">
        <f t="shared" si="6"/>
        <v>1</v>
      </c>
      <c r="G19" s="362">
        <f t="shared" si="6"/>
        <v>1</v>
      </c>
      <c r="H19" s="362">
        <f t="shared" si="6"/>
        <v>1</v>
      </c>
      <c r="I19" s="362">
        <f t="shared" si="6"/>
        <v>1</v>
      </c>
      <c r="J19" s="362">
        <f t="shared" si="6"/>
        <v>1</v>
      </c>
    </row>
    <row r="20" spans="1:33" ht="18.75" customHeight="1" x14ac:dyDescent="0.2">
      <c r="A20" s="846"/>
      <c r="B20" s="847"/>
      <c r="C20" s="847"/>
      <c r="D20" s="847"/>
      <c r="E20" s="847"/>
      <c r="F20" s="847"/>
      <c r="G20" s="847"/>
      <c r="H20" s="847"/>
      <c r="I20" s="847"/>
      <c r="J20" s="847"/>
    </row>
    <row r="21" spans="1:33" s="677" customFormat="1" ht="18.75" customHeight="1" x14ac:dyDescent="0.2">
      <c r="A21" s="2" t="s">
        <v>549</v>
      </c>
    </row>
    <row r="22" spans="1:33" ht="18.75" customHeight="1" thickBot="1" x14ac:dyDescent="0.25">
      <c r="A22" s="4"/>
    </row>
    <row r="23" spans="1:33" ht="18.75" customHeight="1" thickTop="1" thickBot="1" x14ac:dyDescent="0.25">
      <c r="A23" s="359"/>
      <c r="B23" s="596" t="s">
        <v>356</v>
      </c>
      <c r="C23" s="596" t="s">
        <v>357</v>
      </c>
      <c r="D23" s="596" t="s">
        <v>358</v>
      </c>
      <c r="E23" s="596" t="s">
        <v>359</v>
      </c>
      <c r="F23" s="596" t="s">
        <v>360</v>
      </c>
      <c r="G23" s="596" t="s">
        <v>361</v>
      </c>
      <c r="H23" s="596" t="s">
        <v>362</v>
      </c>
      <c r="I23" s="596" t="s">
        <v>363</v>
      </c>
      <c r="J23" s="596" t="s">
        <v>61</v>
      </c>
      <c r="M23" s="844" t="s">
        <v>749</v>
      </c>
      <c r="N23" s="848" t="s">
        <v>364</v>
      </c>
      <c r="O23" s="848" t="s">
        <v>365</v>
      </c>
      <c r="P23" s="848" t="s">
        <v>366</v>
      </c>
      <c r="Q23" s="848" t="s">
        <v>367</v>
      </c>
      <c r="R23" s="848" t="s">
        <v>368</v>
      </c>
      <c r="S23" s="848" t="s">
        <v>369</v>
      </c>
      <c r="T23" s="848" t="s">
        <v>370</v>
      </c>
      <c r="U23" s="848" t="s">
        <v>371</v>
      </c>
      <c r="V23" s="848" t="s">
        <v>372</v>
      </c>
      <c r="W23" s="848" t="s">
        <v>373</v>
      </c>
      <c r="X23" s="848" t="s">
        <v>386</v>
      </c>
      <c r="Y23" s="848" t="s">
        <v>387</v>
      </c>
      <c r="Z23" s="848" t="s">
        <v>388</v>
      </c>
      <c r="AA23" s="848" t="s">
        <v>389</v>
      </c>
      <c r="AB23" s="848" t="s">
        <v>390</v>
      </c>
      <c r="AC23" s="848" t="s">
        <v>391</v>
      </c>
      <c r="AD23" s="848" t="s">
        <v>392</v>
      </c>
      <c r="AE23" s="848" t="s">
        <v>393</v>
      </c>
      <c r="AF23" s="848" t="s">
        <v>394</v>
      </c>
      <c r="AG23" s="848" t="s">
        <v>396</v>
      </c>
    </row>
    <row r="24" spans="1:33" ht="18.75" customHeight="1" thickTop="1" x14ac:dyDescent="0.2">
      <c r="A24" s="1079" t="s">
        <v>221</v>
      </c>
      <c r="B24" s="597">
        <f>SUM(N24:P24)</f>
        <v>90</v>
      </c>
      <c r="C24" s="597">
        <f>SUM(Q24:R24)</f>
        <v>33</v>
      </c>
      <c r="D24" s="597">
        <f>SUM(S24:V24)</f>
        <v>72</v>
      </c>
      <c r="E24" s="597">
        <f>SUM(W24:Y24)</f>
        <v>74</v>
      </c>
      <c r="F24" s="597">
        <f>SUM(Z24:AA24)</f>
        <v>64</v>
      </c>
      <c r="G24" s="597">
        <f>SUM(AB24:AD24)</f>
        <v>162</v>
      </c>
      <c r="H24" s="597">
        <f>AE24</f>
        <v>3</v>
      </c>
      <c r="I24" s="597">
        <f>AF24</f>
        <v>57</v>
      </c>
      <c r="J24" s="599">
        <f>SUM(B24:I24)</f>
        <v>555</v>
      </c>
      <c r="M24" s="805" t="s">
        <v>286</v>
      </c>
      <c r="N24" s="849">
        <v>55</v>
      </c>
      <c r="O24" s="849">
        <v>23</v>
      </c>
      <c r="P24" s="849">
        <v>12</v>
      </c>
      <c r="Q24" s="849">
        <v>4</v>
      </c>
      <c r="R24" s="849">
        <v>29</v>
      </c>
      <c r="S24" s="849">
        <v>52</v>
      </c>
      <c r="T24" s="849">
        <v>16</v>
      </c>
      <c r="U24" s="849">
        <v>1</v>
      </c>
      <c r="V24" s="849">
        <v>3</v>
      </c>
      <c r="W24" s="849">
        <v>51</v>
      </c>
      <c r="X24" s="849">
        <v>23</v>
      </c>
      <c r="Y24" s="849">
        <v>0</v>
      </c>
      <c r="Z24" s="849">
        <v>20</v>
      </c>
      <c r="AA24" s="849">
        <v>44</v>
      </c>
      <c r="AB24" s="849">
        <v>72</v>
      </c>
      <c r="AC24" s="849">
        <v>51</v>
      </c>
      <c r="AD24" s="849">
        <v>39</v>
      </c>
      <c r="AE24" s="849">
        <v>3</v>
      </c>
      <c r="AF24" s="849">
        <v>57</v>
      </c>
      <c r="AG24" s="849"/>
    </row>
    <row r="25" spans="1:33" ht="18.75" customHeight="1" x14ac:dyDescent="0.2">
      <c r="A25" s="1080"/>
      <c r="B25" s="845">
        <f>B24/B$14</f>
        <v>0.35714285714285715</v>
      </c>
      <c r="C25" s="845">
        <f t="shared" ref="C25:I25" si="7">C24/C$14</f>
        <v>0.15277777777777779</v>
      </c>
      <c r="D25" s="845">
        <f t="shared" si="7"/>
        <v>0.37305699481865284</v>
      </c>
      <c r="E25" s="845">
        <f t="shared" si="7"/>
        <v>0.35576923076923078</v>
      </c>
      <c r="F25" s="845">
        <f t="shared" si="7"/>
        <v>0.41558441558441561</v>
      </c>
      <c r="G25" s="845">
        <f t="shared" si="7"/>
        <v>0.4263157894736842</v>
      </c>
      <c r="H25" s="845">
        <f t="shared" si="7"/>
        <v>0.14285714285714285</v>
      </c>
      <c r="I25" s="845">
        <f t="shared" si="7"/>
        <v>0.29381443298969073</v>
      </c>
      <c r="J25" s="845">
        <f>J24/J$14</f>
        <v>0.34301606922126082</v>
      </c>
      <c r="M25" s="805" t="s">
        <v>287</v>
      </c>
      <c r="N25" s="849">
        <v>32</v>
      </c>
      <c r="O25" s="849">
        <v>16</v>
      </c>
      <c r="P25" s="849">
        <v>9</v>
      </c>
      <c r="Q25" s="849">
        <v>1</v>
      </c>
      <c r="R25" s="849">
        <v>67</v>
      </c>
      <c r="S25" s="849">
        <v>34</v>
      </c>
      <c r="T25" s="849">
        <v>9</v>
      </c>
      <c r="U25" s="849">
        <v>0</v>
      </c>
      <c r="V25" s="849">
        <v>3</v>
      </c>
      <c r="W25" s="849">
        <v>34</v>
      </c>
      <c r="X25" s="849">
        <v>14</v>
      </c>
      <c r="Y25" s="849">
        <v>1</v>
      </c>
      <c r="Z25" s="849">
        <v>21</v>
      </c>
      <c r="AA25" s="849">
        <v>26</v>
      </c>
      <c r="AB25" s="849">
        <v>42</v>
      </c>
      <c r="AC25" s="849">
        <v>21</v>
      </c>
      <c r="AD25" s="849">
        <v>14</v>
      </c>
      <c r="AE25" s="849">
        <v>3</v>
      </c>
      <c r="AF25" s="849">
        <v>43</v>
      </c>
      <c r="AG25" s="849"/>
    </row>
    <row r="26" spans="1:33" ht="18.75" customHeight="1" x14ac:dyDescent="0.2">
      <c r="A26" s="1077" t="s">
        <v>65</v>
      </c>
      <c r="B26" s="597">
        <f>SUM(N25:P25)</f>
        <v>57</v>
      </c>
      <c r="C26" s="597">
        <f>SUM(Q25:R25)</f>
        <v>68</v>
      </c>
      <c r="D26" s="597">
        <f>SUM(S25:V25)</f>
        <v>46</v>
      </c>
      <c r="E26" s="597">
        <f>SUM(W25:Y25)</f>
        <v>49</v>
      </c>
      <c r="F26" s="597">
        <f>SUM(Z25:AA25)</f>
        <v>47</v>
      </c>
      <c r="G26" s="597">
        <f>SUM(AB25:AD25)</f>
        <v>77</v>
      </c>
      <c r="H26" s="597">
        <f>AE25</f>
        <v>3</v>
      </c>
      <c r="I26" s="597">
        <f>AF25</f>
        <v>43</v>
      </c>
      <c r="J26" s="599">
        <f t="shared" ref="J26" si="8">SUM(B26:I26)</f>
        <v>390</v>
      </c>
      <c r="M26" s="805" t="s">
        <v>154</v>
      </c>
      <c r="N26" s="849">
        <v>6</v>
      </c>
      <c r="O26" s="849">
        <v>1</v>
      </c>
      <c r="P26" s="849">
        <v>0</v>
      </c>
      <c r="Q26" s="849">
        <v>0</v>
      </c>
      <c r="R26" s="849">
        <v>9</v>
      </c>
      <c r="S26" s="849">
        <v>5</v>
      </c>
      <c r="T26" s="849">
        <v>1</v>
      </c>
      <c r="U26" s="849">
        <v>0</v>
      </c>
      <c r="V26" s="849">
        <v>3</v>
      </c>
      <c r="W26" s="849">
        <v>11</v>
      </c>
      <c r="X26" s="849">
        <v>0</v>
      </c>
      <c r="Y26" s="849">
        <v>1</v>
      </c>
      <c r="Z26" s="849">
        <v>4</v>
      </c>
      <c r="AA26" s="849">
        <v>3</v>
      </c>
      <c r="AB26" s="849">
        <v>9</v>
      </c>
      <c r="AC26" s="849">
        <v>2</v>
      </c>
      <c r="AD26" s="849">
        <v>1</v>
      </c>
      <c r="AE26" s="849">
        <v>3</v>
      </c>
      <c r="AF26" s="849">
        <v>7</v>
      </c>
      <c r="AG26" s="849"/>
    </row>
    <row r="27" spans="1:33" ht="18.75" customHeight="1" x14ac:dyDescent="0.2">
      <c r="A27" s="1078"/>
      <c r="B27" s="845">
        <f>B26/B$14</f>
        <v>0.22619047619047619</v>
      </c>
      <c r="C27" s="845">
        <f t="shared" ref="C27:J27" si="9">C26/C$14</f>
        <v>0.31481481481481483</v>
      </c>
      <c r="D27" s="845">
        <f t="shared" si="9"/>
        <v>0.23834196891191708</v>
      </c>
      <c r="E27" s="845">
        <f t="shared" si="9"/>
        <v>0.23557692307692307</v>
      </c>
      <c r="F27" s="845">
        <f t="shared" si="9"/>
        <v>0.30519480519480519</v>
      </c>
      <c r="G27" s="845">
        <f t="shared" si="9"/>
        <v>0.20263157894736841</v>
      </c>
      <c r="H27" s="845">
        <f t="shared" si="9"/>
        <v>0.14285714285714285</v>
      </c>
      <c r="I27" s="845">
        <f t="shared" si="9"/>
        <v>0.22164948453608246</v>
      </c>
      <c r="J27" s="845">
        <f t="shared" si="9"/>
        <v>0.24103831891223734</v>
      </c>
      <c r="M27" s="805" t="s">
        <v>155</v>
      </c>
      <c r="N27" s="849">
        <v>34</v>
      </c>
      <c r="O27" s="849">
        <v>19</v>
      </c>
      <c r="P27" s="849">
        <v>28</v>
      </c>
      <c r="Q27" s="849">
        <v>3</v>
      </c>
      <c r="R27" s="849">
        <v>78</v>
      </c>
      <c r="S27" s="849">
        <v>54</v>
      </c>
      <c r="T27" s="849">
        <v>21</v>
      </c>
      <c r="U27" s="849">
        <v>5</v>
      </c>
      <c r="V27" s="849">
        <v>5</v>
      </c>
      <c r="W27" s="849">
        <v>45</v>
      </c>
      <c r="X27" s="849">
        <v>25</v>
      </c>
      <c r="Y27" s="849">
        <v>5</v>
      </c>
      <c r="Z27" s="849">
        <v>20</v>
      </c>
      <c r="AA27" s="849">
        <v>39</v>
      </c>
      <c r="AB27" s="849">
        <v>89</v>
      </c>
      <c r="AC27" s="849">
        <v>46</v>
      </c>
      <c r="AD27" s="849">
        <v>35</v>
      </c>
      <c r="AE27" s="849">
        <v>0</v>
      </c>
      <c r="AF27" s="849">
        <v>81</v>
      </c>
      <c r="AG27" s="849"/>
    </row>
    <row r="28" spans="1:33" ht="18.75" customHeight="1" x14ac:dyDescent="0.2">
      <c r="A28" s="1077" t="s">
        <v>449</v>
      </c>
      <c r="B28" s="597">
        <f>SUM(N26:P26)</f>
        <v>7</v>
      </c>
      <c r="C28" s="597">
        <f>SUM(Q26:R26)</f>
        <v>9</v>
      </c>
      <c r="D28" s="597">
        <f>SUM(S26:V26)</f>
        <v>9</v>
      </c>
      <c r="E28" s="597">
        <f>SUM(W26:Y26)</f>
        <v>12</v>
      </c>
      <c r="F28" s="597">
        <f>SUM(Z26:AA26)</f>
        <v>7</v>
      </c>
      <c r="G28" s="597">
        <f>SUM(AB26:AD26)</f>
        <v>12</v>
      </c>
      <c r="H28" s="597">
        <f>AE26</f>
        <v>3</v>
      </c>
      <c r="I28" s="597">
        <f>AF26</f>
        <v>7</v>
      </c>
      <c r="J28" s="599">
        <f t="shared" ref="J28" si="10">SUM(B28:I28)</f>
        <v>66</v>
      </c>
      <c r="M28" s="805" t="s">
        <v>156</v>
      </c>
      <c r="N28" s="849">
        <v>57</v>
      </c>
      <c r="O28" s="849">
        <v>21</v>
      </c>
      <c r="P28" s="849">
        <v>18</v>
      </c>
      <c r="Q28" s="849">
        <v>4</v>
      </c>
      <c r="R28" s="849">
        <v>93</v>
      </c>
      <c r="S28" s="849">
        <v>60</v>
      </c>
      <c r="T28" s="849">
        <v>25</v>
      </c>
      <c r="U28" s="849">
        <v>1</v>
      </c>
      <c r="V28" s="849">
        <v>9</v>
      </c>
      <c r="W28" s="849">
        <v>39</v>
      </c>
      <c r="X28" s="849">
        <v>21</v>
      </c>
      <c r="Y28" s="849">
        <v>3</v>
      </c>
      <c r="Z28" s="849">
        <v>35</v>
      </c>
      <c r="AA28" s="849">
        <v>38</v>
      </c>
      <c r="AB28" s="849">
        <v>112</v>
      </c>
      <c r="AC28" s="849">
        <v>21</v>
      </c>
      <c r="AD28" s="849">
        <v>28</v>
      </c>
      <c r="AE28" s="849">
        <v>2</v>
      </c>
      <c r="AF28" s="849">
        <v>70</v>
      </c>
      <c r="AG28" s="849"/>
    </row>
    <row r="29" spans="1:33" ht="18.75" customHeight="1" x14ac:dyDescent="0.2">
      <c r="A29" s="1078"/>
      <c r="B29" s="845">
        <f>B28/B$14</f>
        <v>2.7777777777777776E-2</v>
      </c>
      <c r="C29" s="845">
        <f t="shared" ref="C29:J29" si="11">C28/C$14</f>
        <v>4.1666666666666664E-2</v>
      </c>
      <c r="D29" s="845">
        <f t="shared" si="11"/>
        <v>4.6632124352331605E-2</v>
      </c>
      <c r="E29" s="845">
        <f>E28/E$14</f>
        <v>5.7692307692307696E-2</v>
      </c>
      <c r="F29" s="845">
        <f t="shared" si="11"/>
        <v>4.5454545454545456E-2</v>
      </c>
      <c r="G29" s="845">
        <f t="shared" si="11"/>
        <v>3.1578947368421054E-2</v>
      </c>
      <c r="H29" s="845">
        <f t="shared" si="11"/>
        <v>0.14285714285714285</v>
      </c>
      <c r="I29" s="845">
        <f t="shared" si="11"/>
        <v>3.608247422680412E-2</v>
      </c>
      <c r="J29" s="845">
        <f t="shared" si="11"/>
        <v>4.0791100123609397E-2</v>
      </c>
      <c r="M29" s="805" t="s">
        <v>157</v>
      </c>
      <c r="N29" s="849">
        <v>31</v>
      </c>
      <c r="O29" s="849">
        <v>21</v>
      </c>
      <c r="P29" s="849">
        <v>5</v>
      </c>
      <c r="Q29" s="849">
        <v>1</v>
      </c>
      <c r="R29" s="849">
        <v>67</v>
      </c>
      <c r="S29" s="849">
        <v>31</v>
      </c>
      <c r="T29" s="849">
        <v>8</v>
      </c>
      <c r="U29" s="849">
        <v>2</v>
      </c>
      <c r="V29" s="849">
        <v>4</v>
      </c>
      <c r="W29" s="849">
        <v>46</v>
      </c>
      <c r="X29" s="849">
        <v>28</v>
      </c>
      <c r="Y29" s="849">
        <v>7</v>
      </c>
      <c r="Z29" s="849">
        <v>16</v>
      </c>
      <c r="AA29" s="849">
        <v>45</v>
      </c>
      <c r="AB29" s="849">
        <v>85</v>
      </c>
      <c r="AC29" s="849">
        <v>18</v>
      </c>
      <c r="AD29" s="849">
        <v>13</v>
      </c>
      <c r="AE29" s="849">
        <v>1</v>
      </c>
      <c r="AF29" s="849">
        <v>59</v>
      </c>
      <c r="AG29" s="849"/>
    </row>
    <row r="30" spans="1:33" ht="18.75" customHeight="1" x14ac:dyDescent="0.2">
      <c r="A30" s="1077" t="s">
        <v>450</v>
      </c>
      <c r="B30" s="597">
        <f>SUM(N27:P27)</f>
        <v>81</v>
      </c>
      <c r="C30" s="597">
        <f>SUM(Q27:R27)</f>
        <v>81</v>
      </c>
      <c r="D30" s="597">
        <f>SUM(S27:V27)</f>
        <v>85</v>
      </c>
      <c r="E30" s="597">
        <f>SUM(W27:Y27)</f>
        <v>75</v>
      </c>
      <c r="F30" s="597">
        <f>SUM(Z27:AA27)</f>
        <v>59</v>
      </c>
      <c r="G30" s="597">
        <f>SUM(AB27:AD27)</f>
        <v>170</v>
      </c>
      <c r="H30" s="597">
        <f>AE27</f>
        <v>0</v>
      </c>
      <c r="I30" s="597">
        <f>AF27</f>
        <v>81</v>
      </c>
      <c r="J30" s="599">
        <f t="shared" ref="J30" si="12">SUM(B30:I30)</f>
        <v>632</v>
      </c>
      <c r="M30" s="805" t="s">
        <v>158</v>
      </c>
      <c r="N30" s="849">
        <v>8</v>
      </c>
      <c r="O30" s="849">
        <v>2</v>
      </c>
      <c r="P30" s="849">
        <v>0</v>
      </c>
      <c r="Q30" s="849">
        <v>0</v>
      </c>
      <c r="R30" s="849">
        <v>20</v>
      </c>
      <c r="S30" s="849">
        <v>11</v>
      </c>
      <c r="T30" s="849">
        <v>4</v>
      </c>
      <c r="U30" s="849">
        <v>1</v>
      </c>
      <c r="V30" s="849">
        <v>1</v>
      </c>
      <c r="W30" s="849">
        <v>12</v>
      </c>
      <c r="X30" s="849">
        <v>0</v>
      </c>
      <c r="Y30" s="849">
        <v>3</v>
      </c>
      <c r="Z30" s="849">
        <v>7</v>
      </c>
      <c r="AA30" s="849">
        <v>25</v>
      </c>
      <c r="AB30" s="849">
        <v>12</v>
      </c>
      <c r="AC30" s="849">
        <v>15</v>
      </c>
      <c r="AD30" s="849">
        <v>4</v>
      </c>
      <c r="AE30" s="849">
        <v>0</v>
      </c>
      <c r="AF30" s="849">
        <v>11</v>
      </c>
      <c r="AG30" s="849"/>
    </row>
    <row r="31" spans="1:33" ht="18.75" customHeight="1" x14ac:dyDescent="0.2">
      <c r="A31" s="1078"/>
      <c r="B31" s="845">
        <f>B30/B$14</f>
        <v>0.32142857142857145</v>
      </c>
      <c r="C31" s="845">
        <f t="shared" ref="C31:I31" si="13">C30/C$14</f>
        <v>0.375</v>
      </c>
      <c r="D31" s="845">
        <f t="shared" si="13"/>
        <v>0.44041450777202074</v>
      </c>
      <c r="E31" s="845">
        <f>E30/E$14</f>
        <v>0.36057692307692307</v>
      </c>
      <c r="F31" s="845">
        <f t="shared" si="13"/>
        <v>0.38311688311688313</v>
      </c>
      <c r="G31" s="845">
        <f t="shared" si="13"/>
        <v>0.44736842105263158</v>
      </c>
      <c r="H31" s="845">
        <f t="shared" si="13"/>
        <v>0</v>
      </c>
      <c r="I31" s="845">
        <f t="shared" si="13"/>
        <v>0.4175257731958763</v>
      </c>
      <c r="J31" s="845">
        <f>J30/J$14</f>
        <v>0.39060568603213847</v>
      </c>
      <c r="M31" s="805" t="s">
        <v>159</v>
      </c>
      <c r="N31" s="849">
        <v>23</v>
      </c>
      <c r="O31" s="849">
        <v>6</v>
      </c>
      <c r="P31" s="849">
        <v>3</v>
      </c>
      <c r="Q31" s="849">
        <v>3</v>
      </c>
      <c r="R31" s="849">
        <v>84</v>
      </c>
      <c r="S31" s="849">
        <v>61</v>
      </c>
      <c r="T31" s="849">
        <v>13</v>
      </c>
      <c r="U31" s="849">
        <v>5</v>
      </c>
      <c r="V31" s="849">
        <v>8</v>
      </c>
      <c r="W31" s="849">
        <v>44</v>
      </c>
      <c r="X31" s="849">
        <v>21</v>
      </c>
      <c r="Y31" s="849">
        <v>3</v>
      </c>
      <c r="Z31" s="849">
        <v>28</v>
      </c>
      <c r="AA31" s="849">
        <v>39</v>
      </c>
      <c r="AB31" s="849">
        <v>102</v>
      </c>
      <c r="AC31" s="849">
        <v>24</v>
      </c>
      <c r="AD31" s="849">
        <v>16</v>
      </c>
      <c r="AE31" s="849">
        <v>1</v>
      </c>
      <c r="AF31" s="849">
        <v>46</v>
      </c>
      <c r="AG31" s="849"/>
    </row>
    <row r="32" spans="1:33" ht="18.75" customHeight="1" x14ac:dyDescent="0.2">
      <c r="A32" s="1077" t="s">
        <v>451</v>
      </c>
      <c r="B32" s="597">
        <f>SUM(N28:P28)</f>
        <v>96</v>
      </c>
      <c r="C32" s="597">
        <f>SUM(Q28:R28)</f>
        <v>97</v>
      </c>
      <c r="D32" s="597">
        <f>SUM(S28:V28)</f>
        <v>95</v>
      </c>
      <c r="E32" s="597">
        <f>SUM(W28:Y28)</f>
        <v>63</v>
      </c>
      <c r="F32" s="597">
        <f>SUM(Z28:AA28)</f>
        <v>73</v>
      </c>
      <c r="G32" s="597">
        <f>SUM(AB28:AD28)</f>
        <v>161</v>
      </c>
      <c r="H32" s="597">
        <f>AE28</f>
        <v>2</v>
      </c>
      <c r="I32" s="597">
        <f>AF28</f>
        <v>70</v>
      </c>
      <c r="J32" s="599">
        <f t="shared" ref="J32" si="14">SUM(B32:I32)</f>
        <v>657</v>
      </c>
      <c r="M32" s="805" t="s">
        <v>160</v>
      </c>
      <c r="N32" s="849">
        <v>24</v>
      </c>
      <c r="O32" s="849">
        <v>10</v>
      </c>
      <c r="P32" s="849">
        <v>12</v>
      </c>
      <c r="Q32" s="849">
        <v>2</v>
      </c>
      <c r="R32" s="849">
        <v>26</v>
      </c>
      <c r="S32" s="849">
        <v>23</v>
      </c>
      <c r="T32" s="849">
        <v>18</v>
      </c>
      <c r="U32" s="849">
        <v>7</v>
      </c>
      <c r="V32" s="849">
        <v>13</v>
      </c>
      <c r="W32" s="849">
        <v>24</v>
      </c>
      <c r="X32" s="849">
        <v>12</v>
      </c>
      <c r="Y32" s="849">
        <v>2</v>
      </c>
      <c r="Z32" s="849">
        <v>10</v>
      </c>
      <c r="AA32" s="849">
        <v>12</v>
      </c>
      <c r="AB32" s="849">
        <v>34</v>
      </c>
      <c r="AC32" s="849">
        <v>12</v>
      </c>
      <c r="AD32" s="849">
        <v>14</v>
      </c>
      <c r="AE32" s="849">
        <v>0</v>
      </c>
      <c r="AF32" s="849">
        <v>33</v>
      </c>
      <c r="AG32" s="849"/>
    </row>
    <row r="33" spans="1:33" ht="18.75" customHeight="1" x14ac:dyDescent="0.2">
      <c r="A33" s="1078"/>
      <c r="B33" s="845">
        <f>B32/B$14</f>
        <v>0.38095238095238093</v>
      </c>
      <c r="C33" s="845">
        <f t="shared" ref="C33:I33" si="15">C32/C$14</f>
        <v>0.44907407407407407</v>
      </c>
      <c r="D33" s="845">
        <f t="shared" si="15"/>
        <v>0.49222797927461137</v>
      </c>
      <c r="E33" s="845">
        <f t="shared" si="15"/>
        <v>0.30288461538461536</v>
      </c>
      <c r="F33" s="845">
        <f t="shared" si="15"/>
        <v>0.47402597402597402</v>
      </c>
      <c r="G33" s="845">
        <f t="shared" si="15"/>
        <v>0.42368421052631577</v>
      </c>
      <c r="H33" s="845">
        <f t="shared" si="15"/>
        <v>9.5238095238095233E-2</v>
      </c>
      <c r="I33" s="845">
        <f t="shared" si="15"/>
        <v>0.36082474226804123</v>
      </c>
      <c r="J33" s="845">
        <f>J32/J$14</f>
        <v>0.40605686032138444</v>
      </c>
      <c r="M33" s="805" t="s">
        <v>161</v>
      </c>
      <c r="N33" s="849">
        <v>13</v>
      </c>
      <c r="O33" s="849">
        <v>22</v>
      </c>
      <c r="P33" s="849">
        <v>4</v>
      </c>
      <c r="Q33" s="849">
        <v>5</v>
      </c>
      <c r="R33" s="849">
        <v>22</v>
      </c>
      <c r="S33" s="849">
        <v>16</v>
      </c>
      <c r="T33" s="849">
        <v>9</v>
      </c>
      <c r="U33" s="849">
        <v>2</v>
      </c>
      <c r="V33" s="849">
        <v>8</v>
      </c>
      <c r="W33" s="849">
        <v>22</v>
      </c>
      <c r="X33" s="849">
        <v>8</v>
      </c>
      <c r="Y33" s="849">
        <v>4</v>
      </c>
      <c r="Z33" s="849">
        <v>5</v>
      </c>
      <c r="AA33" s="849">
        <v>36</v>
      </c>
      <c r="AB33" s="849">
        <v>27</v>
      </c>
      <c r="AC33" s="849">
        <v>22</v>
      </c>
      <c r="AD33" s="849">
        <v>19</v>
      </c>
      <c r="AE33" s="849">
        <v>0</v>
      </c>
      <c r="AF33" s="849">
        <v>24</v>
      </c>
      <c r="AG33" s="849"/>
    </row>
    <row r="34" spans="1:33" ht="18.75" customHeight="1" x14ac:dyDescent="0.2">
      <c r="A34" s="1077" t="s">
        <v>310</v>
      </c>
      <c r="B34" s="597">
        <f>SUM(N29:P29)</f>
        <v>57</v>
      </c>
      <c r="C34" s="597">
        <f>SUM(Q29:R29)</f>
        <v>68</v>
      </c>
      <c r="D34" s="597">
        <f>SUM(S29:V29)</f>
        <v>45</v>
      </c>
      <c r="E34" s="597">
        <f>SUM(W29:Y29)</f>
        <v>81</v>
      </c>
      <c r="F34" s="597">
        <f>SUM(Z29:AA29)</f>
        <v>61</v>
      </c>
      <c r="G34" s="597">
        <f>SUM(AB29:AD29)</f>
        <v>116</v>
      </c>
      <c r="H34" s="597">
        <f>AE29</f>
        <v>1</v>
      </c>
      <c r="I34" s="597">
        <f>AF29</f>
        <v>59</v>
      </c>
      <c r="J34" s="599">
        <f t="shared" ref="J34" si="16">SUM(B34:I34)</f>
        <v>488</v>
      </c>
      <c r="M34" s="805" t="s">
        <v>162</v>
      </c>
      <c r="N34" s="849">
        <v>34</v>
      </c>
      <c r="O34" s="849">
        <v>41</v>
      </c>
      <c r="P34" s="849">
        <v>6</v>
      </c>
      <c r="Q34" s="849">
        <v>18</v>
      </c>
      <c r="R34" s="849">
        <v>82</v>
      </c>
      <c r="S34" s="849">
        <v>59</v>
      </c>
      <c r="T34" s="849">
        <v>22</v>
      </c>
      <c r="U34" s="849">
        <v>5</v>
      </c>
      <c r="V34" s="849">
        <v>12</v>
      </c>
      <c r="W34" s="849">
        <v>37</v>
      </c>
      <c r="X34" s="849">
        <v>21</v>
      </c>
      <c r="Y34" s="849">
        <v>6</v>
      </c>
      <c r="Z34" s="849">
        <v>6</v>
      </c>
      <c r="AA34" s="849">
        <v>6</v>
      </c>
      <c r="AB34" s="849">
        <v>109</v>
      </c>
      <c r="AC34" s="849">
        <v>16</v>
      </c>
      <c r="AD34" s="849">
        <v>20</v>
      </c>
      <c r="AE34" s="849">
        <v>9</v>
      </c>
      <c r="AF34" s="849">
        <v>39</v>
      </c>
      <c r="AG34" s="849"/>
    </row>
    <row r="35" spans="1:33" ht="18.75" customHeight="1" x14ac:dyDescent="0.2">
      <c r="A35" s="1078"/>
      <c r="B35" s="845">
        <f>B34/B$14</f>
        <v>0.22619047619047619</v>
      </c>
      <c r="C35" s="845">
        <f t="shared" ref="C35:J35" si="17">C34/C$14</f>
        <v>0.31481481481481483</v>
      </c>
      <c r="D35" s="845">
        <f t="shared" si="17"/>
        <v>0.23316062176165803</v>
      </c>
      <c r="E35" s="845">
        <f t="shared" si="17"/>
        <v>0.38942307692307693</v>
      </c>
      <c r="F35" s="845">
        <f t="shared" si="17"/>
        <v>0.39610389610389612</v>
      </c>
      <c r="G35" s="845">
        <f t="shared" si="17"/>
        <v>0.30526315789473685</v>
      </c>
      <c r="H35" s="845">
        <f t="shared" si="17"/>
        <v>4.7619047619047616E-2</v>
      </c>
      <c r="I35" s="845">
        <f t="shared" si="17"/>
        <v>0.30412371134020616</v>
      </c>
      <c r="J35" s="845">
        <f t="shared" si="17"/>
        <v>0.30160692212608159</v>
      </c>
      <c r="M35" s="805" t="s">
        <v>163</v>
      </c>
      <c r="N35" s="849">
        <v>1</v>
      </c>
      <c r="O35" s="849">
        <v>4</v>
      </c>
      <c r="P35" s="849">
        <v>0</v>
      </c>
      <c r="Q35" s="849">
        <v>0</v>
      </c>
      <c r="R35" s="849">
        <v>6</v>
      </c>
      <c r="S35" s="849">
        <v>21</v>
      </c>
      <c r="T35" s="849">
        <v>5</v>
      </c>
      <c r="U35" s="849">
        <v>0</v>
      </c>
      <c r="V35" s="849">
        <v>5</v>
      </c>
      <c r="W35" s="849">
        <v>2</v>
      </c>
      <c r="X35" s="849">
        <v>1</v>
      </c>
      <c r="Y35" s="849">
        <v>4</v>
      </c>
      <c r="Z35" s="849">
        <v>2</v>
      </c>
      <c r="AA35" s="849">
        <v>3</v>
      </c>
      <c r="AB35" s="849">
        <v>30</v>
      </c>
      <c r="AC35" s="849">
        <v>6</v>
      </c>
      <c r="AD35" s="849">
        <v>10</v>
      </c>
      <c r="AE35" s="849">
        <v>0</v>
      </c>
      <c r="AF35" s="849">
        <v>7</v>
      </c>
      <c r="AG35" s="849"/>
    </row>
    <row r="36" spans="1:33" ht="18.75" customHeight="1" x14ac:dyDescent="0.2">
      <c r="A36" s="1077" t="s">
        <v>452</v>
      </c>
      <c r="B36" s="597">
        <f>SUM(N30:P30)</f>
        <v>10</v>
      </c>
      <c r="C36" s="597">
        <f>SUM(Q30:R30)</f>
        <v>20</v>
      </c>
      <c r="D36" s="597">
        <f>SUM(S30:V30)</f>
        <v>17</v>
      </c>
      <c r="E36" s="597">
        <f>SUM(W30:Y30)</f>
        <v>15</v>
      </c>
      <c r="F36" s="597">
        <f>SUM(Z30:AA30)</f>
        <v>32</v>
      </c>
      <c r="G36" s="597">
        <f>SUM(AB30:AD30)</f>
        <v>31</v>
      </c>
      <c r="H36" s="597">
        <f>AE30</f>
        <v>0</v>
      </c>
      <c r="I36" s="597">
        <f>AF30</f>
        <v>11</v>
      </c>
      <c r="J36" s="599">
        <f t="shared" ref="J36" si="18">SUM(B36:I36)</f>
        <v>136</v>
      </c>
      <c r="M36" s="805" t="s">
        <v>164</v>
      </c>
      <c r="N36" s="849">
        <v>13</v>
      </c>
      <c r="O36" s="849">
        <v>3</v>
      </c>
      <c r="P36" s="849">
        <v>0</v>
      </c>
      <c r="Q36" s="849">
        <v>1</v>
      </c>
      <c r="R36" s="849">
        <v>6</v>
      </c>
      <c r="S36" s="849">
        <v>18</v>
      </c>
      <c r="T36" s="849">
        <v>0</v>
      </c>
      <c r="U36" s="849">
        <v>0</v>
      </c>
      <c r="V36" s="849">
        <v>4</v>
      </c>
      <c r="W36" s="849">
        <v>4</v>
      </c>
      <c r="X36" s="849">
        <v>2</v>
      </c>
      <c r="Y36" s="849">
        <v>2</v>
      </c>
      <c r="Z36" s="849">
        <v>2</v>
      </c>
      <c r="AA36" s="849">
        <v>1</v>
      </c>
      <c r="AB36" s="849">
        <v>20</v>
      </c>
      <c r="AC36" s="849">
        <v>1</v>
      </c>
      <c r="AD36" s="849">
        <v>2</v>
      </c>
      <c r="AE36" s="849">
        <v>0</v>
      </c>
      <c r="AF36" s="849">
        <v>1</v>
      </c>
      <c r="AG36" s="849"/>
    </row>
    <row r="37" spans="1:33" ht="18.75" customHeight="1" x14ac:dyDescent="0.2">
      <c r="A37" s="1078"/>
      <c r="B37" s="845">
        <f>B36/B$14</f>
        <v>3.968253968253968E-2</v>
      </c>
      <c r="C37" s="845">
        <f t="shared" ref="C37:J37" si="19">C36/C$14</f>
        <v>9.2592592592592587E-2</v>
      </c>
      <c r="D37" s="845">
        <f t="shared" si="19"/>
        <v>8.8082901554404139E-2</v>
      </c>
      <c r="E37" s="845">
        <f t="shared" si="19"/>
        <v>7.2115384615384609E-2</v>
      </c>
      <c r="F37" s="845">
        <f t="shared" si="19"/>
        <v>0.20779220779220781</v>
      </c>
      <c r="G37" s="845">
        <f t="shared" si="19"/>
        <v>8.1578947368421056E-2</v>
      </c>
      <c r="H37" s="845">
        <f t="shared" si="19"/>
        <v>0</v>
      </c>
      <c r="I37" s="845">
        <f t="shared" si="19"/>
        <v>5.6701030927835051E-2</v>
      </c>
      <c r="J37" s="845">
        <f t="shared" si="19"/>
        <v>8.4054388133498151E-2</v>
      </c>
      <c r="M37" s="805" t="s">
        <v>165</v>
      </c>
      <c r="N37" s="849">
        <v>0</v>
      </c>
      <c r="O37" s="849">
        <v>0</v>
      </c>
      <c r="P37" s="849">
        <v>0</v>
      </c>
      <c r="Q37" s="849">
        <v>0</v>
      </c>
      <c r="R37" s="849">
        <v>0</v>
      </c>
      <c r="S37" s="849">
        <v>16</v>
      </c>
      <c r="T37" s="849">
        <v>0</v>
      </c>
      <c r="U37" s="849">
        <v>0</v>
      </c>
      <c r="V37" s="849">
        <v>0</v>
      </c>
      <c r="W37" s="849">
        <v>0</v>
      </c>
      <c r="X37" s="849">
        <v>0</v>
      </c>
      <c r="Y37" s="849">
        <v>0</v>
      </c>
      <c r="Z37" s="849">
        <v>0</v>
      </c>
      <c r="AA37" s="849">
        <v>0</v>
      </c>
      <c r="AB37" s="849">
        <v>2</v>
      </c>
      <c r="AC37" s="849">
        <v>0</v>
      </c>
      <c r="AD37" s="849">
        <v>0</v>
      </c>
      <c r="AE37" s="849">
        <v>0</v>
      </c>
      <c r="AF37" s="849">
        <v>0</v>
      </c>
      <c r="AG37" s="849"/>
    </row>
    <row r="38" spans="1:33" ht="18.75" customHeight="1" x14ac:dyDescent="0.2">
      <c r="A38" s="1077" t="s">
        <v>311</v>
      </c>
      <c r="B38" s="597">
        <f>SUM(N31:P31)</f>
        <v>32</v>
      </c>
      <c r="C38" s="597">
        <f>SUM(Q31:R31)</f>
        <v>87</v>
      </c>
      <c r="D38" s="597">
        <f>SUM(S31:V31)</f>
        <v>87</v>
      </c>
      <c r="E38" s="597">
        <f>SUM(W31:Y31)</f>
        <v>68</v>
      </c>
      <c r="F38" s="597">
        <f>SUM(Z31:AA31)</f>
        <v>67</v>
      </c>
      <c r="G38" s="597">
        <f>SUM(AB31:AD31)</f>
        <v>142</v>
      </c>
      <c r="H38" s="597">
        <f>AE31</f>
        <v>1</v>
      </c>
      <c r="I38" s="597">
        <f>AF31</f>
        <v>46</v>
      </c>
      <c r="J38" s="599">
        <f t="shared" ref="J38" si="20">SUM(B38:I38)</f>
        <v>530</v>
      </c>
      <c r="M38" s="805" t="s">
        <v>166</v>
      </c>
      <c r="N38" s="849">
        <v>10</v>
      </c>
      <c r="O38" s="849">
        <v>3</v>
      </c>
      <c r="P38" s="849">
        <v>11</v>
      </c>
      <c r="Q38" s="849">
        <v>0</v>
      </c>
      <c r="R38" s="849">
        <v>1</v>
      </c>
      <c r="S38" s="849">
        <v>21</v>
      </c>
      <c r="T38" s="849">
        <v>18</v>
      </c>
      <c r="U38" s="849">
        <v>2</v>
      </c>
      <c r="V38" s="849">
        <v>2</v>
      </c>
      <c r="W38" s="849">
        <v>9</v>
      </c>
      <c r="X38" s="849">
        <v>6</v>
      </c>
      <c r="Y38" s="849">
        <v>2</v>
      </c>
      <c r="Z38" s="849">
        <v>8</v>
      </c>
      <c r="AA38" s="849">
        <v>8</v>
      </c>
      <c r="AB38" s="849">
        <v>19</v>
      </c>
      <c r="AC38" s="849">
        <v>0</v>
      </c>
      <c r="AD38" s="849">
        <v>4</v>
      </c>
      <c r="AE38" s="849">
        <v>2</v>
      </c>
      <c r="AF38" s="849">
        <v>17</v>
      </c>
      <c r="AG38" s="849"/>
    </row>
    <row r="39" spans="1:33" ht="18.75" customHeight="1" x14ac:dyDescent="0.2">
      <c r="A39" s="1078"/>
      <c r="B39" s="845">
        <f>B38/B$14</f>
        <v>0.12698412698412698</v>
      </c>
      <c r="C39" s="845">
        <f t="shared" ref="C39:J39" si="21">C38/C$14</f>
        <v>0.40277777777777779</v>
      </c>
      <c r="D39" s="845">
        <f t="shared" si="21"/>
        <v>0.45077720207253885</v>
      </c>
      <c r="E39" s="845">
        <f>E38/E$14</f>
        <v>0.32692307692307693</v>
      </c>
      <c r="F39" s="845">
        <f t="shared" si="21"/>
        <v>0.43506493506493504</v>
      </c>
      <c r="G39" s="845">
        <f t="shared" si="21"/>
        <v>0.37368421052631579</v>
      </c>
      <c r="H39" s="845">
        <f t="shared" si="21"/>
        <v>4.7619047619047616E-2</v>
      </c>
      <c r="I39" s="845">
        <f t="shared" si="21"/>
        <v>0.23711340206185566</v>
      </c>
      <c r="J39" s="845">
        <f t="shared" si="21"/>
        <v>0.32756489493201485</v>
      </c>
      <c r="M39" s="805" t="s">
        <v>167</v>
      </c>
      <c r="N39" s="849">
        <v>24</v>
      </c>
      <c r="O39" s="849">
        <v>3</v>
      </c>
      <c r="P39" s="849">
        <v>1</v>
      </c>
      <c r="Q39" s="849">
        <v>0</v>
      </c>
      <c r="R39" s="849">
        <v>8</v>
      </c>
      <c r="S39" s="849">
        <v>28</v>
      </c>
      <c r="T39" s="849">
        <v>10</v>
      </c>
      <c r="U39" s="849">
        <v>1</v>
      </c>
      <c r="V39" s="849">
        <v>2</v>
      </c>
      <c r="W39" s="849">
        <v>14</v>
      </c>
      <c r="X39" s="849">
        <v>2</v>
      </c>
      <c r="Y39" s="849">
        <v>1</v>
      </c>
      <c r="Z39" s="849">
        <v>9</v>
      </c>
      <c r="AA39" s="849">
        <v>3</v>
      </c>
      <c r="AB39" s="849">
        <v>10</v>
      </c>
      <c r="AC39" s="849">
        <v>2</v>
      </c>
      <c r="AD39" s="849">
        <v>1</v>
      </c>
      <c r="AE39" s="849">
        <v>1</v>
      </c>
      <c r="AF39" s="849">
        <v>18</v>
      </c>
      <c r="AG39" s="849"/>
    </row>
    <row r="40" spans="1:33" ht="18.75" customHeight="1" x14ac:dyDescent="0.2">
      <c r="A40" s="1077" t="s">
        <v>312</v>
      </c>
      <c r="B40" s="597">
        <f>SUM(N32:P32)</f>
        <v>46</v>
      </c>
      <c r="C40" s="597">
        <f>SUM(Q32:R32)</f>
        <v>28</v>
      </c>
      <c r="D40" s="597">
        <f>SUM(S32:V32)</f>
        <v>61</v>
      </c>
      <c r="E40" s="597">
        <f>SUM(W32:Y32)</f>
        <v>38</v>
      </c>
      <c r="F40" s="597">
        <f>SUM(Z32:AA32)</f>
        <v>22</v>
      </c>
      <c r="G40" s="597">
        <f>SUM(AB32:AD32)</f>
        <v>60</v>
      </c>
      <c r="H40" s="597">
        <f>AE32</f>
        <v>0</v>
      </c>
      <c r="I40" s="597">
        <f>AF32</f>
        <v>33</v>
      </c>
      <c r="J40" s="599">
        <f t="shared" ref="J40" si="22">SUM(B40:I40)</f>
        <v>288</v>
      </c>
      <c r="M40" s="805" t="s">
        <v>168</v>
      </c>
      <c r="N40" s="849">
        <v>1</v>
      </c>
      <c r="O40" s="849">
        <v>1</v>
      </c>
      <c r="P40" s="849">
        <v>2</v>
      </c>
      <c r="Q40" s="849">
        <v>0</v>
      </c>
      <c r="R40" s="849">
        <v>1</v>
      </c>
      <c r="S40" s="849">
        <v>0</v>
      </c>
      <c r="T40" s="849">
        <v>4</v>
      </c>
      <c r="U40" s="849">
        <v>0</v>
      </c>
      <c r="V40" s="849">
        <v>0</v>
      </c>
      <c r="W40" s="849">
        <v>0</v>
      </c>
      <c r="X40" s="849">
        <v>0</v>
      </c>
      <c r="Y40" s="849">
        <v>0</v>
      </c>
      <c r="Z40" s="849">
        <v>0</v>
      </c>
      <c r="AA40" s="849">
        <v>0</v>
      </c>
      <c r="AB40" s="849">
        <v>9</v>
      </c>
      <c r="AC40" s="849">
        <v>1</v>
      </c>
      <c r="AD40" s="849">
        <v>1</v>
      </c>
      <c r="AE40" s="849">
        <v>0</v>
      </c>
      <c r="AF40" s="849">
        <v>0</v>
      </c>
      <c r="AG40" s="849"/>
    </row>
    <row r="41" spans="1:33" ht="18.75" customHeight="1" x14ac:dyDescent="0.2">
      <c r="A41" s="1078"/>
      <c r="B41" s="845">
        <f>B40/B$14</f>
        <v>0.18253968253968253</v>
      </c>
      <c r="C41" s="845">
        <f t="shared" ref="C41:J41" si="23">C40/C$14</f>
        <v>0.12962962962962962</v>
      </c>
      <c r="D41" s="845">
        <f t="shared" si="23"/>
        <v>0.31606217616580312</v>
      </c>
      <c r="E41" s="845">
        <f t="shared" si="23"/>
        <v>0.18269230769230768</v>
      </c>
      <c r="F41" s="845">
        <f t="shared" si="23"/>
        <v>0.14285714285714285</v>
      </c>
      <c r="G41" s="845">
        <f t="shared" si="23"/>
        <v>0.15789473684210525</v>
      </c>
      <c r="H41" s="845">
        <f t="shared" si="23"/>
        <v>0</v>
      </c>
      <c r="I41" s="845">
        <f t="shared" si="23"/>
        <v>0.17010309278350516</v>
      </c>
      <c r="J41" s="845">
        <f t="shared" si="23"/>
        <v>0.17799752781211373</v>
      </c>
      <c r="M41" s="805" t="s">
        <v>354</v>
      </c>
      <c r="N41" s="849">
        <v>24</v>
      </c>
      <c r="O41" s="849">
        <v>16</v>
      </c>
      <c r="P41" s="849">
        <v>9</v>
      </c>
      <c r="Q41" s="849">
        <v>11</v>
      </c>
      <c r="R41" s="849">
        <v>40</v>
      </c>
      <c r="S41" s="849">
        <v>23</v>
      </c>
      <c r="T41" s="849">
        <v>4</v>
      </c>
      <c r="U41" s="849">
        <v>4</v>
      </c>
      <c r="V41" s="849">
        <v>5</v>
      </c>
      <c r="W41" s="849">
        <v>11</v>
      </c>
      <c r="X41" s="849">
        <v>22</v>
      </c>
      <c r="Y41" s="849">
        <v>1</v>
      </c>
      <c r="Z41" s="849">
        <v>7</v>
      </c>
      <c r="AA41" s="849">
        <v>17</v>
      </c>
      <c r="AB41" s="849">
        <v>59</v>
      </c>
      <c r="AC41" s="849">
        <v>3</v>
      </c>
      <c r="AD41" s="849">
        <v>15</v>
      </c>
      <c r="AE41" s="849">
        <v>1</v>
      </c>
      <c r="AF41" s="849">
        <v>39</v>
      </c>
      <c r="AG41" s="849"/>
    </row>
    <row r="42" spans="1:33" ht="18.75" customHeight="1" x14ac:dyDescent="0.2">
      <c r="A42" s="1077" t="s">
        <v>229</v>
      </c>
      <c r="B42" s="597">
        <f>SUM(N33:P33)</f>
        <v>39</v>
      </c>
      <c r="C42" s="597">
        <f>SUM(Q33:R33)</f>
        <v>27</v>
      </c>
      <c r="D42" s="597">
        <f>SUM(S33:V33)</f>
        <v>35</v>
      </c>
      <c r="E42" s="597">
        <f>SUM(W33:Y33)</f>
        <v>34</v>
      </c>
      <c r="F42" s="597">
        <f>SUM(Z33:AA33)</f>
        <v>41</v>
      </c>
      <c r="G42" s="597">
        <f>SUM(AB33:AD33)</f>
        <v>68</v>
      </c>
      <c r="H42" s="597">
        <f>AE33</f>
        <v>0</v>
      </c>
      <c r="I42" s="597">
        <f>AF33</f>
        <v>24</v>
      </c>
      <c r="J42" s="599">
        <f t="shared" ref="J42" si="24">SUM(B42:I42)</f>
        <v>268</v>
      </c>
      <c r="M42" s="805" t="s">
        <v>355</v>
      </c>
      <c r="N42" s="805">
        <v>12</v>
      </c>
      <c r="O42" s="805">
        <v>7</v>
      </c>
      <c r="P42" s="805">
        <v>3</v>
      </c>
      <c r="Q42" s="805">
        <v>12</v>
      </c>
      <c r="R42" s="805">
        <v>11</v>
      </c>
      <c r="S42" s="805">
        <v>8</v>
      </c>
      <c r="T42" s="805">
        <v>3</v>
      </c>
      <c r="U42" s="805">
        <v>0</v>
      </c>
      <c r="V42" s="805">
        <v>2</v>
      </c>
      <c r="W42" s="805">
        <v>5</v>
      </c>
      <c r="X42" s="805">
        <v>15</v>
      </c>
      <c r="Y42" s="805">
        <v>0</v>
      </c>
      <c r="Z42" s="805">
        <v>1</v>
      </c>
      <c r="AA42" s="805">
        <v>5</v>
      </c>
      <c r="AB42" s="805">
        <v>11</v>
      </c>
      <c r="AC42" s="805">
        <v>1</v>
      </c>
      <c r="AD42" s="805">
        <v>7</v>
      </c>
      <c r="AE42" s="805">
        <v>0</v>
      </c>
      <c r="AF42" s="805">
        <v>20</v>
      </c>
      <c r="AG42" s="849"/>
    </row>
    <row r="43" spans="1:33" ht="18.75" customHeight="1" x14ac:dyDescent="0.2">
      <c r="A43" s="1078"/>
      <c r="B43" s="845">
        <f>B42/B$14</f>
        <v>0.15476190476190477</v>
      </c>
      <c r="C43" s="845">
        <f t="shared" ref="C43:J43" si="25">C42/C$14</f>
        <v>0.125</v>
      </c>
      <c r="D43" s="845">
        <f t="shared" si="25"/>
        <v>0.18134715025906736</v>
      </c>
      <c r="E43" s="845">
        <f>E42/E$14</f>
        <v>0.16346153846153846</v>
      </c>
      <c r="F43" s="845">
        <f t="shared" si="25"/>
        <v>0.26623376623376621</v>
      </c>
      <c r="G43" s="845">
        <f t="shared" si="25"/>
        <v>0.17894736842105263</v>
      </c>
      <c r="H43" s="845">
        <f t="shared" si="25"/>
        <v>0</v>
      </c>
      <c r="I43" s="845">
        <f t="shared" si="25"/>
        <v>0.12371134020618557</v>
      </c>
      <c r="J43" s="845">
        <f t="shared" si="25"/>
        <v>0.16563658838071693</v>
      </c>
      <c r="M43" s="805" t="s">
        <v>169</v>
      </c>
      <c r="N43" s="805">
        <v>1</v>
      </c>
      <c r="O43" s="805">
        <v>1</v>
      </c>
      <c r="P43" s="805">
        <v>0</v>
      </c>
      <c r="Q43" s="805">
        <v>1</v>
      </c>
      <c r="R43" s="805">
        <v>1</v>
      </c>
      <c r="S43" s="805">
        <v>2</v>
      </c>
      <c r="T43" s="805">
        <v>4</v>
      </c>
      <c r="U43" s="805">
        <v>0</v>
      </c>
      <c r="V43" s="805">
        <v>0</v>
      </c>
      <c r="W43" s="805">
        <v>7</v>
      </c>
      <c r="X43" s="805">
        <v>1</v>
      </c>
      <c r="Y43" s="805">
        <v>1</v>
      </c>
      <c r="Z43" s="805">
        <v>0</v>
      </c>
      <c r="AA43" s="805">
        <v>3</v>
      </c>
      <c r="AB43" s="805">
        <v>4</v>
      </c>
      <c r="AC43" s="805">
        <v>5</v>
      </c>
      <c r="AD43" s="805">
        <v>2</v>
      </c>
      <c r="AE43" s="805">
        <v>1</v>
      </c>
      <c r="AF43" s="805">
        <v>5</v>
      </c>
      <c r="AG43" s="849"/>
    </row>
    <row r="44" spans="1:33" ht="18.75" customHeight="1" x14ac:dyDescent="0.2">
      <c r="A44" s="1077" t="s">
        <v>453</v>
      </c>
      <c r="B44" s="597">
        <f>SUM(N34:P34)</f>
        <v>81</v>
      </c>
      <c r="C44" s="597">
        <f>SUM(Q34:R34)</f>
        <v>100</v>
      </c>
      <c r="D44" s="597">
        <f>SUM(S34:V34)</f>
        <v>98</v>
      </c>
      <c r="E44" s="597">
        <f>SUM(W34:Y34)</f>
        <v>64</v>
      </c>
      <c r="F44" s="597">
        <f>SUM(Z34:AA34)</f>
        <v>12</v>
      </c>
      <c r="G44" s="597">
        <f>SUM(AB34:AD34)</f>
        <v>145</v>
      </c>
      <c r="H44" s="597">
        <f>AE34</f>
        <v>9</v>
      </c>
      <c r="I44" s="597">
        <f>AF34</f>
        <v>39</v>
      </c>
      <c r="J44" s="599">
        <f t="shared" ref="J44" si="26">SUM(B44:I44)</f>
        <v>548</v>
      </c>
    </row>
    <row r="45" spans="1:33" ht="18.75" customHeight="1" x14ac:dyDescent="0.2">
      <c r="A45" s="1078"/>
      <c r="B45" s="845">
        <f>B44/B$14</f>
        <v>0.32142857142857145</v>
      </c>
      <c r="C45" s="845">
        <f t="shared" ref="C45:J45" si="27">C44/C$14</f>
        <v>0.46296296296296297</v>
      </c>
      <c r="D45" s="845">
        <f t="shared" si="27"/>
        <v>0.50777202072538863</v>
      </c>
      <c r="E45" s="845">
        <f t="shared" si="27"/>
        <v>0.30769230769230771</v>
      </c>
      <c r="F45" s="845">
        <f t="shared" si="27"/>
        <v>7.792207792207792E-2</v>
      </c>
      <c r="G45" s="845">
        <f t="shared" si="27"/>
        <v>0.38157894736842107</v>
      </c>
      <c r="H45" s="845">
        <f t="shared" si="27"/>
        <v>0.42857142857142855</v>
      </c>
      <c r="I45" s="845">
        <f t="shared" si="27"/>
        <v>0.20103092783505155</v>
      </c>
      <c r="J45" s="845">
        <f t="shared" si="27"/>
        <v>0.33868974042027195</v>
      </c>
    </row>
    <row r="46" spans="1:33" ht="18.75" customHeight="1" x14ac:dyDescent="0.2">
      <c r="A46" s="1077" t="s">
        <v>454</v>
      </c>
      <c r="B46" s="597">
        <f>SUM(N35:P35)</f>
        <v>5</v>
      </c>
      <c r="C46" s="597">
        <f>SUM(Q35:R35)</f>
        <v>6</v>
      </c>
      <c r="D46" s="597">
        <f>SUM(S35:V35)</f>
        <v>31</v>
      </c>
      <c r="E46" s="597">
        <f>SUM(W35:Y35)</f>
        <v>7</v>
      </c>
      <c r="F46" s="597">
        <f>SUM(Z35:AA35)</f>
        <v>5</v>
      </c>
      <c r="G46" s="597">
        <f>SUM(AB35:AD35)</f>
        <v>46</v>
      </c>
      <c r="H46" s="597">
        <f>AE35</f>
        <v>0</v>
      </c>
      <c r="I46" s="597">
        <f>AF35</f>
        <v>7</v>
      </c>
      <c r="J46" s="599">
        <f t="shared" ref="J46" si="28">SUM(B46:I46)</f>
        <v>107</v>
      </c>
    </row>
    <row r="47" spans="1:33" ht="18.75" customHeight="1" x14ac:dyDescent="0.2">
      <c r="A47" s="1078"/>
      <c r="B47" s="845">
        <f>B46/B$14</f>
        <v>1.984126984126984E-2</v>
      </c>
      <c r="C47" s="845">
        <f t="shared" ref="C47:J47" si="29">C46/C$14</f>
        <v>2.7777777777777776E-2</v>
      </c>
      <c r="D47" s="845">
        <f t="shared" si="29"/>
        <v>0.16062176165803108</v>
      </c>
      <c r="E47" s="845">
        <f t="shared" si="29"/>
        <v>3.3653846153846152E-2</v>
      </c>
      <c r="F47" s="845">
        <f t="shared" si="29"/>
        <v>3.2467532467532464E-2</v>
      </c>
      <c r="G47" s="845">
        <f t="shared" si="29"/>
        <v>0.12105263157894737</v>
      </c>
      <c r="H47" s="845">
        <f t="shared" si="29"/>
        <v>0</v>
      </c>
      <c r="I47" s="845">
        <f t="shared" si="29"/>
        <v>3.608247422680412E-2</v>
      </c>
      <c r="J47" s="845">
        <f t="shared" si="29"/>
        <v>6.6131025957972808E-2</v>
      </c>
    </row>
    <row r="48" spans="1:33" ht="18.75" customHeight="1" x14ac:dyDescent="0.2">
      <c r="A48" s="1077" t="s">
        <v>455</v>
      </c>
      <c r="B48" s="597">
        <f>SUM(N36:P36)</f>
        <v>16</v>
      </c>
      <c r="C48" s="597">
        <f>SUM(Q36:R36)</f>
        <v>7</v>
      </c>
      <c r="D48" s="597">
        <f>SUM(S36:V36)</f>
        <v>22</v>
      </c>
      <c r="E48" s="597">
        <f>SUM(W36:Y36)</f>
        <v>8</v>
      </c>
      <c r="F48" s="597">
        <f>SUM(Z36:AA36)</f>
        <v>3</v>
      </c>
      <c r="G48" s="597">
        <f>SUM(AB36:AD36)</f>
        <v>23</v>
      </c>
      <c r="H48" s="597">
        <f>AE36</f>
        <v>0</v>
      </c>
      <c r="I48" s="597">
        <f>AF36</f>
        <v>1</v>
      </c>
      <c r="J48" s="599">
        <f t="shared" ref="J48" si="30">SUM(B48:I48)</f>
        <v>80</v>
      </c>
    </row>
    <row r="49" spans="1:10" ht="18.75" customHeight="1" x14ac:dyDescent="0.2">
      <c r="A49" s="1078"/>
      <c r="B49" s="845">
        <f>B48/B$14</f>
        <v>6.3492063492063489E-2</v>
      </c>
      <c r="C49" s="845">
        <f t="shared" ref="C49:J49" si="31">C48/C$14</f>
        <v>3.2407407407407406E-2</v>
      </c>
      <c r="D49" s="845">
        <f t="shared" si="31"/>
        <v>0.11398963730569948</v>
      </c>
      <c r="E49" s="845">
        <f t="shared" si="31"/>
        <v>3.8461538461538464E-2</v>
      </c>
      <c r="F49" s="845">
        <f t="shared" si="31"/>
        <v>1.948051948051948E-2</v>
      </c>
      <c r="G49" s="845">
        <f t="shared" si="31"/>
        <v>6.0526315789473685E-2</v>
      </c>
      <c r="H49" s="845">
        <f t="shared" si="31"/>
        <v>0</v>
      </c>
      <c r="I49" s="845">
        <f t="shared" si="31"/>
        <v>5.1546391752577319E-3</v>
      </c>
      <c r="J49" s="845">
        <f t="shared" si="31"/>
        <v>4.9443757725587144E-2</v>
      </c>
    </row>
    <row r="50" spans="1:10" ht="18.75" customHeight="1" x14ac:dyDescent="0.2">
      <c r="A50" s="1077" t="s">
        <v>456</v>
      </c>
      <c r="B50" s="597">
        <f>SUM(N37:P37)</f>
        <v>0</v>
      </c>
      <c r="C50" s="597">
        <f>SUM(Q37:R37)</f>
        <v>0</v>
      </c>
      <c r="D50" s="597">
        <f>SUM(S37:V37)</f>
        <v>16</v>
      </c>
      <c r="E50" s="597">
        <f>SUM(W37:Y37)</f>
        <v>0</v>
      </c>
      <c r="F50" s="597">
        <f>SUM(Z37:AA37)</f>
        <v>0</v>
      </c>
      <c r="G50" s="597">
        <f>SUM(AB37:AD37)</f>
        <v>2</v>
      </c>
      <c r="H50" s="597">
        <f>AE37</f>
        <v>0</v>
      </c>
      <c r="I50" s="597">
        <f>AF37</f>
        <v>0</v>
      </c>
      <c r="J50" s="599">
        <f t="shared" ref="J50" si="32">SUM(B50:I50)</f>
        <v>18</v>
      </c>
    </row>
    <row r="51" spans="1:10" ht="18.75" customHeight="1" x14ac:dyDescent="0.2">
      <c r="A51" s="1078"/>
      <c r="B51" s="845">
        <f>B50/B$14</f>
        <v>0</v>
      </c>
      <c r="C51" s="845">
        <f t="shared" ref="C51:J51" si="33">C50/C$14</f>
        <v>0</v>
      </c>
      <c r="D51" s="845">
        <f t="shared" si="33"/>
        <v>8.2901554404145081E-2</v>
      </c>
      <c r="E51" s="845">
        <f t="shared" si="33"/>
        <v>0</v>
      </c>
      <c r="F51" s="845">
        <f t="shared" si="33"/>
        <v>0</v>
      </c>
      <c r="G51" s="845">
        <f t="shared" si="33"/>
        <v>5.263157894736842E-3</v>
      </c>
      <c r="H51" s="845">
        <f t="shared" si="33"/>
        <v>0</v>
      </c>
      <c r="I51" s="845">
        <f t="shared" si="33"/>
        <v>0</v>
      </c>
      <c r="J51" s="845">
        <f t="shared" si="33"/>
        <v>1.1124845488257108E-2</v>
      </c>
    </row>
    <row r="52" spans="1:10" ht="18.75" customHeight="1" x14ac:dyDescent="0.2">
      <c r="A52" s="1077" t="s">
        <v>457</v>
      </c>
      <c r="B52" s="597">
        <f>SUM(N38:P38)</f>
        <v>24</v>
      </c>
      <c r="C52" s="597">
        <f>SUM(Q38:R38)</f>
        <v>1</v>
      </c>
      <c r="D52" s="597">
        <f>SUM(S38:V38)</f>
        <v>43</v>
      </c>
      <c r="E52" s="597">
        <f>SUM(W38:Y38)</f>
        <v>17</v>
      </c>
      <c r="F52" s="597">
        <f>SUM(Z38:AA38)</f>
        <v>16</v>
      </c>
      <c r="G52" s="597">
        <f>SUM(AB38:AD38)</f>
        <v>23</v>
      </c>
      <c r="H52" s="597">
        <f>AE38</f>
        <v>2</v>
      </c>
      <c r="I52" s="597">
        <f>AF38</f>
        <v>17</v>
      </c>
      <c r="J52" s="599">
        <f t="shared" ref="J52" si="34">SUM(B52:I52)</f>
        <v>143</v>
      </c>
    </row>
    <row r="53" spans="1:10" ht="18.75" customHeight="1" x14ac:dyDescent="0.2">
      <c r="A53" s="1078"/>
      <c r="B53" s="845">
        <f>B52/B$14</f>
        <v>9.5238095238095233E-2</v>
      </c>
      <c r="C53" s="845">
        <f t="shared" ref="C53:J53" si="35">C52/C$14</f>
        <v>4.6296296296296294E-3</v>
      </c>
      <c r="D53" s="845">
        <f t="shared" si="35"/>
        <v>0.22279792746113988</v>
      </c>
      <c r="E53" s="845">
        <f t="shared" si="35"/>
        <v>8.1730769230769232E-2</v>
      </c>
      <c r="F53" s="845">
        <f t="shared" si="35"/>
        <v>0.1038961038961039</v>
      </c>
      <c r="G53" s="845">
        <f t="shared" si="35"/>
        <v>6.0526315789473685E-2</v>
      </c>
      <c r="H53" s="845">
        <f t="shared" si="35"/>
        <v>9.5238095238095233E-2</v>
      </c>
      <c r="I53" s="845">
        <f t="shared" si="35"/>
        <v>8.7628865979381437E-2</v>
      </c>
      <c r="J53" s="845">
        <f t="shared" si="35"/>
        <v>8.8380716934487027E-2</v>
      </c>
    </row>
    <row r="54" spans="1:10" ht="18.75" customHeight="1" x14ac:dyDescent="0.2">
      <c r="A54" s="1077" t="s">
        <v>458</v>
      </c>
      <c r="B54" s="597">
        <f>SUM(N39:P39)</f>
        <v>28</v>
      </c>
      <c r="C54" s="597">
        <f>SUM(Q39:R39)</f>
        <v>8</v>
      </c>
      <c r="D54" s="597">
        <f>SUM(S39:V39)</f>
        <v>41</v>
      </c>
      <c r="E54" s="597">
        <f>SUM(W39:Y39)</f>
        <v>17</v>
      </c>
      <c r="F54" s="597">
        <f>SUM(Z39:AA39)</f>
        <v>12</v>
      </c>
      <c r="G54" s="597">
        <f>SUM(AB39:AD39)</f>
        <v>13</v>
      </c>
      <c r="H54" s="597">
        <f>AE39</f>
        <v>1</v>
      </c>
      <c r="I54" s="597">
        <f>AF39</f>
        <v>18</v>
      </c>
      <c r="J54" s="599">
        <f t="shared" ref="J54" si="36">SUM(B54:I54)</f>
        <v>138</v>
      </c>
    </row>
    <row r="55" spans="1:10" ht="18.75" customHeight="1" x14ac:dyDescent="0.2">
      <c r="A55" s="1078"/>
      <c r="B55" s="845">
        <f>B54/B$14</f>
        <v>0.1111111111111111</v>
      </c>
      <c r="C55" s="845">
        <f t="shared" ref="C55:J55" si="37">C54/C$14</f>
        <v>3.7037037037037035E-2</v>
      </c>
      <c r="D55" s="845">
        <f t="shared" si="37"/>
        <v>0.21243523316062177</v>
      </c>
      <c r="E55" s="845">
        <f t="shared" si="37"/>
        <v>8.1730769230769232E-2</v>
      </c>
      <c r="F55" s="845">
        <f t="shared" si="37"/>
        <v>7.792207792207792E-2</v>
      </c>
      <c r="G55" s="845">
        <f t="shared" si="37"/>
        <v>3.4210526315789476E-2</v>
      </c>
      <c r="H55" s="845">
        <f t="shared" si="37"/>
        <v>4.7619047619047616E-2</v>
      </c>
      <c r="I55" s="845">
        <f t="shared" si="37"/>
        <v>9.2783505154639179E-2</v>
      </c>
      <c r="J55" s="845">
        <f t="shared" si="37"/>
        <v>8.5290482076637822E-2</v>
      </c>
    </row>
    <row r="56" spans="1:10" ht="18.75" customHeight="1" x14ac:dyDescent="0.2">
      <c r="A56" s="1077" t="s">
        <v>230</v>
      </c>
      <c r="B56" s="597">
        <f>SUM(N40:P40)</f>
        <v>4</v>
      </c>
      <c r="C56" s="597">
        <f>SUM(Q40:R40)</f>
        <v>1</v>
      </c>
      <c r="D56" s="597">
        <f>SUM(S40:V40)</f>
        <v>4</v>
      </c>
      <c r="E56" s="597">
        <f>SUM(W40:Y40)</f>
        <v>0</v>
      </c>
      <c r="F56" s="597">
        <f>SUM(Z40:AA40)</f>
        <v>0</v>
      </c>
      <c r="G56" s="597">
        <f>SUM(AB40:AD40)</f>
        <v>11</v>
      </c>
      <c r="H56" s="597">
        <f>AE40</f>
        <v>0</v>
      </c>
      <c r="I56" s="597">
        <f>AF40</f>
        <v>0</v>
      </c>
      <c r="J56" s="599">
        <f t="shared" ref="J56" si="38">SUM(B56:I56)</f>
        <v>20</v>
      </c>
    </row>
    <row r="57" spans="1:10" ht="18.75" customHeight="1" x14ac:dyDescent="0.2">
      <c r="A57" s="1078"/>
      <c r="B57" s="845">
        <f>B56/B$14</f>
        <v>1.5873015873015872E-2</v>
      </c>
      <c r="C57" s="845">
        <f t="shared" ref="C57:J57" si="39">C56/C$14</f>
        <v>4.6296296296296294E-3</v>
      </c>
      <c r="D57" s="845">
        <f t="shared" si="39"/>
        <v>2.072538860103627E-2</v>
      </c>
      <c r="E57" s="845">
        <f t="shared" si="39"/>
        <v>0</v>
      </c>
      <c r="F57" s="845">
        <f t="shared" si="39"/>
        <v>0</v>
      </c>
      <c r="G57" s="845">
        <f t="shared" si="39"/>
        <v>2.8947368421052631E-2</v>
      </c>
      <c r="H57" s="845">
        <f t="shared" si="39"/>
        <v>0</v>
      </c>
      <c r="I57" s="845">
        <f t="shared" si="39"/>
        <v>0</v>
      </c>
      <c r="J57" s="845">
        <f t="shared" si="39"/>
        <v>1.2360939431396786E-2</v>
      </c>
    </row>
    <row r="58" spans="1:10" ht="18.75" customHeight="1" x14ac:dyDescent="0.2">
      <c r="A58" s="1077" t="s">
        <v>349</v>
      </c>
      <c r="B58" s="597">
        <f>SUM(N41:P41)</f>
        <v>49</v>
      </c>
      <c r="C58" s="597">
        <f>SUM(Q41:R41)</f>
        <v>51</v>
      </c>
      <c r="D58" s="597">
        <f>SUM(S41:V41)</f>
        <v>36</v>
      </c>
      <c r="E58" s="597">
        <f>SUM(W41:Y41)</f>
        <v>34</v>
      </c>
      <c r="F58" s="597">
        <f>SUM(Z41:AA41)</f>
        <v>24</v>
      </c>
      <c r="G58" s="597">
        <f>SUM(AB41:AD41)</f>
        <v>77</v>
      </c>
      <c r="H58" s="597">
        <f>SUM(AE41)</f>
        <v>1</v>
      </c>
      <c r="I58" s="597">
        <f>SUM(AF41)</f>
        <v>39</v>
      </c>
      <c r="J58" s="599">
        <f>SUM(B58:I58)</f>
        <v>311</v>
      </c>
    </row>
    <row r="59" spans="1:10" ht="18.75" customHeight="1" x14ac:dyDescent="0.2">
      <c r="A59" s="1078"/>
      <c r="B59" s="845">
        <f>B58/B$14</f>
        <v>0.19444444444444445</v>
      </c>
      <c r="C59" s="845">
        <f t="shared" ref="C59:J59" si="40">C58/C$14</f>
        <v>0.2361111111111111</v>
      </c>
      <c r="D59" s="845">
        <f t="shared" si="40"/>
        <v>0.18652849740932642</v>
      </c>
      <c r="E59" s="845">
        <f t="shared" si="40"/>
        <v>0.16346153846153846</v>
      </c>
      <c r="F59" s="845">
        <f t="shared" si="40"/>
        <v>0.15584415584415584</v>
      </c>
      <c r="G59" s="845">
        <f t="shared" si="40"/>
        <v>0.20263157894736841</v>
      </c>
      <c r="H59" s="845">
        <f t="shared" si="40"/>
        <v>4.7619047619047616E-2</v>
      </c>
      <c r="I59" s="845">
        <f t="shared" si="40"/>
        <v>0.20103092783505155</v>
      </c>
      <c r="J59" s="845">
        <f t="shared" si="40"/>
        <v>0.19221260815822003</v>
      </c>
    </row>
    <row r="60" spans="1:10" ht="18.75" customHeight="1" x14ac:dyDescent="0.2">
      <c r="A60" s="1067" t="s">
        <v>350</v>
      </c>
      <c r="B60" s="597">
        <f>SUM(N42:P42)</f>
        <v>22</v>
      </c>
      <c r="C60" s="597">
        <f>SUM(Q42:R42)</f>
        <v>23</v>
      </c>
      <c r="D60" s="597">
        <f>SUM(S42:V42)</f>
        <v>13</v>
      </c>
      <c r="E60" s="597">
        <f>SUM(W42:Y42)</f>
        <v>20</v>
      </c>
      <c r="F60" s="597">
        <f>SUM(Z42:AA42)</f>
        <v>6</v>
      </c>
      <c r="G60" s="597">
        <f>SUM(AB42:AD42)</f>
        <v>19</v>
      </c>
      <c r="H60" s="597">
        <f>SUM(AE42)</f>
        <v>0</v>
      </c>
      <c r="I60" s="597">
        <f>SUM(AF42)</f>
        <v>20</v>
      </c>
      <c r="J60" s="599">
        <f t="shared" ref="J60" si="41">SUM(B60:I60)</f>
        <v>123</v>
      </c>
    </row>
    <row r="61" spans="1:10" ht="18.75" customHeight="1" x14ac:dyDescent="0.2">
      <c r="A61" s="1068"/>
      <c r="B61" s="845">
        <f>B60/B$14</f>
        <v>8.7301587301587297E-2</v>
      </c>
      <c r="C61" s="845">
        <f t="shared" ref="C61:J61" si="42">C60/C$14</f>
        <v>0.10648148148148148</v>
      </c>
      <c r="D61" s="845">
        <f t="shared" si="42"/>
        <v>6.7357512953367879E-2</v>
      </c>
      <c r="E61" s="845">
        <f t="shared" si="42"/>
        <v>9.6153846153846159E-2</v>
      </c>
      <c r="F61" s="845">
        <f t="shared" si="42"/>
        <v>3.896103896103896E-2</v>
      </c>
      <c r="G61" s="845">
        <f t="shared" si="42"/>
        <v>0.05</v>
      </c>
      <c r="H61" s="845">
        <f t="shared" si="42"/>
        <v>0</v>
      </c>
      <c r="I61" s="845">
        <f t="shared" si="42"/>
        <v>0.10309278350515463</v>
      </c>
      <c r="J61" s="845">
        <f t="shared" si="42"/>
        <v>7.6019777503090233E-2</v>
      </c>
    </row>
    <row r="62" spans="1:10" ht="18.75" customHeight="1" x14ac:dyDescent="0.2">
      <c r="A62" s="1077" t="s">
        <v>459</v>
      </c>
      <c r="B62" s="597">
        <f>SUM(N43:P43)</f>
        <v>2</v>
      </c>
      <c r="C62" s="597">
        <f>SUM(Q43:R43)</f>
        <v>2</v>
      </c>
      <c r="D62" s="597">
        <f>SUM(S43:V43)</f>
        <v>6</v>
      </c>
      <c r="E62" s="597">
        <f>SUM(W43:Y43)</f>
        <v>9</v>
      </c>
      <c r="F62" s="597">
        <f>SUM(Z43:AA43)</f>
        <v>3</v>
      </c>
      <c r="G62" s="597">
        <f>SUM(AB43:AD43)</f>
        <v>11</v>
      </c>
      <c r="H62" s="597">
        <f>SUM(AE43)</f>
        <v>1</v>
      </c>
      <c r="I62" s="597">
        <f>SUM(AF43)</f>
        <v>5</v>
      </c>
      <c r="J62" s="599">
        <f>SUM(B62:I62)</f>
        <v>39</v>
      </c>
    </row>
    <row r="63" spans="1:10" ht="18.75" customHeight="1" x14ac:dyDescent="0.2">
      <c r="A63" s="1078"/>
      <c r="B63" s="845">
        <f>B62/B$14</f>
        <v>7.9365079365079361E-3</v>
      </c>
      <c r="C63" s="845">
        <f t="shared" ref="C63:J63" si="43">C62/C$14</f>
        <v>9.2592592592592587E-3</v>
      </c>
      <c r="D63" s="845">
        <f t="shared" si="43"/>
        <v>3.1088082901554404E-2</v>
      </c>
      <c r="E63" s="845">
        <f t="shared" si="43"/>
        <v>4.3269230769230768E-2</v>
      </c>
      <c r="F63" s="845">
        <f t="shared" si="43"/>
        <v>1.948051948051948E-2</v>
      </c>
      <c r="G63" s="845">
        <f t="shared" si="43"/>
        <v>2.8947368421052631E-2</v>
      </c>
      <c r="H63" s="845">
        <f t="shared" si="43"/>
        <v>4.7619047619047616E-2</v>
      </c>
      <c r="I63" s="845">
        <f t="shared" si="43"/>
        <v>2.5773195876288658E-2</v>
      </c>
      <c r="J63" s="845">
        <f t="shared" si="43"/>
        <v>2.4103831891223733E-2</v>
      </c>
    </row>
    <row r="65" spans="1:11" x14ac:dyDescent="0.2">
      <c r="A65" s="371"/>
      <c r="B65" s="371"/>
      <c r="C65" s="371"/>
      <c r="D65" s="371"/>
      <c r="E65" s="371"/>
      <c r="F65" s="371"/>
      <c r="G65" s="371"/>
      <c r="H65" s="371"/>
      <c r="I65" s="371"/>
      <c r="J65" s="95"/>
      <c r="K65" s="95"/>
    </row>
    <row r="66" spans="1:11" x14ac:dyDescent="0.2">
      <c r="A66" s="823"/>
      <c r="B66" s="95"/>
      <c r="C66" s="95"/>
      <c r="D66" s="95"/>
      <c r="E66" s="95"/>
      <c r="F66" s="95"/>
      <c r="G66" s="95"/>
      <c r="H66" s="95"/>
      <c r="I66" s="95"/>
      <c r="J66" s="95"/>
      <c r="K66" s="95"/>
    </row>
    <row r="67" spans="1:11" x14ac:dyDescent="0.2">
      <c r="A67" s="95"/>
      <c r="B67" s="95"/>
      <c r="C67" s="95"/>
      <c r="D67" s="95"/>
      <c r="E67" s="95"/>
      <c r="F67" s="95"/>
      <c r="G67" s="95"/>
      <c r="H67" s="95"/>
      <c r="I67" s="95"/>
      <c r="J67" s="95"/>
      <c r="K67" s="95"/>
    </row>
    <row r="68" spans="1:11" x14ac:dyDescent="0.2">
      <c r="A68" s="95"/>
      <c r="B68" s="95"/>
      <c r="C68" s="95"/>
      <c r="D68" s="95"/>
      <c r="E68" s="95"/>
      <c r="F68" s="95"/>
      <c r="G68" s="95"/>
      <c r="H68" s="95"/>
      <c r="I68" s="95"/>
      <c r="J68" s="95"/>
      <c r="K68" s="95"/>
    </row>
    <row r="69" spans="1:11" x14ac:dyDescent="0.2">
      <c r="A69" s="95"/>
      <c r="B69" s="95"/>
      <c r="C69" s="95"/>
      <c r="D69" s="95"/>
      <c r="E69" s="95"/>
      <c r="F69" s="95"/>
      <c r="G69" s="95"/>
      <c r="H69" s="95"/>
      <c r="I69" s="95"/>
      <c r="J69" s="95"/>
      <c r="K69" s="95"/>
    </row>
    <row r="70" spans="1:11" x14ac:dyDescent="0.2">
      <c r="A70" s="95"/>
      <c r="B70" s="95"/>
      <c r="C70" s="95"/>
      <c r="D70" s="95"/>
      <c r="E70" s="95"/>
      <c r="F70" s="95"/>
      <c r="G70" s="95"/>
      <c r="H70" s="95"/>
      <c r="I70" s="95"/>
      <c r="J70" s="95"/>
      <c r="K70" s="95"/>
    </row>
    <row r="71" spans="1:11" x14ac:dyDescent="0.2">
      <c r="A71" s="95"/>
      <c r="B71" s="95"/>
      <c r="C71" s="95"/>
      <c r="D71" s="95"/>
      <c r="E71" s="95"/>
      <c r="F71" s="95"/>
      <c r="G71" s="95"/>
      <c r="H71" s="95"/>
      <c r="I71" s="95"/>
      <c r="J71" s="95"/>
      <c r="K71" s="95"/>
    </row>
    <row r="72" spans="1:11" x14ac:dyDescent="0.2">
      <c r="A72" s="95"/>
      <c r="B72" s="95"/>
      <c r="C72" s="95"/>
      <c r="D72" s="95"/>
      <c r="E72" s="95"/>
      <c r="F72" s="95"/>
      <c r="G72" s="95"/>
      <c r="H72" s="95"/>
      <c r="I72" s="95"/>
      <c r="J72" s="95"/>
      <c r="K72" s="95"/>
    </row>
    <row r="73" spans="1:11" x14ac:dyDescent="0.2">
      <c r="A73" s="95"/>
      <c r="B73" s="95"/>
      <c r="C73" s="95"/>
      <c r="D73" s="95"/>
      <c r="E73" s="95"/>
      <c r="F73" s="95"/>
      <c r="G73" s="95"/>
      <c r="H73" s="95"/>
      <c r="I73" s="95"/>
      <c r="J73" s="95"/>
      <c r="K73" s="95"/>
    </row>
    <row r="74" spans="1:11" x14ac:dyDescent="0.2">
      <c r="A74" s="95"/>
      <c r="B74" s="95"/>
      <c r="C74" s="95"/>
      <c r="D74" s="95"/>
      <c r="E74" s="95"/>
      <c r="F74" s="95"/>
      <c r="G74" s="95"/>
      <c r="H74" s="95"/>
      <c r="I74" s="95"/>
      <c r="J74" s="95"/>
      <c r="K74" s="95"/>
    </row>
    <row r="75" spans="1:11" x14ac:dyDescent="0.2">
      <c r="A75" s="95"/>
      <c r="B75" s="95"/>
      <c r="C75" s="95"/>
      <c r="D75" s="95"/>
      <c r="E75" s="95"/>
      <c r="F75" s="95"/>
      <c r="G75" s="95"/>
      <c r="H75" s="95"/>
      <c r="I75" s="95"/>
      <c r="J75" s="95"/>
      <c r="K75" s="95"/>
    </row>
    <row r="76" spans="1:11" x14ac:dyDescent="0.2">
      <c r="A76" s="95"/>
      <c r="B76" s="95"/>
      <c r="C76" s="95"/>
      <c r="D76" s="95"/>
      <c r="E76" s="95"/>
      <c r="F76" s="95"/>
      <c r="G76" s="95"/>
      <c r="H76" s="95"/>
      <c r="I76" s="95"/>
      <c r="J76" s="95"/>
      <c r="K76" s="95"/>
    </row>
    <row r="77" spans="1:11" x14ac:dyDescent="0.2">
      <c r="A77" s="95"/>
      <c r="B77" s="95"/>
      <c r="C77" s="95"/>
      <c r="D77" s="95"/>
      <c r="E77" s="95"/>
      <c r="F77" s="95"/>
      <c r="G77" s="95"/>
      <c r="H77" s="95"/>
      <c r="I77" s="95"/>
      <c r="J77" s="95"/>
      <c r="K77" s="95"/>
    </row>
    <row r="78" spans="1:11" x14ac:dyDescent="0.2">
      <c r="A78" s="95"/>
      <c r="B78" s="95"/>
      <c r="C78" s="95"/>
      <c r="D78" s="95"/>
      <c r="E78" s="95"/>
      <c r="F78" s="95"/>
      <c r="G78" s="95"/>
      <c r="H78" s="95"/>
      <c r="I78" s="95"/>
      <c r="J78" s="95"/>
      <c r="K78" s="95"/>
    </row>
    <row r="79" spans="1:11" x14ac:dyDescent="0.2">
      <c r="A79" s="95"/>
      <c r="B79" s="95"/>
      <c r="C79" s="95"/>
      <c r="D79" s="95"/>
      <c r="E79" s="95"/>
      <c r="F79" s="95"/>
      <c r="G79" s="95"/>
      <c r="H79" s="95"/>
      <c r="I79" s="95"/>
      <c r="J79" s="95"/>
      <c r="K79" s="95"/>
    </row>
    <row r="80" spans="1:11" x14ac:dyDescent="0.2">
      <c r="A80" s="95"/>
      <c r="B80" s="95"/>
      <c r="C80" s="95"/>
      <c r="D80" s="95"/>
      <c r="E80" s="95"/>
      <c r="F80" s="95"/>
      <c r="G80" s="95"/>
      <c r="H80" s="95"/>
      <c r="I80" s="95"/>
      <c r="J80" s="95"/>
      <c r="K80" s="95"/>
    </row>
    <row r="81" spans="1:11" x14ac:dyDescent="0.2">
      <c r="A81" s="95"/>
      <c r="B81" s="95"/>
      <c r="C81" s="95"/>
      <c r="D81" s="95"/>
      <c r="E81" s="95"/>
      <c r="F81" s="95"/>
      <c r="G81" s="95"/>
      <c r="H81" s="95"/>
      <c r="I81" s="95"/>
      <c r="J81" s="95"/>
      <c r="K81" s="95"/>
    </row>
    <row r="82" spans="1:11" x14ac:dyDescent="0.2">
      <c r="A82" s="95"/>
      <c r="B82" s="95"/>
      <c r="C82" s="95"/>
      <c r="D82" s="95"/>
      <c r="E82" s="95"/>
      <c r="F82" s="95"/>
      <c r="G82" s="95"/>
      <c r="H82" s="95"/>
      <c r="I82" s="95"/>
      <c r="J82" s="95"/>
      <c r="K82" s="95"/>
    </row>
    <row r="83" spans="1:11" x14ac:dyDescent="0.2">
      <c r="A83" s="95"/>
      <c r="B83" s="95"/>
      <c r="C83" s="95"/>
      <c r="D83" s="95"/>
      <c r="E83" s="95"/>
      <c r="F83" s="95"/>
      <c r="G83" s="95"/>
      <c r="H83" s="95"/>
      <c r="I83" s="95"/>
      <c r="J83" s="95"/>
      <c r="K83" s="95"/>
    </row>
    <row r="84" spans="1:11" x14ac:dyDescent="0.2">
      <c r="A84" s="95"/>
      <c r="B84" s="95"/>
      <c r="C84" s="95"/>
      <c r="D84" s="95"/>
      <c r="E84" s="95"/>
      <c r="F84" s="95"/>
      <c r="G84" s="95"/>
      <c r="H84" s="95"/>
      <c r="I84" s="95"/>
      <c r="J84" s="95"/>
      <c r="K84" s="95"/>
    </row>
    <row r="85" spans="1:11" x14ac:dyDescent="0.2">
      <c r="A85" s="95"/>
      <c r="B85" s="95"/>
      <c r="C85" s="95"/>
      <c r="D85" s="95"/>
      <c r="E85" s="95"/>
      <c r="F85" s="95"/>
      <c r="G85" s="95"/>
      <c r="H85" s="95"/>
      <c r="I85" s="95"/>
      <c r="J85" s="95"/>
      <c r="K85" s="95"/>
    </row>
    <row r="86" spans="1:11" x14ac:dyDescent="0.2">
      <c r="A86" s="823"/>
      <c r="B86" s="95"/>
      <c r="C86" s="95"/>
      <c r="D86" s="95"/>
      <c r="E86" s="95"/>
      <c r="F86" s="95"/>
      <c r="G86" s="95"/>
      <c r="H86" s="95"/>
      <c r="I86" s="95"/>
      <c r="J86" s="95"/>
      <c r="K86" s="95"/>
    </row>
    <row r="87" spans="1:11" x14ac:dyDescent="0.2">
      <c r="A87" s="823"/>
      <c r="B87" s="95"/>
      <c r="C87" s="95"/>
      <c r="D87" s="95"/>
      <c r="E87" s="95"/>
      <c r="F87" s="95"/>
      <c r="G87" s="95"/>
      <c r="H87" s="95"/>
      <c r="I87" s="95"/>
      <c r="J87" s="95"/>
      <c r="K87" s="95"/>
    </row>
    <row r="88" spans="1:11" x14ac:dyDescent="0.2">
      <c r="A88" s="95"/>
      <c r="B88" s="95"/>
      <c r="C88" s="95"/>
      <c r="D88" s="95"/>
      <c r="E88" s="95"/>
      <c r="F88" s="95"/>
      <c r="G88" s="95"/>
      <c r="H88" s="95"/>
      <c r="I88" s="95"/>
      <c r="J88" s="95"/>
      <c r="K88" s="95"/>
    </row>
    <row r="89" spans="1:11" x14ac:dyDescent="0.2">
      <c r="A89" s="95"/>
      <c r="B89" s="95"/>
      <c r="C89" s="95"/>
      <c r="D89" s="95"/>
      <c r="E89" s="95"/>
      <c r="F89" s="95"/>
      <c r="G89" s="95"/>
      <c r="H89" s="95"/>
      <c r="I89" s="95"/>
      <c r="J89" s="95"/>
      <c r="K89" s="95"/>
    </row>
  </sheetData>
  <mergeCells count="27">
    <mergeCell ref="A16:A17"/>
    <mergeCell ref="A4:A5"/>
    <mergeCell ref="A6:A7"/>
    <mergeCell ref="A8:A9"/>
    <mergeCell ref="A10:A11"/>
    <mergeCell ref="A14:A15"/>
    <mergeCell ref="A44:A45"/>
    <mergeCell ref="A18:A19"/>
    <mergeCell ref="A24:A25"/>
    <mergeCell ref="A26:A27"/>
    <mergeCell ref="A28:A29"/>
    <mergeCell ref="A30:A31"/>
    <mergeCell ref="A32:A33"/>
    <mergeCell ref="A34:A35"/>
    <mergeCell ref="A36:A37"/>
    <mergeCell ref="A38:A39"/>
    <mergeCell ref="A40:A41"/>
    <mergeCell ref="A42:A43"/>
    <mergeCell ref="A58:A59"/>
    <mergeCell ref="A60:A61"/>
    <mergeCell ref="A62:A63"/>
    <mergeCell ref="A46:A47"/>
    <mergeCell ref="A48:A49"/>
    <mergeCell ref="A50:A51"/>
    <mergeCell ref="A52:A53"/>
    <mergeCell ref="A54:A55"/>
    <mergeCell ref="A56:A57"/>
  </mergeCells>
  <phoneticPr fontId="2"/>
  <pageMargins left="0.70866141732283472" right="0.70866141732283472" top="0.74803149606299213" bottom="0.74803149606299213" header="0.31496062992125984" footer="0.31496062992125984"/>
  <pageSetup paperSize="9" scale="67" orientation="portrait" r:id="rId1"/>
  <rowBreaks count="1" manualBreakCount="1">
    <brk id="20"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98305" r:id="rId4" name="Button 1">
              <controlPr defaultSize="0" print="0" autoFill="0" autoPict="0" macro="[0]!データ削除_退院阻害病院所在地">
                <anchor moveWithCells="1" sizeWithCells="1">
                  <from>
                    <xdr:col>11</xdr:col>
                    <xdr:colOff>419100</xdr:colOff>
                    <xdr:row>47</xdr:row>
                    <xdr:rowOff>68580</xdr:rowOff>
                  </from>
                  <to>
                    <xdr:col>14</xdr:col>
                    <xdr:colOff>182880</xdr:colOff>
                    <xdr:row>49</xdr:row>
                    <xdr:rowOff>121920</xdr:rowOff>
                  </to>
                </anchor>
              </controlPr>
            </control>
          </mc:Choice>
        </mc:AlternateContent>
      </controls>
    </mc:Choice>
  </mc:AlternateContent>
  <tableParts count="3">
    <tablePart r:id="rId5"/>
    <tablePart r:id="rId6"/>
    <tablePart r:id="rId7"/>
  </tablePart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7BE47-519C-411B-A7D1-8C7C5ED61E05}">
  <sheetPr codeName="Sheet38">
    <tabColor theme="5" tint="0.39997558519241921"/>
    <pageSetUpPr fitToPage="1"/>
  </sheetPr>
  <dimension ref="A1:AK31"/>
  <sheetViews>
    <sheetView showGridLines="0" view="pageBreakPreview" zoomScale="80" zoomScaleNormal="70" zoomScaleSheetLayoutView="80" workbookViewId="0"/>
  </sheetViews>
  <sheetFormatPr defaultColWidth="13.77734375" defaultRowHeight="17.399999999999999" x14ac:dyDescent="0.2"/>
  <cols>
    <col min="1" max="1" width="15.6640625" style="676" customWidth="1"/>
    <col min="2" max="11" width="10.5546875" style="676" bestFit="1" customWidth="1"/>
    <col min="12" max="13" width="8" style="676" hidden="1" customWidth="1"/>
    <col min="14" max="14" width="10.33203125" style="676" hidden="1" customWidth="1"/>
    <col min="15" max="15" width="14.77734375" style="676" hidden="1" customWidth="1"/>
    <col min="16" max="17" width="11.77734375" style="676" hidden="1" customWidth="1"/>
    <col min="18" max="18" width="9.21875" style="676" hidden="1" customWidth="1"/>
    <col min="19" max="19" width="11.77734375" style="676" hidden="1" customWidth="1"/>
    <col min="20" max="20" width="13.44140625" style="676" hidden="1" customWidth="1"/>
    <col min="21" max="21" width="15.109375" style="676" hidden="1" customWidth="1"/>
    <col min="22" max="23" width="11.77734375" style="676" hidden="1" customWidth="1"/>
    <col min="24" max="24" width="15.109375" style="676" hidden="1" customWidth="1"/>
    <col min="25" max="25" width="13.44140625" style="676" hidden="1" customWidth="1"/>
    <col min="26" max="28" width="11.77734375" style="676" hidden="1" customWidth="1"/>
    <col min="29" max="32" width="10.109375" style="676" hidden="1" customWidth="1"/>
    <col min="33" max="33" width="9.21875" style="676" hidden="1" customWidth="1"/>
    <col min="34" max="34" width="12" style="676" hidden="1" customWidth="1"/>
    <col min="35" max="35" width="16.109375" style="676" hidden="1" customWidth="1"/>
    <col min="36" max="36" width="9.21875" style="676" hidden="1" customWidth="1"/>
    <col min="37" max="37" width="13.77734375" style="676" hidden="1" customWidth="1"/>
    <col min="38" max="16384" width="13.77734375" style="676"/>
  </cols>
  <sheetData>
    <row r="1" spans="1:36" s="677" customFormat="1" ht="19.2" x14ac:dyDescent="0.2">
      <c r="A1" s="2" t="s">
        <v>550</v>
      </c>
    </row>
    <row r="2" spans="1:36" ht="18" thickBot="1" x14ac:dyDescent="0.25">
      <c r="A2" s="4"/>
    </row>
    <row r="3" spans="1:36" ht="36" thickTop="1" thickBot="1" x14ac:dyDescent="0.25">
      <c r="A3" s="850"/>
      <c r="B3" s="850" t="s">
        <v>356</v>
      </c>
      <c r="C3" s="850" t="s">
        <v>357</v>
      </c>
      <c r="D3" s="850" t="s">
        <v>358</v>
      </c>
      <c r="E3" s="850" t="s">
        <v>359</v>
      </c>
      <c r="F3" s="850" t="s">
        <v>360</v>
      </c>
      <c r="G3" s="850" t="s">
        <v>361</v>
      </c>
      <c r="H3" s="850" t="s">
        <v>362</v>
      </c>
      <c r="I3" s="850" t="s">
        <v>363</v>
      </c>
      <c r="J3" s="851" t="s">
        <v>378</v>
      </c>
      <c r="K3" s="850" t="s">
        <v>61</v>
      </c>
      <c r="N3" s="676" t="s">
        <v>436</v>
      </c>
      <c r="O3" s="806" t="s">
        <v>364</v>
      </c>
      <c r="P3" s="807" t="s">
        <v>365</v>
      </c>
      <c r="Q3" s="808" t="s">
        <v>366</v>
      </c>
      <c r="R3" s="808" t="s">
        <v>367</v>
      </c>
      <c r="S3" s="808" t="s">
        <v>368</v>
      </c>
      <c r="T3" s="808" t="s">
        <v>369</v>
      </c>
      <c r="U3" s="808" t="s">
        <v>370</v>
      </c>
      <c r="V3" s="808" t="s">
        <v>371</v>
      </c>
      <c r="W3" s="808" t="s">
        <v>372</v>
      </c>
      <c r="X3" s="808" t="s">
        <v>373</v>
      </c>
      <c r="Y3" s="808" t="s">
        <v>386</v>
      </c>
      <c r="Z3" s="808" t="s">
        <v>387</v>
      </c>
      <c r="AA3" s="808" t="s">
        <v>388</v>
      </c>
      <c r="AB3" s="808" t="s">
        <v>389</v>
      </c>
      <c r="AC3" s="808" t="s">
        <v>390</v>
      </c>
      <c r="AD3" s="808" t="s">
        <v>391</v>
      </c>
      <c r="AE3" s="808" t="s">
        <v>392</v>
      </c>
      <c r="AF3" s="808" t="s">
        <v>393</v>
      </c>
      <c r="AG3" s="808" t="s">
        <v>394</v>
      </c>
      <c r="AH3" s="852" t="s">
        <v>429</v>
      </c>
      <c r="AI3" s="852" t="s">
        <v>430</v>
      </c>
      <c r="AJ3" s="852" t="s">
        <v>397</v>
      </c>
    </row>
    <row r="4" spans="1:36" ht="18.75" customHeight="1" thickTop="1" thickBot="1" x14ac:dyDescent="0.25">
      <c r="A4" s="1062" t="s">
        <v>2</v>
      </c>
      <c r="B4" s="597">
        <f>SUM('6-Ⅱ①'!$O4:$Q4)</f>
        <v>17</v>
      </c>
      <c r="C4" s="597">
        <f>SUM('6-Ⅱ①'!$R4:$S4)</f>
        <v>8</v>
      </c>
      <c r="D4" s="597">
        <f>SUM('6-Ⅱ①'!$T4:$W4)</f>
        <v>22</v>
      </c>
      <c r="E4" s="597">
        <f>SUM('6-Ⅱ①'!$X4:$Z4)</f>
        <v>10</v>
      </c>
      <c r="F4" s="597">
        <f>SUM('6-Ⅱ①'!$AA4:$AB4)</f>
        <v>11</v>
      </c>
      <c r="G4" s="597">
        <f>SUM('6-Ⅱ①'!$AC4:$AE4)</f>
        <v>24</v>
      </c>
      <c r="H4" s="597">
        <f>SUM('6-Ⅱ①'!$AF4)</f>
        <v>51</v>
      </c>
      <c r="I4" s="597">
        <f>SUM('6-Ⅱ①'!$AG4)</f>
        <v>15</v>
      </c>
      <c r="J4" s="597">
        <f>SUM('6-Ⅱ①'!$AH4:$AI4)</f>
        <v>7</v>
      </c>
      <c r="K4" s="599">
        <f>SUM(B4:J4)</f>
        <v>165</v>
      </c>
      <c r="N4" s="676" t="s">
        <v>2</v>
      </c>
      <c r="O4" s="853">
        <v>6</v>
      </c>
      <c r="P4" s="854">
        <v>5</v>
      </c>
      <c r="Q4" s="811">
        <v>6</v>
      </c>
      <c r="R4" s="811">
        <v>6</v>
      </c>
      <c r="S4" s="811">
        <v>2</v>
      </c>
      <c r="T4" s="811">
        <v>6</v>
      </c>
      <c r="U4" s="811">
        <v>6</v>
      </c>
      <c r="V4" s="811">
        <v>7</v>
      </c>
      <c r="W4" s="811">
        <v>3</v>
      </c>
      <c r="X4" s="811">
        <v>6</v>
      </c>
      <c r="Y4" s="811">
        <v>3</v>
      </c>
      <c r="Z4" s="811">
        <v>1</v>
      </c>
      <c r="AA4" s="811">
        <v>6</v>
      </c>
      <c r="AB4" s="811">
        <v>5</v>
      </c>
      <c r="AC4" s="811">
        <v>10</v>
      </c>
      <c r="AD4" s="811">
        <v>7</v>
      </c>
      <c r="AE4" s="811">
        <v>7</v>
      </c>
      <c r="AF4" s="811">
        <v>51</v>
      </c>
      <c r="AG4" s="821">
        <v>15</v>
      </c>
      <c r="AH4" s="855">
        <v>7</v>
      </c>
      <c r="AI4" s="856">
        <v>0</v>
      </c>
      <c r="AJ4" s="857"/>
    </row>
    <row r="5" spans="1:36" ht="18.75" customHeight="1" thickTop="1" x14ac:dyDescent="0.2">
      <c r="A5" s="1066"/>
      <c r="B5" s="598">
        <f t="shared" ref="B5:K5" si="0">B4/B$24</f>
        <v>1.4808362369337979E-2</v>
      </c>
      <c r="C5" s="598">
        <f t="shared" si="0"/>
        <v>6.5897858319604614E-3</v>
      </c>
      <c r="D5" s="598">
        <f t="shared" si="0"/>
        <v>1.7656500802568219E-2</v>
      </c>
      <c r="E5" s="598">
        <f t="shared" si="0"/>
        <v>9.5147478591817315E-3</v>
      </c>
      <c r="F5" s="598">
        <f t="shared" si="0"/>
        <v>1.0416666666666666E-2</v>
      </c>
      <c r="G5" s="598">
        <f t="shared" si="0"/>
        <v>8.0455916862219243E-3</v>
      </c>
      <c r="H5" s="598">
        <f t="shared" si="0"/>
        <v>1.8104366347177849E-2</v>
      </c>
      <c r="I5" s="598">
        <f t="shared" si="0"/>
        <v>1.0869565217391304E-2</v>
      </c>
      <c r="J5" s="598">
        <f t="shared" si="0"/>
        <v>6.2949640287769783E-3</v>
      </c>
      <c r="K5" s="598">
        <f t="shared" si="0"/>
        <v>1.1779824373527523E-2</v>
      </c>
      <c r="N5" s="676" t="s">
        <v>3</v>
      </c>
      <c r="O5" s="858">
        <v>5</v>
      </c>
      <c r="P5" s="813">
        <v>12</v>
      </c>
      <c r="Q5" s="813">
        <v>6</v>
      </c>
      <c r="R5" s="813">
        <v>9</v>
      </c>
      <c r="S5" s="813">
        <v>13</v>
      </c>
      <c r="T5" s="813">
        <v>9</v>
      </c>
      <c r="U5" s="813">
        <v>12</v>
      </c>
      <c r="V5" s="813">
        <v>4</v>
      </c>
      <c r="W5" s="813">
        <v>11</v>
      </c>
      <c r="X5" s="813">
        <v>26</v>
      </c>
      <c r="Y5" s="813">
        <v>8</v>
      </c>
      <c r="Z5" s="813">
        <v>2</v>
      </c>
      <c r="AA5" s="813">
        <v>8</v>
      </c>
      <c r="AB5" s="813">
        <v>16</v>
      </c>
      <c r="AC5" s="813">
        <v>19</v>
      </c>
      <c r="AD5" s="813">
        <v>16</v>
      </c>
      <c r="AE5" s="813">
        <v>16</v>
      </c>
      <c r="AF5" s="813">
        <v>109</v>
      </c>
      <c r="AG5" s="820">
        <v>32</v>
      </c>
      <c r="AH5" s="859">
        <v>22</v>
      </c>
      <c r="AI5" s="860">
        <v>3</v>
      </c>
      <c r="AJ5" s="861"/>
    </row>
    <row r="6" spans="1:36" ht="18.75" customHeight="1" x14ac:dyDescent="0.2">
      <c r="A6" s="1062" t="s">
        <v>3</v>
      </c>
      <c r="B6" s="597">
        <f>SUM('6-Ⅱ①'!$O5:$Q5)</f>
        <v>23</v>
      </c>
      <c r="C6" s="597">
        <f>SUM('6-Ⅱ①'!$R5:$S5)</f>
        <v>22</v>
      </c>
      <c r="D6" s="597">
        <f>SUM('6-Ⅱ①'!$T5:$W5)</f>
        <v>36</v>
      </c>
      <c r="E6" s="597">
        <f>SUM('6-Ⅱ①'!$X5:$Z5)</f>
        <v>36</v>
      </c>
      <c r="F6" s="597">
        <f>SUM('6-Ⅱ①'!$AA5:$AB5)</f>
        <v>24</v>
      </c>
      <c r="G6" s="597">
        <f>SUM('6-Ⅱ①'!$AC5:$AE5)</f>
        <v>51</v>
      </c>
      <c r="H6" s="597">
        <f>SUM('6-Ⅱ①'!$AF5)</f>
        <v>109</v>
      </c>
      <c r="I6" s="597">
        <f>SUM('6-Ⅱ①'!$AG5)</f>
        <v>32</v>
      </c>
      <c r="J6" s="597">
        <f>SUM('6-Ⅱ①'!$AH5:$AI5)</f>
        <v>25</v>
      </c>
      <c r="K6" s="599">
        <f>SUM(B6:J6)</f>
        <v>358</v>
      </c>
      <c r="N6" s="676" t="s">
        <v>4</v>
      </c>
      <c r="O6" s="811">
        <v>10</v>
      </c>
      <c r="P6" s="811">
        <v>21</v>
      </c>
      <c r="Q6" s="811">
        <v>8</v>
      </c>
      <c r="R6" s="811">
        <v>18</v>
      </c>
      <c r="S6" s="811">
        <v>18</v>
      </c>
      <c r="T6" s="811">
        <v>12</v>
      </c>
      <c r="U6" s="811">
        <v>6</v>
      </c>
      <c r="V6" s="811">
        <v>10</v>
      </c>
      <c r="W6" s="811">
        <v>7</v>
      </c>
      <c r="X6" s="811">
        <v>14</v>
      </c>
      <c r="Y6" s="811">
        <v>14</v>
      </c>
      <c r="Z6" s="811">
        <v>4</v>
      </c>
      <c r="AA6" s="811">
        <v>21</v>
      </c>
      <c r="AB6" s="811">
        <v>12</v>
      </c>
      <c r="AC6" s="811">
        <v>23</v>
      </c>
      <c r="AD6" s="811">
        <v>24</v>
      </c>
      <c r="AE6" s="811">
        <v>29</v>
      </c>
      <c r="AF6" s="811">
        <v>146</v>
      </c>
      <c r="AG6" s="821">
        <v>30</v>
      </c>
      <c r="AH6" s="855">
        <v>50</v>
      </c>
      <c r="AI6" s="862">
        <v>0</v>
      </c>
      <c r="AJ6" s="857"/>
    </row>
    <row r="7" spans="1:36" ht="18.75" customHeight="1" x14ac:dyDescent="0.2">
      <c r="A7" s="1066"/>
      <c r="B7" s="598">
        <f t="shared" ref="B7:K7" si="1">B6/B$24</f>
        <v>2.0034843205574911E-2</v>
      </c>
      <c r="C7" s="598">
        <f t="shared" si="1"/>
        <v>1.8121911037891267E-2</v>
      </c>
      <c r="D7" s="598">
        <f t="shared" si="1"/>
        <v>2.8892455858747994E-2</v>
      </c>
      <c r="E7" s="598">
        <f t="shared" si="1"/>
        <v>3.4253092293054233E-2</v>
      </c>
      <c r="F7" s="598">
        <f t="shared" si="1"/>
        <v>2.2727272727272728E-2</v>
      </c>
      <c r="G7" s="598">
        <f t="shared" si="1"/>
        <v>1.709688233322159E-2</v>
      </c>
      <c r="H7" s="598">
        <f t="shared" si="1"/>
        <v>3.8693645722399715E-2</v>
      </c>
      <c r="I7" s="598">
        <f t="shared" si="1"/>
        <v>2.318840579710145E-2</v>
      </c>
      <c r="J7" s="598">
        <f t="shared" si="1"/>
        <v>2.2482014388489208E-2</v>
      </c>
      <c r="K7" s="598">
        <f t="shared" si="1"/>
        <v>2.5558649246805169E-2</v>
      </c>
      <c r="N7" s="676" t="s">
        <v>5</v>
      </c>
      <c r="O7" s="813">
        <v>18</v>
      </c>
      <c r="P7" s="813">
        <v>43</v>
      </c>
      <c r="Q7" s="813">
        <v>28</v>
      </c>
      <c r="R7" s="813">
        <v>32</v>
      </c>
      <c r="S7" s="813">
        <v>35</v>
      </c>
      <c r="T7" s="813">
        <v>41</v>
      </c>
      <c r="U7" s="813">
        <v>23</v>
      </c>
      <c r="V7" s="813">
        <v>25</v>
      </c>
      <c r="W7" s="813">
        <v>11</v>
      </c>
      <c r="X7" s="813">
        <v>50</v>
      </c>
      <c r="Y7" s="813">
        <v>26</v>
      </c>
      <c r="Z7" s="813">
        <v>6</v>
      </c>
      <c r="AA7" s="813">
        <v>33</v>
      </c>
      <c r="AB7" s="813">
        <v>48</v>
      </c>
      <c r="AC7" s="813">
        <v>57</v>
      </c>
      <c r="AD7" s="813">
        <v>54</v>
      </c>
      <c r="AE7" s="813">
        <v>48</v>
      </c>
      <c r="AF7" s="813">
        <v>254</v>
      </c>
      <c r="AG7" s="820">
        <v>102</v>
      </c>
      <c r="AH7" s="859">
        <v>82</v>
      </c>
      <c r="AI7" s="860">
        <v>12</v>
      </c>
      <c r="AJ7" s="861"/>
    </row>
    <row r="8" spans="1:36" ht="18.75" customHeight="1" x14ac:dyDescent="0.2">
      <c r="A8" s="1062" t="s">
        <v>4</v>
      </c>
      <c r="B8" s="597">
        <f>SUM('6-Ⅱ①'!$O6:$Q6)</f>
        <v>39</v>
      </c>
      <c r="C8" s="597">
        <f>SUM('6-Ⅱ①'!$R6:$S6)</f>
        <v>36</v>
      </c>
      <c r="D8" s="597">
        <f>SUM('6-Ⅱ①'!$T6:$W6)</f>
        <v>35</v>
      </c>
      <c r="E8" s="597">
        <f>SUM('6-Ⅱ①'!$X6:$Z6)</f>
        <v>32</v>
      </c>
      <c r="F8" s="597">
        <f>SUM('6-Ⅱ①'!$AA6:$AB6)</f>
        <v>33</v>
      </c>
      <c r="G8" s="597">
        <f>SUM('6-Ⅱ①'!$AC6:$AE6)</f>
        <v>76</v>
      </c>
      <c r="H8" s="597">
        <f>SUM('6-Ⅱ①'!$AF6)</f>
        <v>146</v>
      </c>
      <c r="I8" s="597">
        <f>SUM('6-Ⅱ①'!$AG6)</f>
        <v>30</v>
      </c>
      <c r="J8" s="597">
        <f>SUM('6-Ⅱ①'!$AH6:$AI6)</f>
        <v>50</v>
      </c>
      <c r="K8" s="599">
        <f>SUM(B8:J8)</f>
        <v>477</v>
      </c>
      <c r="N8" s="676" t="s">
        <v>6</v>
      </c>
      <c r="O8" s="811">
        <v>47</v>
      </c>
      <c r="P8" s="811">
        <v>78</v>
      </c>
      <c r="Q8" s="811">
        <v>61</v>
      </c>
      <c r="R8" s="811">
        <v>93</v>
      </c>
      <c r="S8" s="811">
        <v>82</v>
      </c>
      <c r="T8" s="811">
        <v>85</v>
      </c>
      <c r="U8" s="811">
        <v>59</v>
      </c>
      <c r="V8" s="811">
        <v>54</v>
      </c>
      <c r="W8" s="811">
        <v>44</v>
      </c>
      <c r="X8" s="811">
        <v>133</v>
      </c>
      <c r="Y8" s="811">
        <v>63</v>
      </c>
      <c r="Z8" s="811">
        <v>12</v>
      </c>
      <c r="AA8" s="811">
        <v>76</v>
      </c>
      <c r="AB8" s="811">
        <v>93</v>
      </c>
      <c r="AC8" s="811">
        <v>126</v>
      </c>
      <c r="AD8" s="811">
        <v>141</v>
      </c>
      <c r="AE8" s="811">
        <v>112</v>
      </c>
      <c r="AF8" s="811">
        <v>471</v>
      </c>
      <c r="AG8" s="821">
        <v>239</v>
      </c>
      <c r="AH8" s="855">
        <v>156</v>
      </c>
      <c r="AI8" s="862">
        <v>13</v>
      </c>
      <c r="AJ8" s="857"/>
    </row>
    <row r="9" spans="1:36" ht="18.75" customHeight="1" x14ac:dyDescent="0.2">
      <c r="A9" s="1066"/>
      <c r="B9" s="598">
        <f t="shared" ref="B9:K9" si="2">B8/B$24</f>
        <v>3.3972125435540068E-2</v>
      </c>
      <c r="C9" s="598">
        <f t="shared" si="2"/>
        <v>2.9654036243822075E-2</v>
      </c>
      <c r="D9" s="598">
        <f t="shared" si="2"/>
        <v>2.8089887640449437E-2</v>
      </c>
      <c r="E9" s="598">
        <f t="shared" si="2"/>
        <v>3.0447193149381543E-2</v>
      </c>
      <c r="F9" s="598">
        <f t="shared" si="2"/>
        <v>3.125E-2</v>
      </c>
      <c r="G9" s="598">
        <f t="shared" si="2"/>
        <v>2.5477707006369428E-2</v>
      </c>
      <c r="H9" s="598">
        <f t="shared" si="2"/>
        <v>5.1828186013489527E-2</v>
      </c>
      <c r="I9" s="598">
        <f t="shared" si="2"/>
        <v>2.1739130434782608E-2</v>
      </c>
      <c r="J9" s="598">
        <f t="shared" si="2"/>
        <v>4.4964028776978415E-2</v>
      </c>
      <c r="K9" s="598">
        <f t="shared" si="2"/>
        <v>3.4054401370743198E-2</v>
      </c>
      <c r="N9" s="676" t="s">
        <v>7</v>
      </c>
      <c r="O9" s="813">
        <v>57</v>
      </c>
      <c r="P9" s="813">
        <v>65</v>
      </c>
      <c r="Q9" s="813">
        <v>70</v>
      </c>
      <c r="R9" s="813">
        <v>108</v>
      </c>
      <c r="S9" s="813">
        <v>72</v>
      </c>
      <c r="T9" s="813">
        <v>70</v>
      </c>
      <c r="U9" s="813">
        <v>39</v>
      </c>
      <c r="V9" s="813">
        <v>51</v>
      </c>
      <c r="W9" s="813">
        <v>35</v>
      </c>
      <c r="X9" s="813">
        <v>135</v>
      </c>
      <c r="Y9" s="813">
        <v>49</v>
      </c>
      <c r="Z9" s="813">
        <v>21</v>
      </c>
      <c r="AA9" s="813">
        <v>70</v>
      </c>
      <c r="AB9" s="813">
        <v>102</v>
      </c>
      <c r="AC9" s="813">
        <v>127</v>
      </c>
      <c r="AD9" s="813">
        <v>199</v>
      </c>
      <c r="AE9" s="813">
        <v>130</v>
      </c>
      <c r="AF9" s="813">
        <v>521</v>
      </c>
      <c r="AG9" s="820">
        <v>233</v>
      </c>
      <c r="AH9" s="859">
        <v>183</v>
      </c>
      <c r="AI9" s="860">
        <v>9</v>
      </c>
      <c r="AJ9" s="861"/>
    </row>
    <row r="10" spans="1:36" ht="18.75" customHeight="1" x14ac:dyDescent="0.2">
      <c r="A10" s="1062" t="s">
        <v>5</v>
      </c>
      <c r="B10" s="597">
        <f>SUM('6-Ⅱ①'!$O7:$Q7)</f>
        <v>89</v>
      </c>
      <c r="C10" s="597">
        <f>SUM('6-Ⅱ①'!$R7:$S7)</f>
        <v>67</v>
      </c>
      <c r="D10" s="597">
        <f>SUM('6-Ⅱ①'!$T7:$W7)</f>
        <v>100</v>
      </c>
      <c r="E10" s="597">
        <f>SUM('6-Ⅱ①'!$X7:$Z7)</f>
        <v>82</v>
      </c>
      <c r="F10" s="597">
        <f>SUM('6-Ⅱ①'!$AA7:$AB7)</f>
        <v>81</v>
      </c>
      <c r="G10" s="597">
        <f>SUM('6-Ⅱ①'!$AC7:$AE7)</f>
        <v>159</v>
      </c>
      <c r="H10" s="597">
        <f>SUM('6-Ⅱ①'!$AF7)</f>
        <v>254</v>
      </c>
      <c r="I10" s="597">
        <f>SUM('6-Ⅱ①'!$AG7)</f>
        <v>102</v>
      </c>
      <c r="J10" s="597">
        <f>SUM('6-Ⅱ①'!$AH7:$AI7)</f>
        <v>94</v>
      </c>
      <c r="K10" s="599">
        <f>SUM(B10:J10)</f>
        <v>1028</v>
      </c>
      <c r="N10" s="676" t="s">
        <v>8</v>
      </c>
      <c r="O10" s="811">
        <v>86</v>
      </c>
      <c r="P10" s="811">
        <v>104</v>
      </c>
      <c r="Q10" s="811">
        <v>94</v>
      </c>
      <c r="R10" s="811">
        <v>164</v>
      </c>
      <c r="S10" s="811">
        <v>130</v>
      </c>
      <c r="T10" s="811">
        <v>104</v>
      </c>
      <c r="U10" s="811">
        <v>57</v>
      </c>
      <c r="V10" s="811">
        <v>73</v>
      </c>
      <c r="W10" s="811">
        <v>63</v>
      </c>
      <c r="X10" s="811">
        <v>154</v>
      </c>
      <c r="Y10" s="811">
        <v>71</v>
      </c>
      <c r="Z10" s="811">
        <v>15</v>
      </c>
      <c r="AA10" s="811">
        <v>119</v>
      </c>
      <c r="AB10" s="811">
        <v>138</v>
      </c>
      <c r="AC10" s="811">
        <v>220</v>
      </c>
      <c r="AD10" s="811">
        <v>294</v>
      </c>
      <c r="AE10" s="811">
        <v>194</v>
      </c>
      <c r="AF10" s="811">
        <v>641</v>
      </c>
      <c r="AG10" s="821">
        <v>323</v>
      </c>
      <c r="AH10" s="855">
        <v>275</v>
      </c>
      <c r="AI10" s="862">
        <v>13</v>
      </c>
      <c r="AJ10" s="857"/>
    </row>
    <row r="11" spans="1:36" ht="18.75" customHeight="1" x14ac:dyDescent="0.2">
      <c r="A11" s="1066"/>
      <c r="B11" s="598">
        <f t="shared" ref="B11:K11" si="3">B10/B$24</f>
        <v>7.7526132404181186E-2</v>
      </c>
      <c r="C11" s="598">
        <f t="shared" si="3"/>
        <v>5.5189456342668863E-2</v>
      </c>
      <c r="D11" s="598">
        <f t="shared" si="3"/>
        <v>8.0256821829855537E-2</v>
      </c>
      <c r="E11" s="598">
        <f t="shared" si="3"/>
        <v>7.8020932445290195E-2</v>
      </c>
      <c r="F11" s="598">
        <f t="shared" si="3"/>
        <v>7.6704545454545456E-2</v>
      </c>
      <c r="G11" s="598">
        <f t="shared" si="3"/>
        <v>5.3302044921220246E-2</v>
      </c>
      <c r="H11" s="598">
        <f t="shared" si="3"/>
        <v>9.0166844160454382E-2</v>
      </c>
      <c r="I11" s="598">
        <f t="shared" si="3"/>
        <v>7.3913043478260873E-2</v>
      </c>
      <c r="J11" s="598">
        <f t="shared" si="3"/>
        <v>8.4532374100719426E-2</v>
      </c>
      <c r="K11" s="598">
        <f t="shared" si="3"/>
        <v>7.3391875490826014E-2</v>
      </c>
      <c r="N11" s="676" t="s">
        <v>9</v>
      </c>
      <c r="O11" s="813">
        <v>76</v>
      </c>
      <c r="P11" s="813">
        <v>97</v>
      </c>
      <c r="Q11" s="813">
        <v>84</v>
      </c>
      <c r="R11" s="813">
        <v>192</v>
      </c>
      <c r="S11" s="813">
        <v>165</v>
      </c>
      <c r="T11" s="813">
        <v>84</v>
      </c>
      <c r="U11" s="813">
        <v>46</v>
      </c>
      <c r="V11" s="813">
        <v>67</v>
      </c>
      <c r="W11" s="813">
        <v>60</v>
      </c>
      <c r="X11" s="813">
        <v>118</v>
      </c>
      <c r="Y11" s="813">
        <v>63</v>
      </c>
      <c r="Z11" s="813">
        <v>20</v>
      </c>
      <c r="AA11" s="813">
        <v>115</v>
      </c>
      <c r="AB11" s="813">
        <v>131</v>
      </c>
      <c r="AC11" s="813">
        <v>214</v>
      </c>
      <c r="AD11" s="813">
        <v>366</v>
      </c>
      <c r="AE11" s="813">
        <v>274</v>
      </c>
      <c r="AF11" s="813">
        <v>527</v>
      </c>
      <c r="AG11" s="820">
        <v>318</v>
      </c>
      <c r="AH11" s="859">
        <v>226</v>
      </c>
      <c r="AI11" s="860">
        <v>7</v>
      </c>
      <c r="AJ11" s="861"/>
    </row>
    <row r="12" spans="1:36" ht="18.75" customHeight="1" x14ac:dyDescent="0.2">
      <c r="A12" s="1062" t="s">
        <v>6</v>
      </c>
      <c r="B12" s="597">
        <f>SUM('6-Ⅱ①'!$O8:$Q8)</f>
        <v>186</v>
      </c>
      <c r="C12" s="597">
        <f>SUM('6-Ⅱ①'!$R8:$S8)</f>
        <v>175</v>
      </c>
      <c r="D12" s="597">
        <f>SUM('6-Ⅱ①'!$T8:$W8)</f>
        <v>242</v>
      </c>
      <c r="E12" s="597">
        <f>SUM('6-Ⅱ①'!$X8:$Z8)</f>
        <v>208</v>
      </c>
      <c r="F12" s="597">
        <f>SUM('6-Ⅱ①'!$AA8:$AB8)</f>
        <v>169</v>
      </c>
      <c r="G12" s="597">
        <f>SUM('6-Ⅱ①'!$AC8:$AE8)</f>
        <v>379</v>
      </c>
      <c r="H12" s="597">
        <f>SUM('6-Ⅱ①'!$AF8)</f>
        <v>471</v>
      </c>
      <c r="I12" s="597">
        <f>SUM('6-Ⅱ①'!$AG8)</f>
        <v>239</v>
      </c>
      <c r="J12" s="597">
        <f>SUM('6-Ⅱ①'!$AH8:$AI8)</f>
        <v>169</v>
      </c>
      <c r="K12" s="599">
        <f>SUM(B12:J12)</f>
        <v>2238</v>
      </c>
      <c r="N12" s="676" t="s">
        <v>10</v>
      </c>
      <c r="O12" s="811">
        <v>18</v>
      </c>
      <c r="P12" s="811">
        <v>27</v>
      </c>
      <c r="Q12" s="811">
        <v>16</v>
      </c>
      <c r="R12" s="811">
        <v>40</v>
      </c>
      <c r="S12" s="811">
        <v>35</v>
      </c>
      <c r="T12" s="811">
        <v>25</v>
      </c>
      <c r="U12" s="811">
        <v>8</v>
      </c>
      <c r="V12" s="811">
        <v>12</v>
      </c>
      <c r="W12" s="811">
        <v>17</v>
      </c>
      <c r="X12" s="811">
        <v>19</v>
      </c>
      <c r="Y12" s="811">
        <v>13</v>
      </c>
      <c r="Z12" s="811">
        <v>5</v>
      </c>
      <c r="AA12" s="811">
        <v>28</v>
      </c>
      <c r="AB12" s="811">
        <v>35</v>
      </c>
      <c r="AC12" s="811">
        <v>71</v>
      </c>
      <c r="AD12" s="811">
        <v>125</v>
      </c>
      <c r="AE12" s="811">
        <v>80</v>
      </c>
      <c r="AF12" s="811">
        <v>97</v>
      </c>
      <c r="AG12" s="821">
        <v>88</v>
      </c>
      <c r="AH12" s="855">
        <v>53</v>
      </c>
      <c r="AI12" s="862">
        <v>1</v>
      </c>
      <c r="AJ12" s="857"/>
    </row>
    <row r="13" spans="1:36" ht="18.75" customHeight="1" x14ac:dyDescent="0.2">
      <c r="A13" s="1066"/>
      <c r="B13" s="598">
        <f t="shared" ref="B13:K13" si="4">B12/B$24</f>
        <v>0.16202090592334495</v>
      </c>
      <c r="C13" s="598">
        <f t="shared" si="4"/>
        <v>0.1441515650741351</v>
      </c>
      <c r="D13" s="598">
        <f t="shared" si="4"/>
        <v>0.1942215088282504</v>
      </c>
      <c r="E13" s="598">
        <f t="shared" si="4"/>
        <v>0.19790675547098002</v>
      </c>
      <c r="F13" s="598">
        <f t="shared" si="4"/>
        <v>0.16003787878787878</v>
      </c>
      <c r="G13" s="598">
        <f t="shared" si="4"/>
        <v>0.12705330204492121</v>
      </c>
      <c r="H13" s="598">
        <f t="shared" si="4"/>
        <v>0.16719914802981894</v>
      </c>
      <c r="I13" s="598">
        <f t="shared" si="4"/>
        <v>0.17318840579710146</v>
      </c>
      <c r="J13" s="598">
        <f t="shared" si="4"/>
        <v>0.15197841726618705</v>
      </c>
      <c r="K13" s="598">
        <f t="shared" si="4"/>
        <v>0.15977725423002784</v>
      </c>
      <c r="N13" s="676" t="s">
        <v>61</v>
      </c>
      <c r="O13" s="813"/>
      <c r="P13" s="813"/>
      <c r="Q13" s="813"/>
      <c r="R13" s="813"/>
      <c r="S13" s="813"/>
      <c r="T13" s="813"/>
      <c r="U13" s="813"/>
      <c r="V13" s="813"/>
      <c r="W13" s="813"/>
      <c r="X13" s="813"/>
      <c r="Y13" s="813"/>
      <c r="Z13" s="813"/>
      <c r="AA13" s="813"/>
      <c r="AB13" s="813"/>
      <c r="AC13" s="813"/>
      <c r="AD13" s="813"/>
      <c r="AE13" s="813"/>
      <c r="AF13" s="813"/>
      <c r="AG13" s="820"/>
      <c r="AH13" s="721"/>
      <c r="AI13" s="860"/>
      <c r="AJ13" s="861"/>
    </row>
    <row r="14" spans="1:36" ht="18.75" customHeight="1" thickBot="1" x14ac:dyDescent="0.25">
      <c r="A14" s="1062" t="s">
        <v>7</v>
      </c>
      <c r="B14" s="597">
        <f>SUM('6-Ⅱ①'!$O9:$Q9)</f>
        <v>192</v>
      </c>
      <c r="C14" s="597">
        <f>SUM('6-Ⅱ①'!$R9:$S9)</f>
        <v>180</v>
      </c>
      <c r="D14" s="597">
        <f>SUM('6-Ⅱ①'!$T9:$W9)</f>
        <v>195</v>
      </c>
      <c r="E14" s="597">
        <f>SUM('6-Ⅱ①'!$X9:$Z9)</f>
        <v>205</v>
      </c>
      <c r="F14" s="597">
        <f>SUM('6-Ⅱ①'!$AA9:$AB9)</f>
        <v>172</v>
      </c>
      <c r="G14" s="597">
        <f>SUM('6-Ⅱ①'!$AC9:$AE9)</f>
        <v>456</v>
      </c>
      <c r="H14" s="597">
        <f>SUM('6-Ⅱ①'!$AF9)</f>
        <v>521</v>
      </c>
      <c r="I14" s="597">
        <f>SUM('6-Ⅱ①'!$AG9)</f>
        <v>233</v>
      </c>
      <c r="J14" s="597">
        <f>SUM('6-Ⅱ①'!$AH9:$AI9)</f>
        <v>192</v>
      </c>
      <c r="K14" s="599">
        <f>SUM(B14:J14)</f>
        <v>2346</v>
      </c>
      <c r="N14" s="863"/>
      <c r="O14" s="864" t="s">
        <v>482</v>
      </c>
      <c r="P14" s="864" t="s">
        <v>483</v>
      </c>
      <c r="Q14" s="864" t="s">
        <v>484</v>
      </c>
      <c r="R14" s="864" t="s">
        <v>485</v>
      </c>
      <c r="S14" s="864" t="s">
        <v>486</v>
      </c>
      <c r="T14" s="864" t="s">
        <v>487</v>
      </c>
      <c r="U14" s="864" t="s">
        <v>488</v>
      </c>
      <c r="V14" s="864" t="s">
        <v>489</v>
      </c>
      <c r="W14" s="864" t="s">
        <v>490</v>
      </c>
      <c r="X14" s="864" t="s">
        <v>491</v>
      </c>
      <c r="Y14" s="864" t="s">
        <v>492</v>
      </c>
      <c r="Z14" s="864" t="s">
        <v>493</v>
      </c>
      <c r="AA14" s="864" t="s">
        <v>494</v>
      </c>
      <c r="AB14" s="864" t="s">
        <v>495</v>
      </c>
      <c r="AC14" s="864" t="s">
        <v>496</v>
      </c>
      <c r="AD14" s="864" t="s">
        <v>497</v>
      </c>
      <c r="AE14" s="864" t="s">
        <v>498</v>
      </c>
      <c r="AF14" s="864" t="s">
        <v>499</v>
      </c>
      <c r="AG14" s="864" t="s">
        <v>500</v>
      </c>
      <c r="AH14" s="865" t="s">
        <v>501</v>
      </c>
      <c r="AI14" s="866" t="s">
        <v>396</v>
      </c>
      <c r="AJ14" s="867" t="s">
        <v>397</v>
      </c>
    </row>
    <row r="15" spans="1:36" ht="18.75" customHeight="1" thickTop="1" thickBot="1" x14ac:dyDescent="0.25">
      <c r="A15" s="1066"/>
      <c r="B15" s="598">
        <f t="shared" ref="B15:K15" si="5">B14/B$24</f>
        <v>0.1672473867595819</v>
      </c>
      <c r="C15" s="598">
        <f t="shared" si="5"/>
        <v>0.14827018121911037</v>
      </c>
      <c r="D15" s="598">
        <f t="shared" si="5"/>
        <v>0.1565008025682183</v>
      </c>
      <c r="E15" s="598">
        <f t="shared" si="5"/>
        <v>0.19505233111322551</v>
      </c>
      <c r="F15" s="598">
        <f t="shared" si="5"/>
        <v>0.16287878787878787</v>
      </c>
      <c r="G15" s="598">
        <f t="shared" si="5"/>
        <v>0.15286624203821655</v>
      </c>
      <c r="H15" s="598">
        <f t="shared" si="5"/>
        <v>0.18494852680156196</v>
      </c>
      <c r="I15" s="598">
        <f t="shared" si="5"/>
        <v>0.16884057971014493</v>
      </c>
      <c r="J15" s="598">
        <f t="shared" si="5"/>
        <v>0.17266187050359713</v>
      </c>
      <c r="K15" s="598">
        <f t="shared" si="5"/>
        <v>0.16748768472906403</v>
      </c>
      <c r="N15" s="676" t="s">
        <v>145</v>
      </c>
      <c r="O15" s="868">
        <v>108</v>
      </c>
      <c r="P15" s="869">
        <v>185</v>
      </c>
      <c r="Q15" s="821">
        <v>152</v>
      </c>
      <c r="R15" s="821">
        <v>214</v>
      </c>
      <c r="S15" s="821">
        <v>191</v>
      </c>
      <c r="T15" s="821">
        <v>197</v>
      </c>
      <c r="U15" s="821">
        <v>128</v>
      </c>
      <c r="V15" s="821">
        <v>127</v>
      </c>
      <c r="W15" s="821">
        <v>100</v>
      </c>
      <c r="X15" s="821">
        <v>301</v>
      </c>
      <c r="Y15" s="821">
        <v>140</v>
      </c>
      <c r="Z15" s="821">
        <v>37</v>
      </c>
      <c r="AA15" s="821">
        <v>183</v>
      </c>
      <c r="AB15" s="821">
        <v>230</v>
      </c>
      <c r="AC15" s="821">
        <v>297</v>
      </c>
      <c r="AD15" s="821">
        <v>338</v>
      </c>
      <c r="AE15" s="821">
        <v>278</v>
      </c>
      <c r="AF15" s="821">
        <v>1303</v>
      </c>
      <c r="AG15" s="821">
        <v>539</v>
      </c>
      <c r="AH15" s="855">
        <v>410</v>
      </c>
      <c r="AI15" s="862">
        <v>33</v>
      </c>
      <c r="AJ15" s="857"/>
    </row>
    <row r="16" spans="1:36" ht="18.75" customHeight="1" thickTop="1" x14ac:dyDescent="0.2">
      <c r="A16" s="1062" t="s">
        <v>8</v>
      </c>
      <c r="B16" s="597">
        <f>SUM('6-Ⅱ①'!$O10:$Q10)</f>
        <v>284</v>
      </c>
      <c r="C16" s="597">
        <f>SUM('6-Ⅱ①'!$R10:$S10)</f>
        <v>294</v>
      </c>
      <c r="D16" s="597">
        <f>SUM('6-Ⅱ①'!$T10:$W10)</f>
        <v>297</v>
      </c>
      <c r="E16" s="597">
        <f>SUM('6-Ⅱ①'!$X10:$Z10)</f>
        <v>240</v>
      </c>
      <c r="F16" s="597">
        <f>SUM('6-Ⅱ①'!$AA10:$AB10)</f>
        <v>257</v>
      </c>
      <c r="G16" s="597">
        <f>SUM('6-Ⅱ①'!$AC10:$AE10)</f>
        <v>708</v>
      </c>
      <c r="H16" s="597">
        <f>SUM('6-Ⅱ①'!$AF10)</f>
        <v>641</v>
      </c>
      <c r="I16" s="597">
        <f>SUM('6-Ⅱ①'!$AG10)</f>
        <v>323</v>
      </c>
      <c r="J16" s="597">
        <f>SUM('6-Ⅱ①'!$AH10:$AI10)</f>
        <v>288</v>
      </c>
      <c r="K16" s="599">
        <f>SUM(B16:J16)</f>
        <v>3332</v>
      </c>
      <c r="N16" s="676" t="s">
        <v>246</v>
      </c>
      <c r="O16" s="818">
        <v>215</v>
      </c>
      <c r="P16" s="821">
        <v>267</v>
      </c>
      <c r="Q16" s="821">
        <v>221</v>
      </c>
      <c r="R16" s="821">
        <v>448</v>
      </c>
      <c r="S16" s="821">
        <v>361</v>
      </c>
      <c r="T16" s="821">
        <v>239</v>
      </c>
      <c r="U16" s="821">
        <v>128</v>
      </c>
      <c r="V16" s="821">
        <v>176</v>
      </c>
      <c r="W16" s="821">
        <v>151</v>
      </c>
      <c r="X16" s="821">
        <v>354</v>
      </c>
      <c r="Y16" s="821">
        <v>170</v>
      </c>
      <c r="Z16" s="821">
        <v>49</v>
      </c>
      <c r="AA16" s="821">
        <v>293</v>
      </c>
      <c r="AB16" s="821">
        <v>350</v>
      </c>
      <c r="AC16" s="821">
        <v>570</v>
      </c>
      <c r="AD16" s="821">
        <v>888</v>
      </c>
      <c r="AE16" s="821">
        <v>612</v>
      </c>
      <c r="AF16" s="821">
        <v>1514</v>
      </c>
      <c r="AG16" s="821">
        <v>841</v>
      </c>
      <c r="AH16" s="855">
        <v>644</v>
      </c>
      <c r="AI16" s="862">
        <v>25</v>
      </c>
      <c r="AJ16" s="857"/>
    </row>
    <row r="17" spans="1:36" ht="18.75" customHeight="1" x14ac:dyDescent="0.2">
      <c r="A17" s="1066"/>
      <c r="B17" s="598">
        <f t="shared" ref="B17:K17" si="6">B16/B$24</f>
        <v>0.24738675958188153</v>
      </c>
      <c r="C17" s="598">
        <f t="shared" si="6"/>
        <v>0.24217462932454695</v>
      </c>
      <c r="D17" s="598">
        <f t="shared" si="6"/>
        <v>0.23836276083467095</v>
      </c>
      <c r="E17" s="598">
        <f t="shared" si="6"/>
        <v>0.22835394862036157</v>
      </c>
      <c r="F17" s="598">
        <f t="shared" si="6"/>
        <v>0.24337121212121213</v>
      </c>
      <c r="G17" s="598">
        <f t="shared" si="6"/>
        <v>0.23734495474354678</v>
      </c>
      <c r="H17" s="598">
        <f t="shared" si="6"/>
        <v>0.22754703585374511</v>
      </c>
      <c r="I17" s="598">
        <f t="shared" si="6"/>
        <v>0.23405797101449274</v>
      </c>
      <c r="J17" s="598">
        <f t="shared" si="6"/>
        <v>0.25899280575539568</v>
      </c>
      <c r="K17" s="598">
        <f t="shared" si="6"/>
        <v>0.23788105947026486</v>
      </c>
      <c r="AJ17" s="810"/>
    </row>
    <row r="18" spans="1:36" ht="18.75" customHeight="1" x14ac:dyDescent="0.2">
      <c r="A18" s="1062" t="s">
        <v>9</v>
      </c>
      <c r="B18" s="597">
        <f>SUM('6-Ⅱ①'!$O11:$Q11)</f>
        <v>257</v>
      </c>
      <c r="C18" s="597">
        <f>SUM('6-Ⅱ①'!$R11:$S11)</f>
        <v>357</v>
      </c>
      <c r="D18" s="597">
        <f>SUM('6-Ⅱ①'!$T11:$W11)</f>
        <v>257</v>
      </c>
      <c r="E18" s="597">
        <f>SUM('6-Ⅱ①'!$X11:$Z11)</f>
        <v>201</v>
      </c>
      <c r="F18" s="597">
        <f>SUM('6-Ⅱ①'!$AA11:$AB11)</f>
        <v>246</v>
      </c>
      <c r="G18" s="597">
        <f>SUM('6-Ⅱ①'!$AC11:$AE11)</f>
        <v>854</v>
      </c>
      <c r="H18" s="597">
        <f>SUM('6-Ⅱ①'!$AF11)</f>
        <v>527</v>
      </c>
      <c r="I18" s="597">
        <f>SUM('6-Ⅱ①'!$AG11)</f>
        <v>318</v>
      </c>
      <c r="J18" s="597">
        <f>SUM('6-Ⅱ①'!$AH11:$AI11)</f>
        <v>233</v>
      </c>
      <c r="K18" s="599">
        <f>SUM(B18:J18)</f>
        <v>3250</v>
      </c>
      <c r="AJ18" s="810"/>
    </row>
    <row r="19" spans="1:36" ht="18.75" customHeight="1" x14ac:dyDescent="0.2">
      <c r="A19" s="1066"/>
      <c r="B19" s="598">
        <f t="shared" ref="B19:K19" si="7">B18/B$24</f>
        <v>0.22386759581881532</v>
      </c>
      <c r="C19" s="598">
        <f t="shared" si="7"/>
        <v>0.29406919275123561</v>
      </c>
      <c r="D19" s="598">
        <f t="shared" si="7"/>
        <v>0.20626003210272872</v>
      </c>
      <c r="E19" s="598">
        <f t="shared" si="7"/>
        <v>0.19124643196955279</v>
      </c>
      <c r="F19" s="598">
        <f t="shared" si="7"/>
        <v>0.23295454545454544</v>
      </c>
      <c r="G19" s="598">
        <f t="shared" si="7"/>
        <v>0.28628897083473015</v>
      </c>
      <c r="H19" s="598">
        <f t="shared" si="7"/>
        <v>0.18707845225417111</v>
      </c>
      <c r="I19" s="598">
        <f t="shared" si="7"/>
        <v>0.23043478260869565</v>
      </c>
      <c r="J19" s="598">
        <f t="shared" si="7"/>
        <v>0.20953237410071943</v>
      </c>
      <c r="K19" s="598">
        <f t="shared" si="7"/>
        <v>0.23202684372099663</v>
      </c>
      <c r="AJ19" s="810"/>
    </row>
    <row r="20" spans="1:36" ht="18.75" customHeight="1" x14ac:dyDescent="0.2">
      <c r="A20" s="1062" t="s">
        <v>10</v>
      </c>
      <c r="B20" s="597">
        <f>SUM('6-Ⅱ①'!$O12:$Q12)</f>
        <v>61</v>
      </c>
      <c r="C20" s="597">
        <f>SUM('6-Ⅱ①'!$R12:$S12)</f>
        <v>75</v>
      </c>
      <c r="D20" s="597">
        <f>SUM('6-Ⅱ①'!$T12:$W12)</f>
        <v>62</v>
      </c>
      <c r="E20" s="597">
        <f>SUM('6-Ⅱ①'!$X12:$Z12)</f>
        <v>37</v>
      </c>
      <c r="F20" s="597">
        <f>SUM('6-Ⅱ①'!$AA12:$AB12)</f>
        <v>63</v>
      </c>
      <c r="G20" s="597">
        <f>SUM('6-Ⅱ①'!$AC12:$AE12)</f>
        <v>276</v>
      </c>
      <c r="H20" s="597">
        <f>SUM('6-Ⅱ①'!$AF12)</f>
        <v>97</v>
      </c>
      <c r="I20" s="597">
        <f>SUM('6-Ⅱ①'!$AG12)</f>
        <v>88</v>
      </c>
      <c r="J20" s="597">
        <f>SUM('6-Ⅱ①'!$AH12:$AI12)</f>
        <v>54</v>
      </c>
      <c r="K20" s="599">
        <f>SUM(B20:J20)</f>
        <v>813</v>
      </c>
      <c r="AJ20" s="810"/>
    </row>
    <row r="21" spans="1:36" ht="18.75" customHeight="1" x14ac:dyDescent="0.2">
      <c r="A21" s="1066"/>
      <c r="B21" s="598">
        <f t="shared" ref="B21:K21" si="8">B20/B$24</f>
        <v>5.3135888501742161E-2</v>
      </c>
      <c r="C21" s="598">
        <f t="shared" si="8"/>
        <v>6.1779242174629323E-2</v>
      </c>
      <c r="D21" s="598">
        <f t="shared" si="8"/>
        <v>4.9759229534510431E-2</v>
      </c>
      <c r="E21" s="598">
        <f t="shared" si="8"/>
        <v>3.5204567078972404E-2</v>
      </c>
      <c r="F21" s="598">
        <f t="shared" si="8"/>
        <v>5.9659090909090912E-2</v>
      </c>
      <c r="G21" s="598">
        <f t="shared" si="8"/>
        <v>9.2524304391552126E-2</v>
      </c>
      <c r="H21" s="598">
        <f t="shared" si="8"/>
        <v>3.4433794817181396E-2</v>
      </c>
      <c r="I21" s="598">
        <f t="shared" si="8"/>
        <v>6.3768115942028983E-2</v>
      </c>
      <c r="J21" s="598">
        <f t="shared" si="8"/>
        <v>4.8561151079136694E-2</v>
      </c>
      <c r="K21" s="598">
        <f t="shared" si="8"/>
        <v>5.80424073677447E-2</v>
      </c>
      <c r="AJ21" s="810"/>
    </row>
    <row r="22" spans="1:36" ht="18.75" customHeight="1" x14ac:dyDescent="0.2">
      <c r="A22" s="1062" t="s">
        <v>347</v>
      </c>
      <c r="B22" s="597">
        <v>0</v>
      </c>
      <c r="C22" s="597">
        <v>0</v>
      </c>
      <c r="D22" s="597">
        <v>0</v>
      </c>
      <c r="E22" s="597">
        <v>0</v>
      </c>
      <c r="F22" s="597">
        <v>0</v>
      </c>
      <c r="G22" s="597">
        <v>0</v>
      </c>
      <c r="H22" s="597">
        <v>0</v>
      </c>
      <c r="I22" s="597">
        <v>0</v>
      </c>
      <c r="J22" s="597">
        <v>0</v>
      </c>
      <c r="K22" s="599">
        <f>SUM(B22:J22)</f>
        <v>0</v>
      </c>
    </row>
    <row r="23" spans="1:36" ht="18.75" customHeight="1" x14ac:dyDescent="0.2">
      <c r="A23" s="1066"/>
      <c r="B23" s="598">
        <f t="shared" ref="B23:K23" si="9">B22/B$24</f>
        <v>0</v>
      </c>
      <c r="C23" s="598">
        <f t="shared" si="9"/>
        <v>0</v>
      </c>
      <c r="D23" s="598">
        <f t="shared" si="9"/>
        <v>0</v>
      </c>
      <c r="E23" s="598">
        <f t="shared" si="9"/>
        <v>0</v>
      </c>
      <c r="F23" s="598">
        <f t="shared" si="9"/>
        <v>0</v>
      </c>
      <c r="G23" s="598">
        <f t="shared" si="9"/>
        <v>0</v>
      </c>
      <c r="H23" s="598">
        <f t="shared" si="9"/>
        <v>0</v>
      </c>
      <c r="I23" s="598">
        <f t="shared" si="9"/>
        <v>0</v>
      </c>
      <c r="J23" s="598">
        <f t="shared" si="9"/>
        <v>0</v>
      </c>
      <c r="K23" s="598">
        <f t="shared" si="9"/>
        <v>0</v>
      </c>
    </row>
    <row r="24" spans="1:36" ht="18.75" customHeight="1" x14ac:dyDescent="0.2">
      <c r="A24" s="870" t="s">
        <v>11</v>
      </c>
      <c r="B24" s="871">
        <f t="shared" ref="B24:I24" si="10">B4+B6+B8+B10+B12+B14+B16+B18+B20</f>
        <v>1148</v>
      </c>
      <c r="C24" s="871">
        <f t="shared" si="10"/>
        <v>1214</v>
      </c>
      <c r="D24" s="871">
        <f t="shared" si="10"/>
        <v>1246</v>
      </c>
      <c r="E24" s="871">
        <f t="shared" si="10"/>
        <v>1051</v>
      </c>
      <c r="F24" s="871">
        <f t="shared" si="10"/>
        <v>1056</v>
      </c>
      <c r="G24" s="871">
        <f t="shared" si="10"/>
        <v>2983</v>
      </c>
      <c r="H24" s="871">
        <f t="shared" si="10"/>
        <v>2817</v>
      </c>
      <c r="I24" s="871">
        <f t="shared" si="10"/>
        <v>1380</v>
      </c>
      <c r="J24" s="871">
        <f>J4+J6+J8+J10+J12+J14+J16+J18+J20+J22</f>
        <v>1112</v>
      </c>
      <c r="K24" s="872">
        <f>SUM(B24:J24)</f>
        <v>14007</v>
      </c>
    </row>
    <row r="25" spans="1:36" ht="18.75" customHeight="1" x14ac:dyDescent="0.2">
      <c r="A25" s="873"/>
      <c r="B25" s="874">
        <f t="shared" ref="B25:K25" si="11">SUM(B5,B7,B9,B11,B13,B15,B17,B19,B21)</f>
        <v>1</v>
      </c>
      <c r="C25" s="874">
        <f t="shared" si="11"/>
        <v>1</v>
      </c>
      <c r="D25" s="874">
        <f t="shared" si="11"/>
        <v>0.99999999999999989</v>
      </c>
      <c r="E25" s="874">
        <f t="shared" si="11"/>
        <v>1</v>
      </c>
      <c r="F25" s="874">
        <f t="shared" si="11"/>
        <v>1</v>
      </c>
      <c r="G25" s="874">
        <f t="shared" si="11"/>
        <v>1</v>
      </c>
      <c r="H25" s="874">
        <f t="shared" si="11"/>
        <v>1</v>
      </c>
      <c r="I25" s="874">
        <f t="shared" si="11"/>
        <v>1</v>
      </c>
      <c r="J25" s="874">
        <f t="shared" si="11"/>
        <v>1</v>
      </c>
      <c r="K25" s="874">
        <f t="shared" si="11"/>
        <v>0.99999999999999989</v>
      </c>
    </row>
    <row r="26" spans="1:36" ht="18.75" customHeight="1" x14ac:dyDescent="0.2">
      <c r="A26" s="1087" t="s">
        <v>503</v>
      </c>
      <c r="B26" s="599">
        <f>SUM('6-Ⅱ①'!$O15:$Q15)</f>
        <v>445</v>
      </c>
      <c r="C26" s="599">
        <f>SUM('6-Ⅱ①'!$R15:$S15)</f>
        <v>405</v>
      </c>
      <c r="D26" s="599">
        <f>SUM('6-Ⅱ①'!$T15:$W15)</f>
        <v>552</v>
      </c>
      <c r="E26" s="599">
        <f>SUM('6-Ⅱ①'!$X15:$Z15)</f>
        <v>478</v>
      </c>
      <c r="F26" s="599">
        <f>SUM('6-Ⅱ①'!$AA15:$AB15)</f>
        <v>413</v>
      </c>
      <c r="G26" s="599">
        <f>SUM('6-Ⅱ①'!$AC15:$AE15)</f>
        <v>913</v>
      </c>
      <c r="H26" s="599">
        <f>SUM('6-Ⅱ①'!$AF15)</f>
        <v>1303</v>
      </c>
      <c r="I26" s="599">
        <f>SUM('6-Ⅱ①'!$AG15)</f>
        <v>539</v>
      </c>
      <c r="J26" s="599">
        <f>SUM('6-Ⅱ①'!$AH15:$AI15)</f>
        <v>443</v>
      </c>
      <c r="K26" s="599">
        <f>SUM(B26:J26)</f>
        <v>5491</v>
      </c>
    </row>
    <row r="27" spans="1:36" ht="18.75" customHeight="1" x14ac:dyDescent="0.2">
      <c r="A27" s="1088"/>
      <c r="B27" s="822">
        <f t="shared" ref="B27:K27" si="12">B26/B$24</f>
        <v>0.3876306620209059</v>
      </c>
      <c r="C27" s="822">
        <f t="shared" si="12"/>
        <v>0.33360790774299837</v>
      </c>
      <c r="D27" s="822">
        <f t="shared" si="12"/>
        <v>0.44301765650080255</v>
      </c>
      <c r="E27" s="822">
        <f t="shared" si="12"/>
        <v>0.45480494766888679</v>
      </c>
      <c r="F27" s="822">
        <f t="shared" si="12"/>
        <v>0.39109848484848486</v>
      </c>
      <c r="G27" s="822">
        <f t="shared" si="12"/>
        <v>0.30606771706335906</v>
      </c>
      <c r="H27" s="822">
        <f t="shared" si="12"/>
        <v>0.4625488107916223</v>
      </c>
      <c r="I27" s="822">
        <f t="shared" si="12"/>
        <v>0.39057971014492754</v>
      </c>
      <c r="J27" s="822">
        <f t="shared" si="12"/>
        <v>0.3983812949640288</v>
      </c>
      <c r="K27" s="822">
        <f t="shared" si="12"/>
        <v>0.39201827657599769</v>
      </c>
    </row>
    <row r="28" spans="1:36" x14ac:dyDescent="0.2">
      <c r="A28" s="1087" t="s">
        <v>83</v>
      </c>
      <c r="B28" s="597">
        <f>SUM('6-Ⅱ①'!$O16:$Q16)</f>
        <v>703</v>
      </c>
      <c r="C28" s="597">
        <f>SUM('6-Ⅱ①'!$R16:$S16)</f>
        <v>809</v>
      </c>
      <c r="D28" s="597">
        <f>SUM('6-Ⅱ①'!$T16:$W16)</f>
        <v>694</v>
      </c>
      <c r="E28" s="597">
        <f>SUM('6-Ⅱ①'!$X16:$Z16)</f>
        <v>573</v>
      </c>
      <c r="F28" s="597">
        <f>SUM('6-Ⅱ①'!$AA16:$AB16)</f>
        <v>643</v>
      </c>
      <c r="G28" s="597">
        <f>SUM('6-Ⅱ①'!$AC16:$AE16)</f>
        <v>2070</v>
      </c>
      <c r="H28" s="597">
        <f>SUM('6-Ⅱ①'!$AF16)</f>
        <v>1514</v>
      </c>
      <c r="I28" s="597">
        <f>SUM('6-Ⅱ①'!$AG16)</f>
        <v>841</v>
      </c>
      <c r="J28" s="597">
        <f>SUM('6-Ⅱ①'!$AH16:$AI16)</f>
        <v>669</v>
      </c>
      <c r="K28" s="599">
        <f>SUM(B28:J28)</f>
        <v>8516</v>
      </c>
    </row>
    <row r="29" spans="1:36" x14ac:dyDescent="0.2">
      <c r="A29" s="1088"/>
      <c r="B29" s="822">
        <f t="shared" ref="B29:K29" si="13">B28/B$24</f>
        <v>0.6123693379790941</v>
      </c>
      <c r="C29" s="822">
        <f t="shared" si="13"/>
        <v>0.66639209225700169</v>
      </c>
      <c r="D29" s="822">
        <f t="shared" si="13"/>
        <v>0.5569823434991974</v>
      </c>
      <c r="E29" s="822">
        <f t="shared" si="13"/>
        <v>0.54519505233111321</v>
      </c>
      <c r="F29" s="822">
        <f t="shared" si="13"/>
        <v>0.60890151515151514</v>
      </c>
      <c r="G29" s="822">
        <f t="shared" si="13"/>
        <v>0.693932282936641</v>
      </c>
      <c r="H29" s="822">
        <f t="shared" si="13"/>
        <v>0.53745118920837776</v>
      </c>
      <c r="I29" s="822">
        <f t="shared" si="13"/>
        <v>0.60942028985507246</v>
      </c>
      <c r="J29" s="822">
        <f t="shared" si="13"/>
        <v>0.60161870503597126</v>
      </c>
      <c r="K29" s="822">
        <f t="shared" si="13"/>
        <v>0.60798172342400225</v>
      </c>
    </row>
    <row r="30" spans="1:36" x14ac:dyDescent="0.2">
      <c r="A30" s="1062" t="s">
        <v>347</v>
      </c>
      <c r="B30" s="597">
        <v>0</v>
      </c>
      <c r="C30" s="597">
        <v>0</v>
      </c>
      <c r="D30" s="597">
        <v>0</v>
      </c>
      <c r="E30" s="597">
        <v>0</v>
      </c>
      <c r="F30" s="597">
        <v>0</v>
      </c>
      <c r="G30" s="597">
        <v>0</v>
      </c>
      <c r="H30" s="597">
        <v>0</v>
      </c>
      <c r="I30" s="597">
        <v>0</v>
      </c>
      <c r="J30" s="597">
        <v>0</v>
      </c>
      <c r="K30" s="599">
        <f>SUM(B30:J30)</f>
        <v>0</v>
      </c>
    </row>
    <row r="31" spans="1:36" x14ac:dyDescent="0.2">
      <c r="A31" s="1066"/>
      <c r="B31" s="598">
        <f t="shared" ref="B31:K31" si="14">B30/B$24</f>
        <v>0</v>
      </c>
      <c r="C31" s="598">
        <f t="shared" si="14"/>
        <v>0</v>
      </c>
      <c r="D31" s="598">
        <f t="shared" si="14"/>
        <v>0</v>
      </c>
      <c r="E31" s="598">
        <f t="shared" si="14"/>
        <v>0</v>
      </c>
      <c r="F31" s="598">
        <f t="shared" si="14"/>
        <v>0</v>
      </c>
      <c r="G31" s="598">
        <f t="shared" si="14"/>
        <v>0</v>
      </c>
      <c r="H31" s="598">
        <f t="shared" si="14"/>
        <v>0</v>
      </c>
      <c r="I31" s="598">
        <f t="shared" si="14"/>
        <v>0</v>
      </c>
      <c r="J31" s="598">
        <f t="shared" si="14"/>
        <v>0</v>
      </c>
      <c r="K31" s="598">
        <f t="shared" si="14"/>
        <v>0</v>
      </c>
    </row>
  </sheetData>
  <mergeCells count="13">
    <mergeCell ref="A14:A15"/>
    <mergeCell ref="A4:A5"/>
    <mergeCell ref="A6:A7"/>
    <mergeCell ref="A8:A9"/>
    <mergeCell ref="A10:A11"/>
    <mergeCell ref="A12:A13"/>
    <mergeCell ref="A30:A31"/>
    <mergeCell ref="A16:A17"/>
    <mergeCell ref="A18:A19"/>
    <mergeCell ref="A20:A21"/>
    <mergeCell ref="A22:A23"/>
    <mergeCell ref="A26:A27"/>
    <mergeCell ref="A28:A29"/>
  </mergeCells>
  <phoneticPr fontId="2"/>
  <printOptions horizontalCentered="1"/>
  <pageMargins left="0.70866141732283472" right="0.70866141732283472" top="0.74803149606299213" bottom="0.74803149606299213"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9329" r:id="rId4" name="Button 1">
              <controlPr defaultSize="0" print="0" autoFill="0" autoPict="0" macro="[0]!データ削除_年齢区分入院時住所地">
                <anchor moveWithCells="1" sizeWithCells="1">
                  <from>
                    <xdr:col>11</xdr:col>
                    <xdr:colOff>541020</xdr:colOff>
                    <xdr:row>21</xdr:row>
                    <xdr:rowOff>114300</xdr:rowOff>
                  </from>
                  <to>
                    <xdr:col>14</xdr:col>
                    <xdr:colOff>914400</xdr:colOff>
                    <xdr:row>23</xdr:row>
                    <xdr:rowOff>137160</xdr:rowOff>
                  </to>
                </anchor>
              </controlPr>
            </control>
          </mc:Choice>
        </mc:AlternateContent>
      </controls>
    </mc:Choice>
  </mc:AlternateContent>
  <tableParts count="2">
    <tablePart r:id="rId5"/>
    <tablePart r:id="rId6"/>
  </tablePart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C4705-5830-4DCE-AF6C-103FBD7570A9}">
  <sheetPr codeName="Sheet39">
    <tabColor theme="5" tint="0.39997558519241921"/>
    <pageSetUpPr fitToPage="1"/>
  </sheetPr>
  <dimension ref="A1:AJ28"/>
  <sheetViews>
    <sheetView showGridLines="0" view="pageBreakPreview" zoomScale="90" zoomScaleNormal="80" zoomScaleSheetLayoutView="90" workbookViewId="0"/>
  </sheetViews>
  <sheetFormatPr defaultColWidth="13.77734375" defaultRowHeight="17.399999999999999" x14ac:dyDescent="0.2"/>
  <cols>
    <col min="1" max="1" width="13.77734375" style="676" customWidth="1"/>
    <col min="2" max="11" width="8.6640625" style="676" customWidth="1"/>
    <col min="12" max="12" width="7.6640625" style="676" hidden="1" customWidth="1"/>
    <col min="13" max="13" width="10" style="676" hidden="1" customWidth="1"/>
    <col min="14" max="14" width="10.77734375" style="676" hidden="1" customWidth="1"/>
    <col min="15" max="16" width="12.44140625" style="676" hidden="1" customWidth="1"/>
    <col min="17" max="17" width="8.88671875" style="676" hidden="1" customWidth="1"/>
    <col min="18" max="18" width="12.44140625" style="676" hidden="1" customWidth="1"/>
    <col min="19" max="19" width="14.21875" style="676" hidden="1" customWidth="1"/>
    <col min="20" max="20" width="16.109375" style="676" hidden="1" customWidth="1"/>
    <col min="21" max="22" width="12.44140625" style="676" hidden="1" customWidth="1"/>
    <col min="23" max="23" width="16.109375" style="676" hidden="1" customWidth="1"/>
    <col min="24" max="24" width="14.21875" style="676" hidden="1" customWidth="1"/>
    <col min="25" max="27" width="12.44140625" style="676" hidden="1" customWidth="1"/>
    <col min="28" max="31" width="10.77734375" style="676" hidden="1" customWidth="1"/>
    <col min="32" max="32" width="8.88671875" style="676" hidden="1" customWidth="1"/>
    <col min="33" max="33" width="10.77734375" style="676" hidden="1" customWidth="1"/>
    <col min="34" max="34" width="14.21875" style="676" hidden="1" customWidth="1"/>
    <col min="35" max="35" width="9.44140625" style="676" hidden="1" customWidth="1"/>
    <col min="36" max="36" width="13.77734375" style="676" hidden="1" customWidth="1"/>
    <col min="37" max="16384" width="13.77734375" style="676"/>
  </cols>
  <sheetData>
    <row r="1" spans="1:35" s="677" customFormat="1" ht="19.2" x14ac:dyDescent="0.2">
      <c r="A1" s="2" t="s">
        <v>551</v>
      </c>
    </row>
    <row r="2" spans="1:35" ht="18" thickBot="1" x14ac:dyDescent="0.25">
      <c r="A2" s="4"/>
    </row>
    <row r="3" spans="1:35" ht="36" thickTop="1" thickBot="1" x14ac:dyDescent="0.25">
      <c r="A3" s="850"/>
      <c r="B3" s="850" t="s">
        <v>356</v>
      </c>
      <c r="C3" s="850" t="s">
        <v>357</v>
      </c>
      <c r="D3" s="850" t="s">
        <v>358</v>
      </c>
      <c r="E3" s="850" t="s">
        <v>359</v>
      </c>
      <c r="F3" s="850" t="s">
        <v>360</v>
      </c>
      <c r="G3" s="850" t="s">
        <v>361</v>
      </c>
      <c r="H3" s="850" t="s">
        <v>362</v>
      </c>
      <c r="I3" s="850" t="s">
        <v>363</v>
      </c>
      <c r="J3" s="851" t="s">
        <v>378</v>
      </c>
      <c r="K3" s="850" t="s">
        <v>61</v>
      </c>
      <c r="M3" s="875" t="s">
        <v>436</v>
      </c>
      <c r="N3" s="623" t="s">
        <v>364</v>
      </c>
      <c r="O3" s="623" t="s">
        <v>365</v>
      </c>
      <c r="P3" s="623" t="s">
        <v>366</v>
      </c>
      <c r="Q3" s="623" t="s">
        <v>367</v>
      </c>
      <c r="R3" s="623" t="s">
        <v>368</v>
      </c>
      <c r="S3" s="623" t="s">
        <v>369</v>
      </c>
      <c r="T3" s="623" t="s">
        <v>370</v>
      </c>
      <c r="U3" s="623" t="s">
        <v>371</v>
      </c>
      <c r="V3" s="623" t="s">
        <v>372</v>
      </c>
      <c r="W3" s="623" t="s">
        <v>373</v>
      </c>
      <c r="X3" s="623" t="s">
        <v>386</v>
      </c>
      <c r="Y3" s="623" t="s">
        <v>387</v>
      </c>
      <c r="Z3" s="623" t="s">
        <v>388</v>
      </c>
      <c r="AA3" s="623" t="s">
        <v>389</v>
      </c>
      <c r="AB3" s="623" t="s">
        <v>390</v>
      </c>
      <c r="AC3" s="623" t="s">
        <v>391</v>
      </c>
      <c r="AD3" s="623" t="s">
        <v>392</v>
      </c>
      <c r="AE3" s="623" t="s">
        <v>393</v>
      </c>
      <c r="AF3" s="623" t="s">
        <v>394</v>
      </c>
      <c r="AG3" s="623" t="s">
        <v>429</v>
      </c>
      <c r="AH3" s="623" t="s">
        <v>430</v>
      </c>
      <c r="AI3" s="623" t="s">
        <v>398</v>
      </c>
    </row>
    <row r="4" spans="1:35" ht="18.75" customHeight="1" thickTop="1" x14ac:dyDescent="0.2">
      <c r="A4" s="804" t="s">
        <v>505</v>
      </c>
      <c r="B4" s="597">
        <f>SUM(N4:P5)</f>
        <v>2</v>
      </c>
      <c r="C4" s="597">
        <f>SUM(Q4:R5)</f>
        <v>4</v>
      </c>
      <c r="D4" s="597">
        <f>SUM(S4:V5)</f>
        <v>5</v>
      </c>
      <c r="E4" s="597">
        <f>SUM(W4:Y5)</f>
        <v>3</v>
      </c>
      <c r="F4" s="597">
        <f>SUM(Z4:AA5)</f>
        <v>4</v>
      </c>
      <c r="G4" s="597">
        <f>SUM(AB4:AD5)</f>
        <v>2</v>
      </c>
      <c r="H4" s="597">
        <f>SUM(AE4:AE5)</f>
        <v>15</v>
      </c>
      <c r="I4" s="597">
        <f>SUM(AF4:AF5)</f>
        <v>4</v>
      </c>
      <c r="J4" s="597">
        <f>SUM(AG4:AH5)</f>
        <v>2</v>
      </c>
      <c r="K4" s="599">
        <f>SUM(B4:J4)</f>
        <v>41</v>
      </c>
      <c r="M4" s="626" t="s">
        <v>659</v>
      </c>
      <c r="N4" s="372">
        <v>1</v>
      </c>
      <c r="O4" s="372"/>
      <c r="P4" s="372">
        <v>1</v>
      </c>
      <c r="Q4" s="372">
        <v>1</v>
      </c>
      <c r="R4" s="372">
        <v>3</v>
      </c>
      <c r="S4" s="372">
        <v>1</v>
      </c>
      <c r="T4" s="372">
        <v>3</v>
      </c>
      <c r="U4" s="372"/>
      <c r="V4" s="372">
        <v>1</v>
      </c>
      <c r="W4" s="372">
        <v>2</v>
      </c>
      <c r="X4" s="372">
        <v>1</v>
      </c>
      <c r="Y4" s="372"/>
      <c r="Z4" s="372">
        <v>3</v>
      </c>
      <c r="AA4" s="372">
        <v>1</v>
      </c>
      <c r="AB4" s="372">
        <v>1</v>
      </c>
      <c r="AC4" s="372"/>
      <c r="AD4" s="372">
        <v>1</v>
      </c>
      <c r="AE4" s="372">
        <v>15</v>
      </c>
      <c r="AF4" s="372">
        <v>4</v>
      </c>
      <c r="AG4" s="372">
        <v>1</v>
      </c>
      <c r="AH4" s="373">
        <v>1</v>
      </c>
      <c r="AI4" s="372"/>
    </row>
    <row r="5" spans="1:35" ht="18.75" customHeight="1" x14ac:dyDescent="0.2">
      <c r="A5" s="620" t="s">
        <v>506</v>
      </c>
      <c r="B5" s="598">
        <f t="shared" ref="B5:J5" si="0">B4/B$14</f>
        <v>1.7421602787456446E-3</v>
      </c>
      <c r="C5" s="598">
        <f t="shared" si="0"/>
        <v>3.2948929159802307E-3</v>
      </c>
      <c r="D5" s="598">
        <f t="shared" si="0"/>
        <v>4.0128410914927765E-3</v>
      </c>
      <c r="E5" s="598">
        <f t="shared" si="0"/>
        <v>2.8544243577545195E-3</v>
      </c>
      <c r="F5" s="598">
        <f t="shared" si="0"/>
        <v>3.787878787878788E-3</v>
      </c>
      <c r="G5" s="598">
        <f t="shared" si="0"/>
        <v>6.7046597385182706E-4</v>
      </c>
      <c r="H5" s="598">
        <f t="shared" si="0"/>
        <v>5.3248136315228968E-3</v>
      </c>
      <c r="I5" s="598">
        <f t="shared" si="0"/>
        <v>2.8985507246376812E-3</v>
      </c>
      <c r="J5" s="598">
        <f t="shared" si="0"/>
        <v>1.7985611510791368E-3</v>
      </c>
      <c r="K5" s="598">
        <f>K4/K$14</f>
        <v>2.9271078746341116E-3</v>
      </c>
      <c r="M5" s="375" t="s">
        <v>726</v>
      </c>
      <c r="N5" s="374"/>
      <c r="O5" s="374"/>
      <c r="P5" s="374"/>
      <c r="Q5" s="374"/>
      <c r="R5" s="374"/>
      <c r="S5" s="374"/>
      <c r="T5" s="374"/>
      <c r="U5" s="374"/>
      <c r="V5" s="374"/>
      <c r="W5" s="374"/>
      <c r="X5" s="374"/>
      <c r="Y5" s="374"/>
      <c r="Z5" s="374"/>
      <c r="AA5" s="374"/>
      <c r="AB5" s="374"/>
      <c r="AC5" s="374"/>
      <c r="AD5" s="374"/>
      <c r="AE5" s="374"/>
      <c r="AF5" s="374"/>
      <c r="AG5" s="374"/>
      <c r="AH5" s="375"/>
      <c r="AI5" s="374"/>
    </row>
    <row r="6" spans="1:35" ht="18.75" customHeight="1" x14ac:dyDescent="0.2">
      <c r="A6" s="1062" t="s">
        <v>15</v>
      </c>
      <c r="B6" s="597">
        <f>SUM(N6:P6)</f>
        <v>490</v>
      </c>
      <c r="C6" s="597">
        <f>SUM(Q6:R6)</f>
        <v>757</v>
      </c>
      <c r="D6" s="597">
        <f>SUM(S6:V6)</f>
        <v>751</v>
      </c>
      <c r="E6" s="597">
        <f>SUM(W6:Y6)</f>
        <v>500</v>
      </c>
      <c r="F6" s="597">
        <f>SUM(Z6:AA6)</f>
        <v>451</v>
      </c>
      <c r="G6" s="597">
        <f>SUM(AB6:AD6)</f>
        <v>1086</v>
      </c>
      <c r="H6" s="597">
        <f>SUM(AE6)</f>
        <v>1256</v>
      </c>
      <c r="I6" s="597">
        <f>SUM(AF6)</f>
        <v>680</v>
      </c>
      <c r="J6" s="597">
        <f>SUM(AG6:AH6)</f>
        <v>460</v>
      </c>
      <c r="K6" s="599">
        <f>SUM(B6:J6)</f>
        <v>6431</v>
      </c>
      <c r="M6" s="373" t="s">
        <v>15</v>
      </c>
      <c r="N6" s="372">
        <v>136</v>
      </c>
      <c r="O6" s="372">
        <v>186</v>
      </c>
      <c r="P6" s="372">
        <v>168</v>
      </c>
      <c r="Q6" s="372">
        <v>421</v>
      </c>
      <c r="R6" s="372">
        <v>336</v>
      </c>
      <c r="S6" s="372">
        <v>291</v>
      </c>
      <c r="T6" s="372">
        <v>173</v>
      </c>
      <c r="U6" s="372">
        <v>152</v>
      </c>
      <c r="V6" s="372">
        <v>135</v>
      </c>
      <c r="W6" s="372">
        <v>318</v>
      </c>
      <c r="X6" s="372">
        <v>140</v>
      </c>
      <c r="Y6" s="372">
        <v>42</v>
      </c>
      <c r="Z6" s="372">
        <v>207</v>
      </c>
      <c r="AA6" s="372">
        <v>244</v>
      </c>
      <c r="AB6" s="372">
        <v>329</v>
      </c>
      <c r="AC6" s="372">
        <v>376</v>
      </c>
      <c r="AD6" s="372">
        <v>381</v>
      </c>
      <c r="AE6" s="372">
        <v>1256</v>
      </c>
      <c r="AF6" s="372">
        <v>680</v>
      </c>
      <c r="AG6" s="372">
        <v>442</v>
      </c>
      <c r="AH6" s="373">
        <v>18</v>
      </c>
      <c r="AI6" s="372"/>
    </row>
    <row r="7" spans="1:35" ht="18.75" customHeight="1" x14ac:dyDescent="0.2">
      <c r="A7" s="1066"/>
      <c r="B7" s="598">
        <f t="shared" ref="B7:J7" si="1">B6/B$14</f>
        <v>0.42682926829268292</v>
      </c>
      <c r="C7" s="598">
        <f t="shared" si="1"/>
        <v>0.62355848434925865</v>
      </c>
      <c r="D7" s="598">
        <f t="shared" si="1"/>
        <v>0.6027287319422151</v>
      </c>
      <c r="E7" s="598">
        <f t="shared" si="1"/>
        <v>0.47573739295908657</v>
      </c>
      <c r="F7" s="598">
        <f t="shared" si="1"/>
        <v>0.42708333333333331</v>
      </c>
      <c r="G7" s="598">
        <f t="shared" si="1"/>
        <v>0.3640630238015421</v>
      </c>
      <c r="H7" s="598">
        <f t="shared" si="1"/>
        <v>0.44586439474618389</v>
      </c>
      <c r="I7" s="598">
        <f t="shared" si="1"/>
        <v>0.49275362318840582</v>
      </c>
      <c r="J7" s="598">
        <f t="shared" si="1"/>
        <v>0.41366906474820142</v>
      </c>
      <c r="K7" s="598">
        <f>K6/K$14</f>
        <v>0.45912757906760904</v>
      </c>
      <c r="M7" s="375" t="s">
        <v>16</v>
      </c>
      <c r="N7" s="374">
        <v>184</v>
      </c>
      <c r="O7" s="374">
        <v>265</v>
      </c>
      <c r="P7" s="374">
        <v>203</v>
      </c>
      <c r="Q7" s="374">
        <v>239</v>
      </c>
      <c r="R7" s="374">
        <v>213</v>
      </c>
      <c r="S7" s="374">
        <v>144</v>
      </c>
      <c r="T7" s="374">
        <v>78</v>
      </c>
      <c r="U7" s="374">
        <v>150</v>
      </c>
      <c r="V7" s="374">
        <v>115</v>
      </c>
      <c r="W7" s="374">
        <v>334</v>
      </c>
      <c r="X7" s="374">
        <v>167</v>
      </c>
      <c r="Y7" s="374">
        <v>44</v>
      </c>
      <c r="Z7" s="374">
        <v>264</v>
      </c>
      <c r="AA7" s="374">
        <v>334</v>
      </c>
      <c r="AB7" s="374">
        <v>535</v>
      </c>
      <c r="AC7" s="374">
        <v>848</v>
      </c>
      <c r="AD7" s="374">
        <v>507</v>
      </c>
      <c r="AE7" s="374">
        <v>1536</v>
      </c>
      <c r="AF7" s="374">
        <v>695</v>
      </c>
      <c r="AG7" s="374">
        <v>608</v>
      </c>
      <c r="AH7" s="375">
        <v>35</v>
      </c>
      <c r="AI7" s="374"/>
    </row>
    <row r="8" spans="1:35" ht="18.75" customHeight="1" x14ac:dyDescent="0.2">
      <c r="A8" s="1062" t="s">
        <v>16</v>
      </c>
      <c r="B8" s="597">
        <f>SUM(N7:P7)</f>
        <v>652</v>
      </c>
      <c r="C8" s="597">
        <f>SUM(Q7:R7)</f>
        <v>452</v>
      </c>
      <c r="D8" s="597">
        <f>SUM(S7:V7)</f>
        <v>487</v>
      </c>
      <c r="E8" s="597">
        <f>SUM(W7:Y7)</f>
        <v>545</v>
      </c>
      <c r="F8" s="597">
        <f>SUM(Z7:AA7)</f>
        <v>598</v>
      </c>
      <c r="G8" s="597">
        <f>SUM(AB7:AD7)</f>
        <v>1890</v>
      </c>
      <c r="H8" s="597">
        <f>AE7</f>
        <v>1536</v>
      </c>
      <c r="I8" s="597">
        <f>AF7</f>
        <v>695</v>
      </c>
      <c r="J8" s="597">
        <f>SUM(AG7:AH7)</f>
        <v>643</v>
      </c>
      <c r="K8" s="599">
        <f>SUM(B8:J8)</f>
        <v>7498</v>
      </c>
      <c r="M8" s="373" t="s">
        <v>17</v>
      </c>
      <c r="N8" s="372"/>
      <c r="O8" s="372"/>
      <c r="P8" s="372">
        <v>1</v>
      </c>
      <c r="Q8" s="372"/>
      <c r="R8" s="372"/>
      <c r="S8" s="372"/>
      <c r="T8" s="372"/>
      <c r="U8" s="372"/>
      <c r="V8" s="372"/>
      <c r="W8" s="372">
        <v>1</v>
      </c>
      <c r="X8" s="372"/>
      <c r="Y8" s="372"/>
      <c r="Z8" s="372"/>
      <c r="AA8" s="372"/>
      <c r="AB8" s="372"/>
      <c r="AC8" s="372"/>
      <c r="AD8" s="372"/>
      <c r="AE8" s="372">
        <v>1</v>
      </c>
      <c r="AF8" s="372"/>
      <c r="AG8" s="372"/>
      <c r="AH8" s="373"/>
      <c r="AI8" s="372"/>
    </row>
    <row r="9" spans="1:35" ht="18.75" customHeight="1" x14ac:dyDescent="0.2">
      <c r="A9" s="1066"/>
      <c r="B9" s="598">
        <f t="shared" ref="B9:J9" si="2">B8/B$14</f>
        <v>0.56794425087108014</v>
      </c>
      <c r="C9" s="598">
        <f t="shared" si="2"/>
        <v>0.37232289950576608</v>
      </c>
      <c r="D9" s="598">
        <f t="shared" si="2"/>
        <v>0.39085072231139645</v>
      </c>
      <c r="E9" s="598">
        <f t="shared" si="2"/>
        <v>0.5185537583254044</v>
      </c>
      <c r="F9" s="598">
        <f t="shared" si="2"/>
        <v>0.56628787878787878</v>
      </c>
      <c r="G9" s="598">
        <f t="shared" si="2"/>
        <v>0.63359034528997649</v>
      </c>
      <c r="H9" s="598">
        <f t="shared" si="2"/>
        <v>0.54526091586794467</v>
      </c>
      <c r="I9" s="598">
        <f t="shared" si="2"/>
        <v>0.50362318840579712</v>
      </c>
      <c r="J9" s="598">
        <f t="shared" si="2"/>
        <v>0.5782374100719424</v>
      </c>
      <c r="K9" s="598">
        <f>K8/K$14</f>
        <v>0.53530377668308704</v>
      </c>
      <c r="M9" s="375" t="s">
        <v>660</v>
      </c>
      <c r="N9" s="374"/>
      <c r="O9" s="374"/>
      <c r="P9" s="374"/>
      <c r="Q9" s="374"/>
      <c r="R9" s="374"/>
      <c r="S9" s="374"/>
      <c r="T9" s="374"/>
      <c r="U9" s="374">
        <v>1</v>
      </c>
      <c r="V9" s="374"/>
      <c r="W9" s="374"/>
      <c r="X9" s="374"/>
      <c r="Y9" s="374"/>
      <c r="Z9" s="374">
        <v>1</v>
      </c>
      <c r="AA9" s="374"/>
      <c r="AB9" s="374"/>
      <c r="AC9" s="374"/>
      <c r="AD9" s="374"/>
      <c r="AE9" s="374">
        <v>3</v>
      </c>
      <c r="AF9" s="374"/>
      <c r="AG9" s="374"/>
      <c r="AH9" s="375"/>
      <c r="AI9" s="374"/>
    </row>
    <row r="10" spans="1:35" ht="18.75" customHeight="1" x14ac:dyDescent="0.2">
      <c r="A10" s="1062" t="s">
        <v>17</v>
      </c>
      <c r="B10" s="597">
        <f>SUM(N8:P8)</f>
        <v>1</v>
      </c>
      <c r="C10" s="597">
        <f>SUM(Q8:R8)</f>
        <v>0</v>
      </c>
      <c r="D10" s="597">
        <f>SUM(S8:V8)</f>
        <v>0</v>
      </c>
      <c r="E10" s="597">
        <f>SUM(W8:Y8)</f>
        <v>1</v>
      </c>
      <c r="F10" s="597">
        <f>SUM(Z8:AA8)</f>
        <v>0</v>
      </c>
      <c r="G10" s="597">
        <f>SUM(AB8:AD8)</f>
        <v>0</v>
      </c>
      <c r="H10" s="597">
        <f>AE8</f>
        <v>1</v>
      </c>
      <c r="I10" s="597">
        <f>AF8</f>
        <v>0</v>
      </c>
      <c r="J10" s="597">
        <f>SUM(AG8:AH8)</f>
        <v>0</v>
      </c>
      <c r="K10" s="599">
        <f>SUM(B10:J10)</f>
        <v>3</v>
      </c>
      <c r="M10" s="373" t="s">
        <v>661</v>
      </c>
      <c r="N10" s="372">
        <v>2</v>
      </c>
      <c r="O10" s="372">
        <v>1</v>
      </c>
      <c r="P10" s="372"/>
      <c r="Q10" s="372">
        <v>1</v>
      </c>
      <c r="R10" s="372"/>
      <c r="S10" s="372"/>
      <c r="T10" s="372">
        <v>2</v>
      </c>
      <c r="U10" s="372"/>
      <c r="V10" s="372"/>
      <c r="W10" s="372"/>
      <c r="X10" s="372">
        <v>2</v>
      </c>
      <c r="Y10" s="372"/>
      <c r="Z10" s="372">
        <v>1</v>
      </c>
      <c r="AA10" s="372">
        <v>1</v>
      </c>
      <c r="AB10" s="372">
        <v>2</v>
      </c>
      <c r="AC10" s="372">
        <v>2</v>
      </c>
      <c r="AD10" s="372">
        <v>1</v>
      </c>
      <c r="AE10" s="372">
        <v>6</v>
      </c>
      <c r="AF10" s="372">
        <v>1</v>
      </c>
      <c r="AG10" s="372">
        <v>3</v>
      </c>
      <c r="AH10" s="373">
        <v>4</v>
      </c>
      <c r="AI10" s="372"/>
    </row>
    <row r="11" spans="1:35" ht="18.75" customHeight="1" x14ac:dyDescent="0.2">
      <c r="A11" s="1066"/>
      <c r="B11" s="876">
        <f t="shared" ref="B11:J11" si="3">B10/B$14</f>
        <v>8.710801393728223E-4</v>
      </c>
      <c r="C11" s="876">
        <f t="shared" si="3"/>
        <v>0</v>
      </c>
      <c r="D11" s="876">
        <f t="shared" si="3"/>
        <v>0</v>
      </c>
      <c r="E11" s="876">
        <f t="shared" si="3"/>
        <v>9.5147478591817321E-4</v>
      </c>
      <c r="F11" s="876">
        <f t="shared" si="3"/>
        <v>0</v>
      </c>
      <c r="G11" s="876">
        <f t="shared" si="3"/>
        <v>0</v>
      </c>
      <c r="H11" s="876">
        <f t="shared" si="3"/>
        <v>3.5498757543485978E-4</v>
      </c>
      <c r="I11" s="876">
        <f t="shared" si="3"/>
        <v>0</v>
      </c>
      <c r="J11" s="876">
        <f t="shared" si="3"/>
        <v>0</v>
      </c>
      <c r="K11" s="876">
        <f>K10/K$14</f>
        <v>2.1417862497322766E-4</v>
      </c>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4"/>
    </row>
    <row r="12" spans="1:35" ht="18.75" customHeight="1" x14ac:dyDescent="0.2">
      <c r="A12" s="1062" t="s">
        <v>18</v>
      </c>
      <c r="B12" s="877">
        <f>SUM(N9:P11)</f>
        <v>3</v>
      </c>
      <c r="C12" s="878">
        <f>SUM(Q9:R11)</f>
        <v>1</v>
      </c>
      <c r="D12" s="878">
        <f>SUM(S9:V11)</f>
        <v>3</v>
      </c>
      <c r="E12" s="878">
        <f>SUM(W9:Y11)</f>
        <v>2</v>
      </c>
      <c r="F12" s="878">
        <f>SUM(Z9:AA11)</f>
        <v>3</v>
      </c>
      <c r="G12" s="878">
        <f>SUM(AB9:AD11)</f>
        <v>5</v>
      </c>
      <c r="H12" s="878">
        <f>SUM(AE9:AE11)</f>
        <v>9</v>
      </c>
      <c r="I12" s="878">
        <f>SUM(AF9:AF11)</f>
        <v>1</v>
      </c>
      <c r="J12" s="878">
        <f>SUM(AG9:AH11)</f>
        <v>7</v>
      </c>
      <c r="K12" s="599">
        <f>SUM(B12:J12)</f>
        <v>34</v>
      </c>
    </row>
    <row r="13" spans="1:35" ht="18.75" customHeight="1" x14ac:dyDescent="0.2">
      <c r="A13" s="1066"/>
      <c r="B13" s="598">
        <f t="shared" ref="B13:J13" si="4">B12/B$14</f>
        <v>2.6132404181184671E-3</v>
      </c>
      <c r="C13" s="598">
        <f t="shared" si="4"/>
        <v>8.2372322899505767E-4</v>
      </c>
      <c r="D13" s="598">
        <f t="shared" si="4"/>
        <v>2.407704654895666E-3</v>
      </c>
      <c r="E13" s="598">
        <f t="shared" si="4"/>
        <v>1.9029495718363464E-3</v>
      </c>
      <c r="F13" s="598">
        <f t="shared" si="4"/>
        <v>2.840909090909091E-3</v>
      </c>
      <c r="G13" s="598">
        <f t="shared" si="4"/>
        <v>1.6761649346295675E-3</v>
      </c>
      <c r="H13" s="598">
        <f t="shared" si="4"/>
        <v>3.1948881789137379E-3</v>
      </c>
      <c r="I13" s="598">
        <f t="shared" si="4"/>
        <v>7.246376811594203E-4</v>
      </c>
      <c r="J13" s="598">
        <f t="shared" si="4"/>
        <v>6.2949640287769783E-3</v>
      </c>
      <c r="K13" s="598">
        <f>K12/K$14</f>
        <v>2.4273577496965802E-3</v>
      </c>
    </row>
    <row r="14" spans="1:35" ht="18.75" customHeight="1" x14ac:dyDescent="0.2">
      <c r="A14" s="1089" t="s">
        <v>11</v>
      </c>
      <c r="B14" s="871">
        <f>SUM(B4,B6,B8,B10,B12)</f>
        <v>1148</v>
      </c>
      <c r="C14" s="871">
        <f t="shared" ref="C14:J15" si="5">SUM(C4,C6,C8,C10,C12)</f>
        <v>1214</v>
      </c>
      <c r="D14" s="871">
        <f t="shared" si="5"/>
        <v>1246</v>
      </c>
      <c r="E14" s="871">
        <f t="shared" si="5"/>
        <v>1051</v>
      </c>
      <c r="F14" s="871">
        <f t="shared" si="5"/>
        <v>1056</v>
      </c>
      <c r="G14" s="871">
        <f t="shared" si="5"/>
        <v>2983</v>
      </c>
      <c r="H14" s="871">
        <f t="shared" si="5"/>
        <v>2817</v>
      </c>
      <c r="I14" s="871">
        <f t="shared" si="5"/>
        <v>1380</v>
      </c>
      <c r="J14" s="871">
        <f t="shared" si="5"/>
        <v>1112</v>
      </c>
      <c r="K14" s="872">
        <f>SUM(B14:J14)</f>
        <v>14007</v>
      </c>
    </row>
    <row r="15" spans="1:35" ht="18.75" customHeight="1" x14ac:dyDescent="0.2">
      <c r="A15" s="1090"/>
      <c r="B15" s="874">
        <f>SUM(B5,B7,B9,B11,B13)</f>
        <v>1</v>
      </c>
      <c r="C15" s="874">
        <f t="shared" si="5"/>
        <v>1.0000000000000002</v>
      </c>
      <c r="D15" s="874">
        <f t="shared" si="5"/>
        <v>1</v>
      </c>
      <c r="E15" s="874">
        <f t="shared" si="5"/>
        <v>1</v>
      </c>
      <c r="F15" s="874">
        <f t="shared" si="5"/>
        <v>0.99999999999999989</v>
      </c>
      <c r="G15" s="874">
        <f t="shared" si="5"/>
        <v>1</v>
      </c>
      <c r="H15" s="874">
        <f t="shared" si="5"/>
        <v>1</v>
      </c>
      <c r="I15" s="874">
        <f t="shared" si="5"/>
        <v>1</v>
      </c>
      <c r="J15" s="874">
        <v>1</v>
      </c>
      <c r="K15" s="874">
        <f>SUM(K5,K7,K9,K11,K13)</f>
        <v>1</v>
      </c>
    </row>
    <row r="18" spans="1:9" x14ac:dyDescent="0.2">
      <c r="A18" s="22"/>
      <c r="B18" s="22"/>
      <c r="C18" s="22"/>
      <c r="D18" s="22"/>
      <c r="E18" s="22"/>
      <c r="F18" s="22"/>
      <c r="G18" s="22"/>
      <c r="H18" s="22"/>
      <c r="I18" s="22"/>
    </row>
    <row r="27" spans="1:9" x14ac:dyDescent="0.2">
      <c r="A27" s="41"/>
      <c r="B27" s="879"/>
    </row>
    <row r="28" spans="1:9" x14ac:dyDescent="0.2">
      <c r="A28" s="41"/>
      <c r="B28" s="47"/>
    </row>
  </sheetData>
  <mergeCells count="5">
    <mergeCell ref="A6:A7"/>
    <mergeCell ref="A8:A9"/>
    <mergeCell ref="A10:A11"/>
    <mergeCell ref="A12:A13"/>
    <mergeCell ref="A14:A15"/>
  </mergeCells>
  <phoneticPr fontId="2"/>
  <printOptions horizontalCentered="1"/>
  <pageMargins left="0.70866141732283472" right="0.70866141732283472" top="0.74803149606299213" bottom="0.74803149606299213"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0353" r:id="rId4" name="Button 1">
              <controlPr defaultSize="0" print="0" autoFill="0" autoPict="0" macro="[0]!データ削除_入院形態入院時住所地">
                <anchor moveWithCells="1" sizeWithCells="1">
                  <from>
                    <xdr:col>12</xdr:col>
                    <xdr:colOff>182880</xdr:colOff>
                    <xdr:row>13</xdr:row>
                    <xdr:rowOff>114300</xdr:rowOff>
                  </from>
                  <to>
                    <xdr:col>15</xdr:col>
                    <xdr:colOff>449580</xdr:colOff>
                    <xdr:row>16</xdr:row>
                    <xdr:rowOff>0</xdr:rowOff>
                  </to>
                </anchor>
              </controlPr>
            </control>
          </mc:Choice>
        </mc:AlternateContent>
      </controls>
    </mc:Choice>
  </mc:AlternateContent>
  <tableParts count="1">
    <tablePart r:id="rId5"/>
  </tablePart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D3932-5E5A-491C-8F6A-562857EAFD7F}">
  <sheetPr codeName="Sheet40">
    <tabColor theme="5" tint="0.39997558519241921"/>
    <pageSetUpPr fitToPage="1"/>
  </sheetPr>
  <dimension ref="A1:AJ35"/>
  <sheetViews>
    <sheetView showGridLines="0" view="pageBreakPreview" zoomScale="80" zoomScaleNormal="80" zoomScaleSheetLayoutView="80" workbookViewId="0"/>
  </sheetViews>
  <sheetFormatPr defaultColWidth="13.77734375" defaultRowHeight="17.399999999999999" x14ac:dyDescent="0.2"/>
  <cols>
    <col min="1" max="1" width="27.44140625" style="676" customWidth="1"/>
    <col min="2" max="11" width="8.77734375" style="676" customWidth="1"/>
    <col min="12" max="12" width="7.44140625" style="676" hidden="1" customWidth="1"/>
    <col min="13" max="13" width="19.109375" style="676" hidden="1" customWidth="1"/>
    <col min="14" max="14" width="11" style="805" hidden="1" customWidth="1"/>
    <col min="15" max="16" width="12.88671875" style="805" hidden="1" customWidth="1"/>
    <col min="17" max="17" width="9.109375" style="805" hidden="1" customWidth="1"/>
    <col min="18" max="18" width="12.88671875" style="805" hidden="1" customWidth="1"/>
    <col min="19" max="19" width="14.77734375" style="805" hidden="1" customWidth="1"/>
    <col min="20" max="20" width="16.6640625" style="805" hidden="1" customWidth="1"/>
    <col min="21" max="22" width="12.88671875" style="805" hidden="1" customWidth="1"/>
    <col min="23" max="23" width="16.6640625" style="805" hidden="1" customWidth="1"/>
    <col min="24" max="24" width="14.77734375" style="805" hidden="1" customWidth="1"/>
    <col min="25" max="27" width="12.88671875" style="805" hidden="1" customWidth="1"/>
    <col min="28" max="31" width="11" style="805" hidden="1" customWidth="1"/>
    <col min="32" max="32" width="9.109375" style="805" hidden="1" customWidth="1"/>
    <col min="33" max="33" width="11" style="805" hidden="1" customWidth="1"/>
    <col min="34" max="34" width="14.77734375" style="805" hidden="1" customWidth="1"/>
    <col min="35" max="35" width="7.88671875" style="805" hidden="1" customWidth="1"/>
    <col min="36" max="36" width="13.77734375" style="676" hidden="1" customWidth="1"/>
    <col min="37" max="16384" width="13.77734375" style="676"/>
  </cols>
  <sheetData>
    <row r="1" spans="1:35" s="677" customFormat="1" ht="19.2" x14ac:dyDescent="0.2">
      <c r="A1" s="2" t="s">
        <v>552</v>
      </c>
      <c r="N1" s="880"/>
      <c r="O1" s="880"/>
      <c r="P1" s="880"/>
      <c r="Q1" s="880"/>
      <c r="R1" s="880"/>
      <c r="S1" s="880"/>
      <c r="T1" s="880"/>
      <c r="U1" s="880"/>
      <c r="V1" s="880"/>
      <c r="W1" s="880"/>
      <c r="X1" s="880"/>
      <c r="Y1" s="880"/>
      <c r="Z1" s="880"/>
      <c r="AA1" s="880"/>
      <c r="AB1" s="880"/>
      <c r="AC1" s="880"/>
      <c r="AD1" s="880"/>
      <c r="AE1" s="880"/>
      <c r="AF1" s="880"/>
      <c r="AG1" s="880"/>
      <c r="AH1" s="880"/>
      <c r="AI1" s="880"/>
    </row>
    <row r="2" spans="1:35" ht="18" thickBot="1" x14ac:dyDescent="0.25">
      <c r="A2" s="4"/>
    </row>
    <row r="3" spans="1:35" ht="36" thickTop="1" thickBot="1" x14ac:dyDescent="0.25">
      <c r="A3" s="850"/>
      <c r="B3" s="850" t="s">
        <v>356</v>
      </c>
      <c r="C3" s="850" t="s">
        <v>357</v>
      </c>
      <c r="D3" s="850" t="s">
        <v>358</v>
      </c>
      <c r="E3" s="850" t="s">
        <v>359</v>
      </c>
      <c r="F3" s="850" t="s">
        <v>360</v>
      </c>
      <c r="G3" s="850" t="s">
        <v>361</v>
      </c>
      <c r="H3" s="850" t="s">
        <v>362</v>
      </c>
      <c r="I3" s="850" t="s">
        <v>363</v>
      </c>
      <c r="J3" s="851" t="s">
        <v>378</v>
      </c>
      <c r="K3" s="850" t="s">
        <v>61</v>
      </c>
      <c r="M3" s="875" t="s">
        <v>436</v>
      </c>
      <c r="N3" s="623" t="s">
        <v>364</v>
      </c>
      <c r="O3" s="623" t="s">
        <v>365</v>
      </c>
      <c r="P3" s="623" t="s">
        <v>366</v>
      </c>
      <c r="Q3" s="623" t="s">
        <v>367</v>
      </c>
      <c r="R3" s="623" t="s">
        <v>368</v>
      </c>
      <c r="S3" s="623" t="s">
        <v>369</v>
      </c>
      <c r="T3" s="623" t="s">
        <v>370</v>
      </c>
      <c r="U3" s="623" t="s">
        <v>371</v>
      </c>
      <c r="V3" s="623" t="s">
        <v>372</v>
      </c>
      <c r="W3" s="623" t="s">
        <v>373</v>
      </c>
      <c r="X3" s="623" t="s">
        <v>386</v>
      </c>
      <c r="Y3" s="623" t="s">
        <v>387</v>
      </c>
      <c r="Z3" s="623" t="s">
        <v>388</v>
      </c>
      <c r="AA3" s="623" t="s">
        <v>389</v>
      </c>
      <c r="AB3" s="623" t="s">
        <v>390</v>
      </c>
      <c r="AC3" s="623" t="s">
        <v>391</v>
      </c>
      <c r="AD3" s="623" t="s">
        <v>392</v>
      </c>
      <c r="AE3" s="623" t="s">
        <v>393</v>
      </c>
      <c r="AF3" s="623" t="s">
        <v>394</v>
      </c>
      <c r="AG3" s="623" t="s">
        <v>429</v>
      </c>
      <c r="AH3" s="881" t="s">
        <v>430</v>
      </c>
      <c r="AI3" s="881" t="s">
        <v>398</v>
      </c>
    </row>
    <row r="4" spans="1:35" ht="18" customHeight="1" thickTop="1" x14ac:dyDescent="0.2">
      <c r="A4" s="1067" t="s">
        <v>374</v>
      </c>
      <c r="B4" s="597">
        <f>B6+B8+B10</f>
        <v>304</v>
      </c>
      <c r="C4" s="597">
        <f t="shared" ref="C4:I4" si="0">C6+C8+C10</f>
        <v>440</v>
      </c>
      <c r="D4" s="597">
        <f t="shared" si="0"/>
        <v>363</v>
      </c>
      <c r="E4" s="597">
        <f t="shared" si="0"/>
        <v>248</v>
      </c>
      <c r="F4" s="597">
        <f t="shared" si="0"/>
        <v>312</v>
      </c>
      <c r="G4" s="597">
        <f t="shared" si="0"/>
        <v>1142</v>
      </c>
      <c r="H4" s="597">
        <f t="shared" si="0"/>
        <v>699</v>
      </c>
      <c r="I4" s="597">
        <f t="shared" si="0"/>
        <v>401</v>
      </c>
      <c r="J4" s="597">
        <f t="shared" ref="J4" si="1">SUM(J6,J8,J10)</f>
        <v>277</v>
      </c>
      <c r="K4" s="599">
        <f>SUM(B4:J4)</f>
        <v>4186</v>
      </c>
      <c r="M4" s="626" t="s">
        <v>273</v>
      </c>
      <c r="N4" s="372">
        <v>49</v>
      </c>
      <c r="O4" s="372">
        <v>46</v>
      </c>
      <c r="P4" s="372">
        <v>54</v>
      </c>
      <c r="Q4" s="372">
        <v>142</v>
      </c>
      <c r="R4" s="372">
        <v>115</v>
      </c>
      <c r="S4" s="372">
        <v>74</v>
      </c>
      <c r="T4" s="372">
        <v>13</v>
      </c>
      <c r="U4" s="372">
        <v>49</v>
      </c>
      <c r="V4" s="372">
        <v>31</v>
      </c>
      <c r="W4" s="372">
        <v>66</v>
      </c>
      <c r="X4" s="372">
        <v>50</v>
      </c>
      <c r="Y4" s="372">
        <v>9</v>
      </c>
      <c r="Z4" s="372">
        <v>86</v>
      </c>
      <c r="AA4" s="372">
        <v>85</v>
      </c>
      <c r="AB4" s="372">
        <v>151</v>
      </c>
      <c r="AC4" s="372">
        <v>275</v>
      </c>
      <c r="AD4" s="372">
        <v>201</v>
      </c>
      <c r="AE4" s="372">
        <v>344</v>
      </c>
      <c r="AF4" s="372">
        <v>234</v>
      </c>
      <c r="AG4" s="372">
        <v>135</v>
      </c>
      <c r="AH4" s="882">
        <v>2</v>
      </c>
      <c r="AI4" s="883"/>
    </row>
    <row r="5" spans="1:35" ht="18" customHeight="1" x14ac:dyDescent="0.2">
      <c r="A5" s="1068"/>
      <c r="B5" s="598">
        <f t="shared" ref="B5:J5" si="2">B4/B$34</f>
        <v>0.26480836236933797</v>
      </c>
      <c r="C5" s="598">
        <f t="shared" si="2"/>
        <v>0.36243822075782539</v>
      </c>
      <c r="D5" s="598">
        <f t="shared" si="2"/>
        <v>0.2913322632423756</v>
      </c>
      <c r="E5" s="598">
        <f t="shared" si="2"/>
        <v>0.23596574690770694</v>
      </c>
      <c r="F5" s="598">
        <f t="shared" si="2"/>
        <v>0.29545454545454547</v>
      </c>
      <c r="G5" s="598">
        <f t="shared" si="2"/>
        <v>0.38283607106939321</v>
      </c>
      <c r="H5" s="598">
        <f t="shared" si="2"/>
        <v>0.24813631522896698</v>
      </c>
      <c r="I5" s="598">
        <f t="shared" si="2"/>
        <v>0.29057971014492756</v>
      </c>
      <c r="J5" s="598">
        <f t="shared" si="2"/>
        <v>0.24910071942446044</v>
      </c>
      <c r="K5" s="598">
        <f>K4/K$34</f>
        <v>0.2988505747126437</v>
      </c>
      <c r="M5" s="375" t="s">
        <v>262</v>
      </c>
      <c r="N5" s="374">
        <v>5</v>
      </c>
      <c r="O5" s="374">
        <v>4</v>
      </c>
      <c r="P5" s="374">
        <v>10</v>
      </c>
      <c r="Q5" s="374">
        <v>11</v>
      </c>
      <c r="R5" s="374">
        <v>16</v>
      </c>
      <c r="S5" s="374">
        <v>9</v>
      </c>
      <c r="T5" s="374">
        <v>1</v>
      </c>
      <c r="U5" s="374">
        <v>3</v>
      </c>
      <c r="V5" s="374">
        <v>6</v>
      </c>
      <c r="W5" s="374">
        <v>8</v>
      </c>
      <c r="X5" s="374">
        <v>3</v>
      </c>
      <c r="Y5" s="374"/>
      <c r="Z5" s="374">
        <v>6</v>
      </c>
      <c r="AA5" s="374">
        <v>4</v>
      </c>
      <c r="AB5" s="374">
        <v>18</v>
      </c>
      <c r="AC5" s="374">
        <v>22</v>
      </c>
      <c r="AD5" s="374">
        <v>37</v>
      </c>
      <c r="AE5" s="374">
        <v>49</v>
      </c>
      <c r="AF5" s="374">
        <v>17</v>
      </c>
      <c r="AG5" s="374">
        <v>23</v>
      </c>
      <c r="AH5" s="884"/>
      <c r="AI5" s="884"/>
    </row>
    <row r="6" spans="1:35" ht="18" customHeight="1" x14ac:dyDescent="0.2">
      <c r="A6" s="1069" t="s">
        <v>375</v>
      </c>
      <c r="B6" s="597">
        <f>SUM(N4:P4)</f>
        <v>149</v>
      </c>
      <c r="C6" s="597">
        <f>SUM(Q4:R4)</f>
        <v>257</v>
      </c>
      <c r="D6" s="597">
        <f>SUM(S4:V4)</f>
        <v>167</v>
      </c>
      <c r="E6" s="597">
        <f>SUM(W4:Y4)</f>
        <v>125</v>
      </c>
      <c r="F6" s="597">
        <f>SUM(Z4:AA4)</f>
        <v>171</v>
      </c>
      <c r="G6" s="597">
        <f>SUM(AB4:AD4)</f>
        <v>627</v>
      </c>
      <c r="H6" s="597">
        <f>AE4</f>
        <v>344</v>
      </c>
      <c r="I6" s="597">
        <f>AF4</f>
        <v>234</v>
      </c>
      <c r="J6" s="597">
        <f>SUM(AG4:AH4)</f>
        <v>137</v>
      </c>
      <c r="K6" s="599">
        <f>SUM(B6:J6)</f>
        <v>2211</v>
      </c>
      <c r="M6" s="373" t="s">
        <v>263</v>
      </c>
      <c r="N6" s="372">
        <v>34</v>
      </c>
      <c r="O6" s="372">
        <v>62</v>
      </c>
      <c r="P6" s="372">
        <v>40</v>
      </c>
      <c r="Q6" s="372">
        <v>90</v>
      </c>
      <c r="R6" s="372">
        <v>66</v>
      </c>
      <c r="S6" s="372">
        <v>62</v>
      </c>
      <c r="T6" s="372">
        <v>51</v>
      </c>
      <c r="U6" s="372">
        <v>35</v>
      </c>
      <c r="V6" s="372">
        <v>29</v>
      </c>
      <c r="W6" s="372">
        <v>64</v>
      </c>
      <c r="X6" s="372">
        <v>36</v>
      </c>
      <c r="Y6" s="372">
        <v>12</v>
      </c>
      <c r="Z6" s="372">
        <v>47</v>
      </c>
      <c r="AA6" s="372">
        <v>84</v>
      </c>
      <c r="AB6" s="372">
        <v>138</v>
      </c>
      <c r="AC6" s="372">
        <v>150</v>
      </c>
      <c r="AD6" s="372">
        <v>150</v>
      </c>
      <c r="AE6" s="372">
        <v>306</v>
      </c>
      <c r="AF6" s="372">
        <v>150</v>
      </c>
      <c r="AG6" s="372">
        <v>113</v>
      </c>
      <c r="AH6" s="882">
        <v>4</v>
      </c>
      <c r="AI6" s="882"/>
    </row>
    <row r="7" spans="1:35" ht="18" customHeight="1" x14ac:dyDescent="0.2">
      <c r="A7" s="1070"/>
      <c r="B7" s="598">
        <f t="shared" ref="B7:J7" si="3">B6/B$34</f>
        <v>0.12979094076655051</v>
      </c>
      <c r="C7" s="598">
        <f t="shared" si="3"/>
        <v>0.21169686985172981</v>
      </c>
      <c r="D7" s="598">
        <f t="shared" si="3"/>
        <v>0.13402889245585875</v>
      </c>
      <c r="E7" s="598">
        <f t="shared" si="3"/>
        <v>0.11893434823977164</v>
      </c>
      <c r="F7" s="598">
        <f t="shared" si="3"/>
        <v>0.16193181818181818</v>
      </c>
      <c r="G7" s="598">
        <f t="shared" si="3"/>
        <v>0.21019108280254778</v>
      </c>
      <c r="H7" s="598">
        <f t="shared" si="3"/>
        <v>0.12211572594959176</v>
      </c>
      <c r="I7" s="598">
        <f t="shared" si="3"/>
        <v>0.16956521739130434</v>
      </c>
      <c r="J7" s="598">
        <f t="shared" si="3"/>
        <v>0.12320143884892086</v>
      </c>
      <c r="K7" s="598">
        <f>K6/K$34</f>
        <v>0.15784964660526879</v>
      </c>
      <c r="M7" s="375" t="s">
        <v>264</v>
      </c>
      <c r="N7" s="374">
        <v>7</v>
      </c>
      <c r="O7" s="374">
        <v>17</v>
      </c>
      <c r="P7" s="374">
        <v>13</v>
      </c>
      <c r="Q7" s="374">
        <v>18</v>
      </c>
      <c r="R7" s="374">
        <v>19</v>
      </c>
      <c r="S7" s="374">
        <v>8</v>
      </c>
      <c r="T7" s="374">
        <v>4</v>
      </c>
      <c r="U7" s="374">
        <v>15</v>
      </c>
      <c r="V7" s="374">
        <v>14</v>
      </c>
      <c r="W7" s="374">
        <v>18</v>
      </c>
      <c r="X7" s="374">
        <v>12</v>
      </c>
      <c r="Y7" s="374">
        <v>1</v>
      </c>
      <c r="Z7" s="374">
        <v>21</v>
      </c>
      <c r="AA7" s="374">
        <v>20</v>
      </c>
      <c r="AB7" s="374">
        <v>57</v>
      </c>
      <c r="AC7" s="374">
        <v>53</v>
      </c>
      <c r="AD7" s="374">
        <v>28</v>
      </c>
      <c r="AE7" s="374">
        <v>143</v>
      </c>
      <c r="AF7" s="374">
        <v>68</v>
      </c>
      <c r="AG7" s="374">
        <v>71</v>
      </c>
      <c r="AH7" s="884">
        <v>6</v>
      </c>
      <c r="AI7" s="884"/>
    </row>
    <row r="8" spans="1:35" ht="18" customHeight="1" x14ac:dyDescent="0.2">
      <c r="A8" s="1069" t="s">
        <v>376</v>
      </c>
      <c r="B8" s="597">
        <f>SUM(N5:P5)</f>
        <v>19</v>
      </c>
      <c r="C8" s="597">
        <f>SUM(Q5:R5)</f>
        <v>27</v>
      </c>
      <c r="D8" s="597">
        <f>SUM(S5:V5)</f>
        <v>19</v>
      </c>
      <c r="E8" s="597">
        <f>SUM(W5:Y5)</f>
        <v>11</v>
      </c>
      <c r="F8" s="597">
        <f>SUM(Z5:AA5)</f>
        <v>10</v>
      </c>
      <c r="G8" s="597">
        <f>SUM(AB5:AD5)</f>
        <v>77</v>
      </c>
      <c r="H8" s="597">
        <f>AE5</f>
        <v>49</v>
      </c>
      <c r="I8" s="597">
        <f>AF5</f>
        <v>17</v>
      </c>
      <c r="J8" s="597">
        <f>SUM(AG5:AH5)</f>
        <v>23</v>
      </c>
      <c r="K8" s="599">
        <f>SUM(B8:J8)</f>
        <v>252</v>
      </c>
      <c r="M8" s="373" t="s">
        <v>188</v>
      </c>
      <c r="N8" s="372">
        <v>1</v>
      </c>
      <c r="O8" s="372">
        <v>4</v>
      </c>
      <c r="P8" s="372">
        <v>1</v>
      </c>
      <c r="Q8" s="372"/>
      <c r="R8" s="372">
        <v>2</v>
      </c>
      <c r="S8" s="372">
        <v>2</v>
      </c>
      <c r="T8" s="372">
        <v>2</v>
      </c>
      <c r="U8" s="372"/>
      <c r="V8" s="372">
        <v>1</v>
      </c>
      <c r="W8" s="372">
        <v>4</v>
      </c>
      <c r="X8" s="372">
        <v>2</v>
      </c>
      <c r="Y8" s="372"/>
      <c r="Z8" s="372">
        <v>2</v>
      </c>
      <c r="AA8" s="372">
        <v>2</v>
      </c>
      <c r="AB8" s="372">
        <v>2</v>
      </c>
      <c r="AC8" s="372">
        <v>7</v>
      </c>
      <c r="AD8" s="372"/>
      <c r="AE8" s="372">
        <v>17</v>
      </c>
      <c r="AF8" s="372">
        <v>4</v>
      </c>
      <c r="AG8" s="372">
        <v>2</v>
      </c>
      <c r="AH8" s="882"/>
      <c r="AI8" s="882"/>
    </row>
    <row r="9" spans="1:35" ht="18" customHeight="1" x14ac:dyDescent="0.2">
      <c r="A9" s="1070"/>
      <c r="B9" s="598">
        <f t="shared" ref="B9:J9" si="4">B8/B$34</f>
        <v>1.6550522648083623E-2</v>
      </c>
      <c r="C9" s="598">
        <f t="shared" si="4"/>
        <v>2.2240527182866558E-2</v>
      </c>
      <c r="D9" s="598">
        <f t="shared" si="4"/>
        <v>1.5248796147672551E-2</v>
      </c>
      <c r="E9" s="598">
        <f t="shared" si="4"/>
        <v>1.0466222645099905E-2</v>
      </c>
      <c r="F9" s="598">
        <f t="shared" si="4"/>
        <v>9.46969696969697E-3</v>
      </c>
      <c r="G9" s="598">
        <f t="shared" si="4"/>
        <v>2.5812939993295342E-2</v>
      </c>
      <c r="H9" s="598">
        <f t="shared" si="4"/>
        <v>1.7394391196308128E-2</v>
      </c>
      <c r="I9" s="598">
        <f t="shared" si="4"/>
        <v>1.2318840579710146E-2</v>
      </c>
      <c r="J9" s="598">
        <f t="shared" si="4"/>
        <v>2.0683453237410072E-2</v>
      </c>
      <c r="K9" s="598">
        <f>K8/K$34</f>
        <v>1.7991004497751123E-2</v>
      </c>
      <c r="M9" s="375" t="s">
        <v>189</v>
      </c>
      <c r="N9" s="374"/>
      <c r="O9" s="374">
        <v>2</v>
      </c>
      <c r="P9" s="374"/>
      <c r="Q9" s="374">
        <v>2</v>
      </c>
      <c r="R9" s="374">
        <v>1</v>
      </c>
      <c r="S9" s="374">
        <v>1</v>
      </c>
      <c r="T9" s="374">
        <v>2</v>
      </c>
      <c r="U9" s="374"/>
      <c r="V9" s="374"/>
      <c r="W9" s="374">
        <v>3</v>
      </c>
      <c r="X9" s="374">
        <v>2</v>
      </c>
      <c r="Y9" s="374"/>
      <c r="Z9" s="374">
        <v>1</v>
      </c>
      <c r="AA9" s="374">
        <v>6</v>
      </c>
      <c r="AB9" s="374">
        <v>2</v>
      </c>
      <c r="AC9" s="374">
        <v>9</v>
      </c>
      <c r="AD9" s="374">
        <v>6</v>
      </c>
      <c r="AE9" s="374">
        <v>24</v>
      </c>
      <c r="AF9" s="374">
        <v>10</v>
      </c>
      <c r="AG9" s="374">
        <v>6</v>
      </c>
      <c r="AH9" s="884">
        <v>1</v>
      </c>
      <c r="AI9" s="884"/>
    </row>
    <row r="10" spans="1:35" ht="18" customHeight="1" x14ac:dyDescent="0.2">
      <c r="A10" s="1069" t="s">
        <v>508</v>
      </c>
      <c r="B10" s="597">
        <f>SUM(N6:P6)</f>
        <v>136</v>
      </c>
      <c r="C10" s="597">
        <f>SUM(Q6:R6)</f>
        <v>156</v>
      </c>
      <c r="D10" s="597">
        <f>SUM(S6:V6)</f>
        <v>177</v>
      </c>
      <c r="E10" s="597">
        <f>SUM(W6:Y6)</f>
        <v>112</v>
      </c>
      <c r="F10" s="597">
        <f>SUM(Z6:AA6)</f>
        <v>131</v>
      </c>
      <c r="G10" s="597">
        <f>SUM(AB6:AD6)</f>
        <v>438</v>
      </c>
      <c r="H10" s="597">
        <f>AE6</f>
        <v>306</v>
      </c>
      <c r="I10" s="597">
        <f>AF6</f>
        <v>150</v>
      </c>
      <c r="J10" s="597">
        <f>SUM(AG6:AH6)</f>
        <v>117</v>
      </c>
      <c r="K10" s="599">
        <f>SUM(B10:J10)</f>
        <v>1723</v>
      </c>
      <c r="M10" s="373" t="s">
        <v>265</v>
      </c>
      <c r="N10" s="372">
        <v>165</v>
      </c>
      <c r="O10" s="372">
        <v>227</v>
      </c>
      <c r="P10" s="372">
        <v>187</v>
      </c>
      <c r="Q10" s="372">
        <v>312</v>
      </c>
      <c r="R10" s="372">
        <v>257</v>
      </c>
      <c r="S10" s="372">
        <v>216</v>
      </c>
      <c r="T10" s="372">
        <v>131</v>
      </c>
      <c r="U10" s="372">
        <v>143</v>
      </c>
      <c r="V10" s="372">
        <v>120</v>
      </c>
      <c r="W10" s="372">
        <v>363</v>
      </c>
      <c r="X10" s="372">
        <v>144</v>
      </c>
      <c r="Y10" s="372">
        <v>36</v>
      </c>
      <c r="Z10" s="372">
        <v>213</v>
      </c>
      <c r="AA10" s="372">
        <v>250</v>
      </c>
      <c r="AB10" s="372">
        <v>337</v>
      </c>
      <c r="AC10" s="372">
        <v>482</v>
      </c>
      <c r="AD10" s="372">
        <v>312</v>
      </c>
      <c r="AE10" s="372">
        <v>1348</v>
      </c>
      <c r="AF10" s="372">
        <v>648</v>
      </c>
      <c r="AG10" s="372">
        <v>524</v>
      </c>
      <c r="AH10" s="882">
        <v>36</v>
      </c>
      <c r="AI10" s="882"/>
    </row>
    <row r="11" spans="1:35" ht="26.25" customHeight="1" x14ac:dyDescent="0.2">
      <c r="A11" s="1070"/>
      <c r="B11" s="598">
        <f t="shared" ref="B11:J11" si="5">B10/B$34</f>
        <v>0.11846689895470383</v>
      </c>
      <c r="C11" s="598">
        <f t="shared" si="5"/>
        <v>0.12850082372322899</v>
      </c>
      <c r="D11" s="598">
        <f t="shared" si="5"/>
        <v>0.1420545746388443</v>
      </c>
      <c r="E11" s="598">
        <f t="shared" si="5"/>
        <v>0.1065651760228354</v>
      </c>
      <c r="F11" s="598">
        <f t="shared" si="5"/>
        <v>0.1240530303030303</v>
      </c>
      <c r="G11" s="598">
        <f t="shared" si="5"/>
        <v>0.14683204827355012</v>
      </c>
      <c r="H11" s="598">
        <f t="shared" si="5"/>
        <v>0.10862619808306709</v>
      </c>
      <c r="I11" s="598">
        <f t="shared" si="5"/>
        <v>0.10869565217391304</v>
      </c>
      <c r="J11" s="598">
        <f t="shared" si="5"/>
        <v>0.10521582733812949</v>
      </c>
      <c r="K11" s="598">
        <f>K10/K$34</f>
        <v>0.12300992360962376</v>
      </c>
      <c r="M11" s="375" t="s">
        <v>266</v>
      </c>
      <c r="N11" s="374">
        <v>16</v>
      </c>
      <c r="O11" s="374">
        <v>30</v>
      </c>
      <c r="P11" s="374">
        <v>21</v>
      </c>
      <c r="Q11" s="374">
        <v>26</v>
      </c>
      <c r="R11" s="374">
        <v>18</v>
      </c>
      <c r="S11" s="374">
        <v>13</v>
      </c>
      <c r="T11" s="374">
        <v>12</v>
      </c>
      <c r="U11" s="374">
        <v>21</v>
      </c>
      <c r="V11" s="374">
        <v>5</v>
      </c>
      <c r="W11" s="374">
        <v>28</v>
      </c>
      <c r="X11" s="374">
        <v>15</v>
      </c>
      <c r="Y11" s="374">
        <v>2</v>
      </c>
      <c r="Z11" s="374">
        <v>17</v>
      </c>
      <c r="AA11" s="374">
        <v>19</v>
      </c>
      <c r="AB11" s="374">
        <v>43</v>
      </c>
      <c r="AC11" s="374">
        <v>72</v>
      </c>
      <c r="AD11" s="374">
        <v>32</v>
      </c>
      <c r="AE11" s="374">
        <v>131</v>
      </c>
      <c r="AF11" s="374">
        <v>66</v>
      </c>
      <c r="AG11" s="374">
        <v>49</v>
      </c>
      <c r="AH11" s="884">
        <v>3</v>
      </c>
      <c r="AI11" s="884"/>
    </row>
    <row r="12" spans="1:35" ht="18" customHeight="1" x14ac:dyDescent="0.2">
      <c r="A12" s="1067" t="s">
        <v>20</v>
      </c>
      <c r="B12" s="597">
        <f>SUM(N7:P9)</f>
        <v>45</v>
      </c>
      <c r="C12" s="597">
        <f>SUM(Q7:R9)</f>
        <v>42</v>
      </c>
      <c r="D12" s="597">
        <f>SUM(S7:V9)</f>
        <v>49</v>
      </c>
      <c r="E12" s="597">
        <f>SUM(W7:Y9)</f>
        <v>42</v>
      </c>
      <c r="F12" s="597">
        <f>SUM(Z7:AA9)</f>
        <v>52</v>
      </c>
      <c r="G12" s="597">
        <f>SUM(AB7:AD9)</f>
        <v>164</v>
      </c>
      <c r="H12" s="597">
        <f>SUM(AE7:AE9)</f>
        <v>184</v>
      </c>
      <c r="I12" s="597">
        <f>SUM(AF7:AF9)</f>
        <v>82</v>
      </c>
      <c r="J12" s="597">
        <f>SUM(AG7:AH9)</f>
        <v>86</v>
      </c>
      <c r="K12" s="599">
        <f>SUM(B12:J12)</f>
        <v>746</v>
      </c>
      <c r="M12" s="373" t="s">
        <v>267</v>
      </c>
      <c r="N12" s="372">
        <v>25</v>
      </c>
      <c r="O12" s="372">
        <v>24</v>
      </c>
      <c r="P12" s="372">
        <v>24</v>
      </c>
      <c r="Q12" s="372">
        <v>28</v>
      </c>
      <c r="R12" s="372">
        <v>27</v>
      </c>
      <c r="S12" s="372">
        <v>25</v>
      </c>
      <c r="T12" s="372">
        <v>20</v>
      </c>
      <c r="U12" s="372">
        <v>17</v>
      </c>
      <c r="V12" s="372">
        <v>22</v>
      </c>
      <c r="W12" s="372">
        <v>53</v>
      </c>
      <c r="X12" s="372">
        <v>22</v>
      </c>
      <c r="Y12" s="372">
        <v>11</v>
      </c>
      <c r="Z12" s="372">
        <v>47</v>
      </c>
      <c r="AA12" s="372">
        <v>70</v>
      </c>
      <c r="AB12" s="372">
        <v>54</v>
      </c>
      <c r="AC12" s="372">
        <v>100</v>
      </c>
      <c r="AD12" s="372">
        <v>66</v>
      </c>
      <c r="AE12" s="372">
        <v>216</v>
      </c>
      <c r="AF12" s="372">
        <v>105</v>
      </c>
      <c r="AG12" s="372">
        <v>65</v>
      </c>
      <c r="AH12" s="882">
        <v>3</v>
      </c>
      <c r="AI12" s="882"/>
    </row>
    <row r="13" spans="1:35" ht="18" customHeight="1" x14ac:dyDescent="0.2">
      <c r="A13" s="1068"/>
      <c r="B13" s="598">
        <f t="shared" ref="B13:J13" si="6">B12/B$34</f>
        <v>3.9198606271777001E-2</v>
      </c>
      <c r="C13" s="598">
        <f t="shared" si="6"/>
        <v>3.459637561779242E-2</v>
      </c>
      <c r="D13" s="598">
        <f t="shared" si="6"/>
        <v>3.9325842696629212E-2</v>
      </c>
      <c r="E13" s="598">
        <f t="shared" si="6"/>
        <v>3.9961941008563276E-2</v>
      </c>
      <c r="F13" s="598">
        <f t="shared" si="6"/>
        <v>4.924242424242424E-2</v>
      </c>
      <c r="G13" s="598">
        <f t="shared" si="6"/>
        <v>5.4978209855849815E-2</v>
      </c>
      <c r="H13" s="598">
        <f t="shared" si="6"/>
        <v>6.53177138800142E-2</v>
      </c>
      <c r="I13" s="598">
        <f t="shared" si="6"/>
        <v>5.9420289855072465E-2</v>
      </c>
      <c r="J13" s="598">
        <f t="shared" si="6"/>
        <v>7.7338129496402883E-2</v>
      </c>
      <c r="K13" s="598">
        <f>K12/K$34</f>
        <v>5.3259084743342615E-2</v>
      </c>
      <c r="M13" s="375" t="s">
        <v>268</v>
      </c>
      <c r="N13" s="374">
        <v>4</v>
      </c>
      <c r="O13" s="374">
        <v>15</v>
      </c>
      <c r="P13" s="374">
        <v>9</v>
      </c>
      <c r="Q13" s="374">
        <v>10</v>
      </c>
      <c r="R13" s="374">
        <v>10</v>
      </c>
      <c r="S13" s="374">
        <v>9</v>
      </c>
      <c r="T13" s="374">
        <v>6</v>
      </c>
      <c r="U13" s="374">
        <v>2</v>
      </c>
      <c r="V13" s="374">
        <v>3</v>
      </c>
      <c r="W13" s="374">
        <v>12</v>
      </c>
      <c r="X13" s="374">
        <v>10</v>
      </c>
      <c r="Y13" s="374">
        <v>5</v>
      </c>
      <c r="Z13" s="374">
        <v>11</v>
      </c>
      <c r="AA13" s="374">
        <v>10</v>
      </c>
      <c r="AB13" s="374">
        <v>16</v>
      </c>
      <c r="AC13" s="374">
        <v>10</v>
      </c>
      <c r="AD13" s="374">
        <v>14</v>
      </c>
      <c r="AE13" s="374">
        <v>55</v>
      </c>
      <c r="AF13" s="374">
        <v>16</v>
      </c>
      <c r="AG13" s="374">
        <v>18</v>
      </c>
      <c r="AH13" s="884">
        <v>2</v>
      </c>
      <c r="AI13" s="884"/>
    </row>
    <row r="14" spans="1:35" ht="18" customHeight="1" x14ac:dyDescent="0.2">
      <c r="A14" s="1067" t="s">
        <v>21</v>
      </c>
      <c r="B14" s="597">
        <f>SUM(N10:P10)</f>
        <v>579</v>
      </c>
      <c r="C14" s="597">
        <f>SUM(Q10:R10)</f>
        <v>569</v>
      </c>
      <c r="D14" s="597">
        <f>SUM(S10:V10)</f>
        <v>610</v>
      </c>
      <c r="E14" s="597">
        <f>SUM(W10:Y10)</f>
        <v>543</v>
      </c>
      <c r="F14" s="597">
        <f>SUM(Z10:AA10)</f>
        <v>463</v>
      </c>
      <c r="G14" s="597">
        <f>SUM(AB10:AD10)</f>
        <v>1131</v>
      </c>
      <c r="H14" s="597">
        <f>AE10</f>
        <v>1348</v>
      </c>
      <c r="I14" s="597">
        <f>AF10</f>
        <v>648</v>
      </c>
      <c r="J14" s="597">
        <f>SUM(AG10:AH10)</f>
        <v>560</v>
      </c>
      <c r="K14" s="599">
        <f>SUM(B14:J14)</f>
        <v>6451</v>
      </c>
      <c r="M14" s="373" t="s">
        <v>269</v>
      </c>
      <c r="N14" s="372">
        <v>1</v>
      </c>
      <c r="O14" s="372"/>
      <c r="P14" s="372">
        <v>3</v>
      </c>
      <c r="Q14" s="372">
        <v>2</v>
      </c>
      <c r="R14" s="372"/>
      <c r="S14" s="372"/>
      <c r="T14" s="372">
        <v>1</v>
      </c>
      <c r="U14" s="372">
        <v>1</v>
      </c>
      <c r="V14" s="372">
        <v>1</v>
      </c>
      <c r="W14" s="372">
        <v>1</v>
      </c>
      <c r="X14" s="372">
        <v>1</v>
      </c>
      <c r="Y14" s="372"/>
      <c r="Z14" s="372">
        <v>2</v>
      </c>
      <c r="AA14" s="372">
        <v>1</v>
      </c>
      <c r="AB14" s="372">
        <v>5</v>
      </c>
      <c r="AC14" s="372">
        <v>1</v>
      </c>
      <c r="AD14" s="372">
        <v>3</v>
      </c>
      <c r="AE14" s="372">
        <v>17</v>
      </c>
      <c r="AF14" s="372">
        <v>6</v>
      </c>
      <c r="AG14" s="372">
        <v>3</v>
      </c>
      <c r="AH14" s="882"/>
      <c r="AI14" s="882"/>
    </row>
    <row r="15" spans="1:35" ht="18" customHeight="1" x14ac:dyDescent="0.2">
      <c r="A15" s="1068"/>
      <c r="B15" s="598">
        <f t="shared" ref="B15:J15" si="7">B14/B$34</f>
        <v>0.50435540069686413</v>
      </c>
      <c r="C15" s="598">
        <f t="shared" si="7"/>
        <v>0.46869851729818779</v>
      </c>
      <c r="D15" s="598">
        <f t="shared" si="7"/>
        <v>0.4895666131621188</v>
      </c>
      <c r="E15" s="598">
        <f t="shared" si="7"/>
        <v>0.51665080875356806</v>
      </c>
      <c r="F15" s="598">
        <f t="shared" si="7"/>
        <v>0.43844696969696972</v>
      </c>
      <c r="G15" s="598">
        <f t="shared" si="7"/>
        <v>0.37914850821320817</v>
      </c>
      <c r="H15" s="598">
        <f t="shared" si="7"/>
        <v>0.47852325168619098</v>
      </c>
      <c r="I15" s="598">
        <f t="shared" si="7"/>
        <v>0.46956521739130436</v>
      </c>
      <c r="J15" s="598">
        <f t="shared" si="7"/>
        <v>0.50359712230215825</v>
      </c>
      <c r="K15" s="598">
        <f>K14/K$34</f>
        <v>0.46055543656743059</v>
      </c>
      <c r="M15" s="375" t="s">
        <v>274</v>
      </c>
      <c r="N15" s="374">
        <v>2</v>
      </c>
      <c r="O15" s="374">
        <v>1</v>
      </c>
      <c r="P15" s="374"/>
      <c r="Q15" s="374">
        <v>2</v>
      </c>
      <c r="R15" s="374">
        <v>1</v>
      </c>
      <c r="S15" s="374"/>
      <c r="T15" s="374"/>
      <c r="U15" s="374">
        <v>3</v>
      </c>
      <c r="V15" s="374">
        <v>1</v>
      </c>
      <c r="W15" s="374">
        <v>1</v>
      </c>
      <c r="X15" s="374">
        <v>2</v>
      </c>
      <c r="Y15" s="374"/>
      <c r="Z15" s="374">
        <v>2</v>
      </c>
      <c r="AA15" s="374">
        <v>3</v>
      </c>
      <c r="AB15" s="374">
        <v>1</v>
      </c>
      <c r="AC15" s="374">
        <v>1</v>
      </c>
      <c r="AD15" s="374">
        <v>4</v>
      </c>
      <c r="AE15" s="374">
        <v>10</v>
      </c>
      <c r="AF15" s="374">
        <v>5</v>
      </c>
      <c r="AG15" s="374">
        <v>2</v>
      </c>
      <c r="AH15" s="884"/>
      <c r="AI15" s="884"/>
    </row>
    <row r="16" spans="1:35" ht="18" customHeight="1" x14ac:dyDescent="0.2">
      <c r="A16" s="1067" t="s">
        <v>22</v>
      </c>
      <c r="B16" s="597">
        <f>SUM(N11:P12)</f>
        <v>140</v>
      </c>
      <c r="C16" s="597">
        <f>SUM(Q11:R12)</f>
        <v>99</v>
      </c>
      <c r="D16" s="597">
        <f>SUM(S11:V12)</f>
        <v>135</v>
      </c>
      <c r="E16" s="597">
        <f>SUM(W11:Y12)</f>
        <v>131</v>
      </c>
      <c r="F16" s="597">
        <f>SUM(Z11:AA12)</f>
        <v>153</v>
      </c>
      <c r="G16" s="597">
        <f>SUM(AB11:AD12)</f>
        <v>367</v>
      </c>
      <c r="H16" s="597">
        <f>SUM(AE11:AE12)</f>
        <v>347</v>
      </c>
      <c r="I16" s="597">
        <f>SUM(AF11:AF12)</f>
        <v>171</v>
      </c>
      <c r="J16" s="597">
        <f>SUM(AG11:AH12)</f>
        <v>120</v>
      </c>
      <c r="K16" s="599">
        <f>SUM(B16:J16)</f>
        <v>1663</v>
      </c>
      <c r="M16" s="373" t="s">
        <v>270</v>
      </c>
      <c r="N16" s="372">
        <v>8</v>
      </c>
      <c r="O16" s="372">
        <v>11</v>
      </c>
      <c r="P16" s="372">
        <v>4</v>
      </c>
      <c r="Q16" s="372">
        <v>7</v>
      </c>
      <c r="R16" s="372">
        <v>7</v>
      </c>
      <c r="S16" s="372">
        <v>10</v>
      </c>
      <c r="T16" s="372">
        <v>3</v>
      </c>
      <c r="U16" s="372">
        <v>7</v>
      </c>
      <c r="V16" s="372">
        <v>8</v>
      </c>
      <c r="W16" s="372">
        <v>9</v>
      </c>
      <c r="X16" s="372">
        <v>5</v>
      </c>
      <c r="Y16" s="372">
        <v>1</v>
      </c>
      <c r="Z16" s="372">
        <v>10</v>
      </c>
      <c r="AA16" s="372">
        <v>12</v>
      </c>
      <c r="AB16" s="372">
        <v>19</v>
      </c>
      <c r="AC16" s="372">
        <v>23</v>
      </c>
      <c r="AD16" s="372">
        <v>28</v>
      </c>
      <c r="AE16" s="372">
        <v>73</v>
      </c>
      <c r="AF16" s="372">
        <v>21</v>
      </c>
      <c r="AG16" s="372">
        <v>14</v>
      </c>
      <c r="AH16" s="882"/>
      <c r="AI16" s="882"/>
    </row>
    <row r="17" spans="1:35" ht="18" customHeight="1" x14ac:dyDescent="0.2">
      <c r="A17" s="1068"/>
      <c r="B17" s="598">
        <f t="shared" ref="B17:J17" si="8">B16/B$34</f>
        <v>0.12195121951219512</v>
      </c>
      <c r="C17" s="598">
        <f t="shared" si="8"/>
        <v>8.1548599670510702E-2</v>
      </c>
      <c r="D17" s="598">
        <f t="shared" si="8"/>
        <v>0.10834670947030497</v>
      </c>
      <c r="E17" s="598">
        <f t="shared" si="8"/>
        <v>0.12464319695528069</v>
      </c>
      <c r="F17" s="598">
        <f t="shared" si="8"/>
        <v>0.14488636363636365</v>
      </c>
      <c r="G17" s="598">
        <f t="shared" si="8"/>
        <v>0.12303050620181026</v>
      </c>
      <c r="H17" s="598">
        <f t="shared" si="8"/>
        <v>0.12318068867589635</v>
      </c>
      <c r="I17" s="598">
        <f t="shared" si="8"/>
        <v>0.12391304347826088</v>
      </c>
      <c r="J17" s="598">
        <f t="shared" si="8"/>
        <v>0.1079136690647482</v>
      </c>
      <c r="K17" s="598">
        <f>K16/K$34</f>
        <v>0.11872635111015921</v>
      </c>
      <c r="M17" s="375" t="s">
        <v>271</v>
      </c>
      <c r="N17" s="374">
        <v>3</v>
      </c>
      <c r="O17" s="374">
        <v>7</v>
      </c>
      <c r="P17" s="374">
        <v>2</v>
      </c>
      <c r="Q17" s="374">
        <v>6</v>
      </c>
      <c r="R17" s="374">
        <v>9</v>
      </c>
      <c r="S17" s="374">
        <v>3</v>
      </c>
      <c r="T17" s="374">
        <v>7</v>
      </c>
      <c r="U17" s="374">
        <v>5</v>
      </c>
      <c r="V17" s="374">
        <v>6</v>
      </c>
      <c r="W17" s="374">
        <v>17</v>
      </c>
      <c r="X17" s="374">
        <v>4</v>
      </c>
      <c r="Y17" s="374">
        <v>3</v>
      </c>
      <c r="Z17" s="374">
        <v>4</v>
      </c>
      <c r="AA17" s="374">
        <v>7</v>
      </c>
      <c r="AB17" s="374">
        <v>14</v>
      </c>
      <c r="AC17" s="374">
        <v>11</v>
      </c>
      <c r="AD17" s="374">
        <v>4</v>
      </c>
      <c r="AE17" s="374">
        <v>49</v>
      </c>
      <c r="AF17" s="374">
        <v>15</v>
      </c>
      <c r="AG17" s="374">
        <v>12</v>
      </c>
      <c r="AH17" s="884"/>
      <c r="AI17" s="884"/>
    </row>
    <row r="18" spans="1:35" ht="18" customHeight="1" x14ac:dyDescent="0.2">
      <c r="A18" s="1067" t="s">
        <v>235</v>
      </c>
      <c r="B18" s="597">
        <f>SUM(N13:P13)</f>
        <v>28</v>
      </c>
      <c r="C18" s="597">
        <f>SUM(Q13:R13)</f>
        <v>20</v>
      </c>
      <c r="D18" s="597">
        <f>SUM(S13:V13)</f>
        <v>20</v>
      </c>
      <c r="E18" s="597">
        <f>SUM(W13:Y13)</f>
        <v>27</v>
      </c>
      <c r="F18" s="597">
        <f>SUM(Z13:AA13)</f>
        <v>21</v>
      </c>
      <c r="G18" s="597">
        <f>SUM(AB13:AD13)</f>
        <v>40</v>
      </c>
      <c r="H18" s="597">
        <f>AE13</f>
        <v>55</v>
      </c>
      <c r="I18" s="597">
        <f>AF13</f>
        <v>16</v>
      </c>
      <c r="J18" s="597">
        <f>SUM(AG13:AH13)</f>
        <v>20</v>
      </c>
      <c r="K18" s="599">
        <f>SUM(B18:J18)</f>
        <v>247</v>
      </c>
      <c r="M18" s="373" t="s">
        <v>275</v>
      </c>
      <c r="N18" s="372">
        <v>3</v>
      </c>
      <c r="O18" s="372">
        <v>2</v>
      </c>
      <c r="P18" s="372">
        <v>2</v>
      </c>
      <c r="Q18" s="372">
        <v>3</v>
      </c>
      <c r="R18" s="372">
        <v>1</v>
      </c>
      <c r="S18" s="372">
        <v>2</v>
      </c>
      <c r="T18" s="372">
        <v>1</v>
      </c>
      <c r="U18" s="372">
        <v>1</v>
      </c>
      <c r="V18" s="372">
        <v>3</v>
      </c>
      <c r="W18" s="372">
        <v>2</v>
      </c>
      <c r="X18" s="372"/>
      <c r="Y18" s="372"/>
      <c r="Z18" s="372">
        <v>1</v>
      </c>
      <c r="AA18" s="372">
        <v>2</v>
      </c>
      <c r="AB18" s="372">
        <v>1</v>
      </c>
      <c r="AC18" s="372">
        <v>1</v>
      </c>
      <c r="AD18" s="372">
        <v>2</v>
      </c>
      <c r="AE18" s="372">
        <v>14</v>
      </c>
      <c r="AF18" s="372">
        <v>4</v>
      </c>
      <c r="AG18" s="372">
        <v>4</v>
      </c>
      <c r="AH18" s="882"/>
      <c r="AI18" s="882"/>
    </row>
    <row r="19" spans="1:35" ht="18" customHeight="1" x14ac:dyDescent="0.2">
      <c r="A19" s="1068"/>
      <c r="B19" s="598">
        <f t="shared" ref="B19:J19" si="9">B18/B$34</f>
        <v>2.4390243902439025E-2</v>
      </c>
      <c r="C19" s="598">
        <f t="shared" si="9"/>
        <v>1.6474464579901153E-2</v>
      </c>
      <c r="D19" s="598">
        <f t="shared" si="9"/>
        <v>1.6051364365971106E-2</v>
      </c>
      <c r="E19" s="598">
        <f t="shared" si="9"/>
        <v>2.5689819219790674E-2</v>
      </c>
      <c r="F19" s="598">
        <f t="shared" si="9"/>
        <v>1.9886363636363636E-2</v>
      </c>
      <c r="G19" s="598">
        <f t="shared" si="9"/>
        <v>1.340931947703654E-2</v>
      </c>
      <c r="H19" s="598">
        <f t="shared" si="9"/>
        <v>1.9524316648917288E-2</v>
      </c>
      <c r="I19" s="598">
        <f t="shared" si="9"/>
        <v>1.1594202898550725E-2</v>
      </c>
      <c r="J19" s="598">
        <f t="shared" si="9"/>
        <v>1.7985611510791366E-2</v>
      </c>
      <c r="K19" s="598">
        <f>K18/K$34</f>
        <v>1.7634040122795746E-2</v>
      </c>
      <c r="M19" s="375" t="s">
        <v>272</v>
      </c>
      <c r="N19" s="374"/>
      <c r="O19" s="374"/>
      <c r="P19" s="374">
        <v>1</v>
      </c>
      <c r="Q19" s="374">
        <v>2</v>
      </c>
      <c r="R19" s="374">
        <v>1</v>
      </c>
      <c r="S19" s="374">
        <v>2</v>
      </c>
      <c r="T19" s="374"/>
      <c r="U19" s="374"/>
      <c r="V19" s="374"/>
      <c r="W19" s="374"/>
      <c r="X19" s="374"/>
      <c r="Y19" s="374">
        <v>1</v>
      </c>
      <c r="Z19" s="374">
        <v>1</v>
      </c>
      <c r="AA19" s="374">
        <v>1</v>
      </c>
      <c r="AB19" s="374">
        <v>1</v>
      </c>
      <c r="AC19" s="374">
        <v>3</v>
      </c>
      <c r="AD19" s="374">
        <v>1</v>
      </c>
      <c r="AE19" s="374">
        <v>8</v>
      </c>
      <c r="AF19" s="374"/>
      <c r="AG19" s="374">
        <v>2</v>
      </c>
      <c r="AH19" s="884"/>
      <c r="AI19" s="884"/>
    </row>
    <row r="20" spans="1:35" ht="18" customHeight="1" x14ac:dyDescent="0.2">
      <c r="A20" s="1067" t="s">
        <v>236</v>
      </c>
      <c r="B20" s="597">
        <f>SUM(N14:P14)</f>
        <v>4</v>
      </c>
      <c r="C20" s="597">
        <f>SUM(Q14:R14)</f>
        <v>2</v>
      </c>
      <c r="D20" s="597">
        <f>SUM(S14:V14)</f>
        <v>3</v>
      </c>
      <c r="E20" s="597">
        <f>SUM(W14:Y14)</f>
        <v>2</v>
      </c>
      <c r="F20" s="597">
        <f>SUM(Z14:AA14)</f>
        <v>3</v>
      </c>
      <c r="G20" s="597">
        <f>SUM(AB14:AD14)</f>
        <v>9</v>
      </c>
      <c r="H20" s="597">
        <f>AE14</f>
        <v>17</v>
      </c>
      <c r="I20" s="597">
        <f>AF14</f>
        <v>6</v>
      </c>
      <c r="J20" s="597">
        <f>SUM(AG14:AH14)</f>
        <v>3</v>
      </c>
      <c r="K20" s="599">
        <f>SUM(B20:J20)</f>
        <v>49</v>
      </c>
      <c r="M20" s="373" t="s">
        <v>18</v>
      </c>
      <c r="N20" s="372"/>
      <c r="O20" s="372"/>
      <c r="P20" s="372">
        <v>2</v>
      </c>
      <c r="Q20" s="372">
        <v>1</v>
      </c>
      <c r="R20" s="372">
        <v>2</v>
      </c>
      <c r="S20" s="372"/>
      <c r="T20" s="372">
        <v>2</v>
      </c>
      <c r="U20" s="372">
        <v>1</v>
      </c>
      <c r="V20" s="372">
        <v>1</v>
      </c>
      <c r="W20" s="372">
        <v>6</v>
      </c>
      <c r="X20" s="372">
        <v>2</v>
      </c>
      <c r="Y20" s="372">
        <v>5</v>
      </c>
      <c r="Z20" s="372">
        <v>5</v>
      </c>
      <c r="AA20" s="372">
        <v>4</v>
      </c>
      <c r="AB20" s="372">
        <v>8</v>
      </c>
      <c r="AC20" s="372">
        <v>6</v>
      </c>
      <c r="AD20" s="372">
        <v>2</v>
      </c>
      <c r="AE20" s="372">
        <v>13</v>
      </c>
      <c r="AF20" s="372">
        <v>10</v>
      </c>
      <c r="AG20" s="372">
        <v>11</v>
      </c>
      <c r="AH20" s="882">
        <v>1</v>
      </c>
      <c r="AI20" s="882"/>
    </row>
    <row r="21" spans="1:35" ht="18" customHeight="1" x14ac:dyDescent="0.2">
      <c r="A21" s="1068"/>
      <c r="B21" s="598">
        <f t="shared" ref="B21:J21" si="10">B20/B$34</f>
        <v>3.4843205574912892E-3</v>
      </c>
      <c r="C21" s="598">
        <f t="shared" si="10"/>
        <v>1.6474464579901153E-3</v>
      </c>
      <c r="D21" s="598">
        <f t="shared" si="10"/>
        <v>2.407704654895666E-3</v>
      </c>
      <c r="E21" s="598">
        <f t="shared" si="10"/>
        <v>1.9029495718363464E-3</v>
      </c>
      <c r="F21" s="598">
        <f t="shared" si="10"/>
        <v>2.840909090909091E-3</v>
      </c>
      <c r="G21" s="598">
        <f t="shared" si="10"/>
        <v>3.0170968823332216E-3</v>
      </c>
      <c r="H21" s="598">
        <f t="shared" si="10"/>
        <v>6.0347887823926161E-3</v>
      </c>
      <c r="I21" s="598">
        <f t="shared" si="10"/>
        <v>4.3478260869565218E-3</v>
      </c>
      <c r="J21" s="598">
        <f t="shared" si="10"/>
        <v>2.6978417266187052E-3</v>
      </c>
      <c r="K21" s="598">
        <f>K20/K$34</f>
        <v>3.4982508745627187E-3</v>
      </c>
      <c r="M21" s="375" t="s">
        <v>346</v>
      </c>
      <c r="N21" s="375"/>
      <c r="O21" s="375"/>
      <c r="P21" s="375"/>
      <c r="Q21" s="375"/>
      <c r="R21" s="375"/>
      <c r="S21" s="375"/>
      <c r="T21" s="375"/>
      <c r="U21" s="375"/>
      <c r="V21" s="375"/>
      <c r="W21" s="375"/>
      <c r="X21" s="375"/>
      <c r="Y21" s="375"/>
      <c r="Z21" s="375"/>
      <c r="AA21" s="375"/>
      <c r="AB21" s="375"/>
      <c r="AC21" s="375"/>
      <c r="AD21" s="375"/>
      <c r="AE21" s="375"/>
      <c r="AF21" s="375">
        <v>1</v>
      </c>
      <c r="AG21" s="375"/>
      <c r="AH21" s="884"/>
      <c r="AI21" s="884"/>
    </row>
    <row r="22" spans="1:35" ht="18" customHeight="1" x14ac:dyDescent="0.2">
      <c r="A22" s="1067" t="s">
        <v>509</v>
      </c>
      <c r="B22" s="597">
        <f>SUM(N15:P15)</f>
        <v>3</v>
      </c>
      <c r="C22" s="597">
        <f>SUM(Q15:R15)</f>
        <v>3</v>
      </c>
      <c r="D22" s="597">
        <f>SUM(S15:V15)</f>
        <v>4</v>
      </c>
      <c r="E22" s="597">
        <f>SUM(W15:Y15)</f>
        <v>3</v>
      </c>
      <c r="F22" s="597">
        <f>SUM(Z15:AA15)</f>
        <v>5</v>
      </c>
      <c r="G22" s="597">
        <f>SUM(AB15:AD15)</f>
        <v>6</v>
      </c>
      <c r="H22" s="597">
        <f>AE15</f>
        <v>10</v>
      </c>
      <c r="I22" s="597">
        <f>AF15</f>
        <v>5</v>
      </c>
      <c r="J22" s="597">
        <f>SUM(AG15:AH15)</f>
        <v>2</v>
      </c>
      <c r="K22" s="599">
        <f>SUM(B22:J22)</f>
        <v>41</v>
      </c>
      <c r="M22" s="375" t="s">
        <v>726</v>
      </c>
      <c r="AH22" s="884"/>
      <c r="AI22" s="884"/>
    </row>
    <row r="23" spans="1:35" ht="18" customHeight="1" x14ac:dyDescent="0.2">
      <c r="A23" s="1068"/>
      <c r="B23" s="598">
        <f t="shared" ref="B23:J23" si="11">B22/B$34</f>
        <v>2.6132404181184671E-3</v>
      </c>
      <c r="C23" s="598">
        <f t="shared" si="11"/>
        <v>2.4711696869851728E-3</v>
      </c>
      <c r="D23" s="598">
        <f t="shared" si="11"/>
        <v>3.2102728731942215E-3</v>
      </c>
      <c r="E23" s="598">
        <f t="shared" si="11"/>
        <v>2.8544243577545195E-3</v>
      </c>
      <c r="F23" s="598">
        <f t="shared" si="11"/>
        <v>4.734848484848485E-3</v>
      </c>
      <c r="G23" s="598">
        <f t="shared" si="11"/>
        <v>2.0113979215554811E-3</v>
      </c>
      <c r="H23" s="598">
        <f t="shared" si="11"/>
        <v>3.549875754348598E-3</v>
      </c>
      <c r="I23" s="598">
        <f t="shared" si="11"/>
        <v>3.6231884057971015E-3</v>
      </c>
      <c r="J23" s="598">
        <f t="shared" si="11"/>
        <v>1.7985611510791368E-3</v>
      </c>
      <c r="K23" s="598">
        <f>K22/K$34</f>
        <v>2.9271078746341116E-3</v>
      </c>
    </row>
    <row r="24" spans="1:35" ht="18" customHeight="1" x14ac:dyDescent="0.2">
      <c r="A24" s="1067" t="s">
        <v>510</v>
      </c>
      <c r="B24" s="597">
        <f>SUM(N16:P16)</f>
        <v>23</v>
      </c>
      <c r="C24" s="597">
        <f>SUM(Q16:R16)</f>
        <v>14</v>
      </c>
      <c r="D24" s="597">
        <f>SUM(S16:V16)</f>
        <v>28</v>
      </c>
      <c r="E24" s="597">
        <f>SUM(W16:Y16)</f>
        <v>15</v>
      </c>
      <c r="F24" s="597">
        <f>SUM(Z16:AA16)</f>
        <v>22</v>
      </c>
      <c r="G24" s="597">
        <f>SUM(AB16:AD16)</f>
        <v>70</v>
      </c>
      <c r="H24" s="597">
        <f>AE16</f>
        <v>73</v>
      </c>
      <c r="I24" s="597">
        <f>AF16</f>
        <v>21</v>
      </c>
      <c r="J24" s="597">
        <f>SUM(AG16:AH16)</f>
        <v>14</v>
      </c>
      <c r="K24" s="599">
        <f>SUM(B24:J24)</f>
        <v>280</v>
      </c>
    </row>
    <row r="25" spans="1:35" ht="18" customHeight="1" x14ac:dyDescent="0.2">
      <c r="A25" s="1068"/>
      <c r="B25" s="598">
        <f t="shared" ref="B25:J25" si="12">B24/B$34</f>
        <v>2.0034843205574911E-2</v>
      </c>
      <c r="C25" s="598">
        <f t="shared" si="12"/>
        <v>1.1532125205930808E-2</v>
      </c>
      <c r="D25" s="598">
        <f t="shared" si="12"/>
        <v>2.247191011235955E-2</v>
      </c>
      <c r="E25" s="598">
        <f t="shared" si="12"/>
        <v>1.4272121788772598E-2</v>
      </c>
      <c r="F25" s="598">
        <f t="shared" si="12"/>
        <v>2.0833333333333332E-2</v>
      </c>
      <c r="G25" s="598">
        <f t="shared" si="12"/>
        <v>2.3466309084813945E-2</v>
      </c>
      <c r="H25" s="598">
        <f t="shared" si="12"/>
        <v>2.5914093006744764E-2</v>
      </c>
      <c r="I25" s="598">
        <f t="shared" si="12"/>
        <v>1.5217391304347827E-2</v>
      </c>
      <c r="J25" s="598">
        <f t="shared" si="12"/>
        <v>1.2589928057553957E-2</v>
      </c>
      <c r="K25" s="598">
        <f>K24/K$34</f>
        <v>1.999000499750125E-2</v>
      </c>
    </row>
    <row r="26" spans="1:35" ht="18" customHeight="1" x14ac:dyDescent="0.2">
      <c r="A26" s="1067" t="s">
        <v>79</v>
      </c>
      <c r="B26" s="597">
        <f>SUM(N17:P17)</f>
        <v>12</v>
      </c>
      <c r="C26" s="597">
        <f>SUM(Q17:R17)</f>
        <v>15</v>
      </c>
      <c r="D26" s="597">
        <f>SUM(S17:V17)</f>
        <v>21</v>
      </c>
      <c r="E26" s="597">
        <f>SUM(W17:Y17)</f>
        <v>24</v>
      </c>
      <c r="F26" s="597">
        <f>SUM(Z17:AA17)</f>
        <v>11</v>
      </c>
      <c r="G26" s="597">
        <f>SUM(AB17:AD17)</f>
        <v>29</v>
      </c>
      <c r="H26" s="597">
        <f>AE17</f>
        <v>49</v>
      </c>
      <c r="I26" s="597">
        <f>AF17</f>
        <v>15</v>
      </c>
      <c r="J26" s="597">
        <f>SUM(AG17:AH17)</f>
        <v>12</v>
      </c>
      <c r="K26" s="599">
        <f>SUM(B26:J26)</f>
        <v>188</v>
      </c>
    </row>
    <row r="27" spans="1:35" ht="18" customHeight="1" x14ac:dyDescent="0.2">
      <c r="A27" s="1068"/>
      <c r="B27" s="598">
        <f t="shared" ref="B27:J27" si="13">B26/B$34</f>
        <v>1.0452961672473868E-2</v>
      </c>
      <c r="C27" s="598">
        <f t="shared" si="13"/>
        <v>1.2355848434925865E-2</v>
      </c>
      <c r="D27" s="598">
        <f t="shared" si="13"/>
        <v>1.6853932584269662E-2</v>
      </c>
      <c r="E27" s="598">
        <f t="shared" si="13"/>
        <v>2.2835394862036156E-2</v>
      </c>
      <c r="F27" s="598">
        <f t="shared" si="13"/>
        <v>1.0416666666666666E-2</v>
      </c>
      <c r="G27" s="598">
        <f t="shared" si="13"/>
        <v>9.7217566208514915E-3</v>
      </c>
      <c r="H27" s="598">
        <f t="shared" si="13"/>
        <v>1.7394391196308128E-2</v>
      </c>
      <c r="I27" s="598">
        <f t="shared" si="13"/>
        <v>1.0869565217391304E-2</v>
      </c>
      <c r="J27" s="598">
        <f t="shared" si="13"/>
        <v>1.0791366906474821E-2</v>
      </c>
      <c r="K27" s="598">
        <f>K26/K$34</f>
        <v>1.3421860498322268E-2</v>
      </c>
    </row>
    <row r="28" spans="1:35" ht="18" customHeight="1" x14ac:dyDescent="0.2">
      <c r="A28" s="1067" t="s">
        <v>511</v>
      </c>
      <c r="B28" s="597">
        <f>SUM(N18:P18)</f>
        <v>7</v>
      </c>
      <c r="C28" s="597">
        <f>SUM(Q18:R18)</f>
        <v>4</v>
      </c>
      <c r="D28" s="597">
        <f>SUM(S18:V18)</f>
        <v>7</v>
      </c>
      <c r="E28" s="597">
        <f>SUM(W18:Y18)</f>
        <v>2</v>
      </c>
      <c r="F28" s="597">
        <f>SUM(Z18:AA18)</f>
        <v>3</v>
      </c>
      <c r="G28" s="597">
        <f>SUM(AB18:AD18)</f>
        <v>4</v>
      </c>
      <c r="H28" s="597">
        <f>AE18</f>
        <v>14</v>
      </c>
      <c r="I28" s="597">
        <f>AF18</f>
        <v>4</v>
      </c>
      <c r="J28" s="597">
        <f>SUM(AG18:AH18)</f>
        <v>4</v>
      </c>
      <c r="K28" s="599">
        <f>SUM(B28:J28)</f>
        <v>49</v>
      </c>
    </row>
    <row r="29" spans="1:35" ht="26.25" customHeight="1" x14ac:dyDescent="0.2">
      <c r="A29" s="1068"/>
      <c r="B29" s="598">
        <f t="shared" ref="B29:J29" si="14">B28/B$34</f>
        <v>6.0975609756097563E-3</v>
      </c>
      <c r="C29" s="598">
        <f t="shared" si="14"/>
        <v>3.2948929159802307E-3</v>
      </c>
      <c r="D29" s="598">
        <f t="shared" si="14"/>
        <v>5.6179775280898875E-3</v>
      </c>
      <c r="E29" s="598">
        <f t="shared" si="14"/>
        <v>1.9029495718363464E-3</v>
      </c>
      <c r="F29" s="598">
        <f t="shared" si="14"/>
        <v>2.840909090909091E-3</v>
      </c>
      <c r="G29" s="598">
        <f t="shared" si="14"/>
        <v>1.3409319477036541E-3</v>
      </c>
      <c r="H29" s="598">
        <f t="shared" si="14"/>
        <v>4.9698260560880371E-3</v>
      </c>
      <c r="I29" s="598">
        <f t="shared" si="14"/>
        <v>2.8985507246376812E-3</v>
      </c>
      <c r="J29" s="598">
        <f t="shared" si="14"/>
        <v>3.5971223021582736E-3</v>
      </c>
      <c r="K29" s="598">
        <f>K28/K$34</f>
        <v>3.4982508745627187E-3</v>
      </c>
    </row>
    <row r="30" spans="1:35" ht="18" customHeight="1" x14ac:dyDescent="0.2">
      <c r="A30" s="1067" t="s">
        <v>113</v>
      </c>
      <c r="B30" s="597">
        <f>SUM(N19:P19)</f>
        <v>1</v>
      </c>
      <c r="C30" s="597">
        <f>SUM(Q19:R19)</f>
        <v>3</v>
      </c>
      <c r="D30" s="597">
        <f>SUM(S19:V19)</f>
        <v>2</v>
      </c>
      <c r="E30" s="597">
        <f>SUM(W19:Y19)</f>
        <v>1</v>
      </c>
      <c r="F30" s="597">
        <f>SUM(Z19:AA19)</f>
        <v>2</v>
      </c>
      <c r="G30" s="597">
        <f>SUM(AB19:AD19)</f>
        <v>5</v>
      </c>
      <c r="H30" s="597">
        <f>AE19</f>
        <v>8</v>
      </c>
      <c r="I30" s="597">
        <f>AF19</f>
        <v>0</v>
      </c>
      <c r="J30" s="597">
        <f>SUM(AG19:AH19)</f>
        <v>2</v>
      </c>
      <c r="K30" s="599">
        <f>SUM(B30:J30)</f>
        <v>24</v>
      </c>
    </row>
    <row r="31" spans="1:35" ht="18" customHeight="1" x14ac:dyDescent="0.2">
      <c r="A31" s="1068"/>
      <c r="B31" s="598">
        <f t="shared" ref="B31:J31" si="15">B30/B$34</f>
        <v>8.710801393728223E-4</v>
      </c>
      <c r="C31" s="598">
        <f t="shared" si="15"/>
        <v>2.4711696869851728E-3</v>
      </c>
      <c r="D31" s="598">
        <f t="shared" si="15"/>
        <v>1.6051364365971107E-3</v>
      </c>
      <c r="E31" s="598">
        <f t="shared" si="15"/>
        <v>9.5147478591817321E-4</v>
      </c>
      <c r="F31" s="598">
        <f t="shared" si="15"/>
        <v>1.893939393939394E-3</v>
      </c>
      <c r="G31" s="598">
        <f t="shared" si="15"/>
        <v>1.6761649346295675E-3</v>
      </c>
      <c r="H31" s="598">
        <f t="shared" si="15"/>
        <v>2.8399006034788782E-3</v>
      </c>
      <c r="I31" s="598">
        <f t="shared" si="15"/>
        <v>0</v>
      </c>
      <c r="J31" s="598">
        <f t="shared" si="15"/>
        <v>1.7985611510791368E-3</v>
      </c>
      <c r="K31" s="598">
        <f>K30/K$34</f>
        <v>1.7134289997858213E-3</v>
      </c>
    </row>
    <row r="32" spans="1:35" ht="18" customHeight="1" x14ac:dyDescent="0.2">
      <c r="A32" s="1067" t="s">
        <v>512</v>
      </c>
      <c r="B32" s="597">
        <f>SUM(N20:P21)</f>
        <v>2</v>
      </c>
      <c r="C32" s="597">
        <f>SUM(Q20:R21)</f>
        <v>3</v>
      </c>
      <c r="D32" s="597">
        <f>SUM(S20:V21)</f>
        <v>4</v>
      </c>
      <c r="E32" s="597">
        <f>SUM(W20:Y21)</f>
        <v>13</v>
      </c>
      <c r="F32" s="597">
        <f>SUM(Z20:AA21)</f>
        <v>9</v>
      </c>
      <c r="G32" s="597">
        <f>SUM(AB20:AD21)</f>
        <v>16</v>
      </c>
      <c r="H32" s="597">
        <f>SUM(AE20:AE21)</f>
        <v>13</v>
      </c>
      <c r="I32" s="597">
        <f>SUM(AF20:AF21)</f>
        <v>11</v>
      </c>
      <c r="J32" s="597">
        <f>SUM(AG20:AH21)</f>
        <v>12</v>
      </c>
      <c r="K32" s="599">
        <f>SUM(B32:J32)</f>
        <v>83</v>
      </c>
    </row>
    <row r="33" spans="1:11" ht="18" customHeight="1" x14ac:dyDescent="0.2">
      <c r="A33" s="1068"/>
      <c r="B33" s="598">
        <f t="shared" ref="B33:J33" si="16">B32/B$34</f>
        <v>1.7421602787456446E-3</v>
      </c>
      <c r="C33" s="598">
        <f t="shared" si="16"/>
        <v>2.4711696869851728E-3</v>
      </c>
      <c r="D33" s="598">
        <f t="shared" si="16"/>
        <v>3.2102728731942215E-3</v>
      </c>
      <c r="E33" s="598">
        <f t="shared" si="16"/>
        <v>1.2369172216936251E-2</v>
      </c>
      <c r="F33" s="598">
        <f t="shared" si="16"/>
        <v>8.5227272727272721E-3</v>
      </c>
      <c r="G33" s="598">
        <f t="shared" si="16"/>
        <v>5.3637277908146165E-3</v>
      </c>
      <c r="H33" s="598">
        <f t="shared" si="16"/>
        <v>4.6148384806531774E-3</v>
      </c>
      <c r="I33" s="598">
        <f t="shared" si="16"/>
        <v>7.9710144927536229E-3</v>
      </c>
      <c r="J33" s="598">
        <f t="shared" si="16"/>
        <v>1.0791366906474821E-2</v>
      </c>
      <c r="K33" s="598">
        <f>K32/K$34</f>
        <v>5.9256086242592985E-3</v>
      </c>
    </row>
    <row r="34" spans="1:11" ht="18" customHeight="1" x14ac:dyDescent="0.2">
      <c r="A34" s="1091" t="s">
        <v>149</v>
      </c>
      <c r="B34" s="871">
        <f>SUM(B6,B8,B10,B12,B14,B16,B18,B20,B22,B24,B26,B28,B30,B32)</f>
        <v>1148</v>
      </c>
      <c r="C34" s="871">
        <f>SUM(C6,C8,C10,C12,C14,C16,C18,C20,C22,C24,C26,C28,C30,C32)</f>
        <v>1214</v>
      </c>
      <c r="D34" s="871">
        <f>SUM(D6,D8,D10,D12,D14,D16,D18,D20,D22,D24,D26,D28,D30,D32)</f>
        <v>1246</v>
      </c>
      <c r="E34" s="871">
        <f t="shared" ref="C34:J35" si="17">SUM(E6,E8,E10,E12,E14,E16,E18,E20,E22,E24,E26,E28,E30,E32)</f>
        <v>1051</v>
      </c>
      <c r="F34" s="871">
        <f>SUM(F6,F8,F10,F12,F14,F16,F18,F20,F22,F24,F26,F28,F30,F32)</f>
        <v>1056</v>
      </c>
      <c r="G34" s="871">
        <f>SUM(G6,G8,G10,G12,G14,G16,G18,G20,G22,G24,G26,G28,G30,G32)</f>
        <v>2983</v>
      </c>
      <c r="H34" s="871">
        <f t="shared" si="17"/>
        <v>2817</v>
      </c>
      <c r="I34" s="871">
        <f t="shared" si="17"/>
        <v>1380</v>
      </c>
      <c r="J34" s="871">
        <f t="shared" si="17"/>
        <v>1112</v>
      </c>
      <c r="K34" s="872">
        <f>SUM(B34:J34)</f>
        <v>14007</v>
      </c>
    </row>
    <row r="35" spans="1:11" ht="18" customHeight="1" x14ac:dyDescent="0.2">
      <c r="A35" s="1092"/>
      <c r="B35" s="874">
        <f>SUM(B7,B9,B11,B13,B15,B17,B19,B21,B23,B25,B27,B29,B31,B33)</f>
        <v>1.0000000000000002</v>
      </c>
      <c r="C35" s="874">
        <f t="shared" si="17"/>
        <v>1</v>
      </c>
      <c r="D35" s="874">
        <f t="shared" si="17"/>
        <v>1.0000000000000002</v>
      </c>
      <c r="E35" s="874">
        <f t="shared" si="17"/>
        <v>0.99999999999999989</v>
      </c>
      <c r="F35" s="874">
        <f t="shared" si="17"/>
        <v>1</v>
      </c>
      <c r="G35" s="874">
        <f t="shared" si="17"/>
        <v>0.99999999999999989</v>
      </c>
      <c r="H35" s="874">
        <f t="shared" si="17"/>
        <v>1</v>
      </c>
      <c r="I35" s="874">
        <f t="shared" si="17"/>
        <v>1.0000000000000002</v>
      </c>
      <c r="J35" s="874">
        <f t="shared" si="17"/>
        <v>1</v>
      </c>
      <c r="K35" s="874">
        <f>SUM(K7,K9,K11,K13,K15,K17,K19,K21,K23,K25,K27,K29,K31,K33)</f>
        <v>0.99999999999999989</v>
      </c>
    </row>
  </sheetData>
  <mergeCells count="16">
    <mergeCell ref="A14:A15"/>
    <mergeCell ref="A4:A5"/>
    <mergeCell ref="A6:A7"/>
    <mergeCell ref="A8:A9"/>
    <mergeCell ref="A10:A11"/>
    <mergeCell ref="A12:A13"/>
    <mergeCell ref="A28:A29"/>
    <mergeCell ref="A30:A31"/>
    <mergeCell ref="A32:A33"/>
    <mergeCell ref="A34:A35"/>
    <mergeCell ref="A16:A17"/>
    <mergeCell ref="A18:A19"/>
    <mergeCell ref="A20:A21"/>
    <mergeCell ref="A22:A23"/>
    <mergeCell ref="A24:A25"/>
    <mergeCell ref="A26:A27"/>
  </mergeCells>
  <phoneticPr fontId="2"/>
  <printOptions horizontalCentered="1"/>
  <pageMargins left="0.70866141732283472" right="0.70866141732283472" top="0.74803149606299213" bottom="0.74803149606299213"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1377" r:id="rId4" name="Button 1">
              <controlPr defaultSize="0" print="0" autoFill="0" autoPict="0" macro="[0]!データ削除_疾患名区分入院時住所地">
                <anchor moveWithCells="1" sizeWithCells="1">
                  <from>
                    <xdr:col>12</xdr:col>
                    <xdr:colOff>30480</xdr:colOff>
                    <xdr:row>24</xdr:row>
                    <xdr:rowOff>30480</xdr:rowOff>
                  </from>
                  <to>
                    <xdr:col>15</xdr:col>
                    <xdr:colOff>236220</xdr:colOff>
                    <xdr:row>26</xdr:row>
                    <xdr:rowOff>190500</xdr:rowOff>
                  </to>
                </anchor>
              </controlPr>
            </control>
          </mc:Choice>
        </mc:AlternateContent>
      </controls>
    </mc:Choice>
  </mc:AlternateContent>
  <tableParts count="1">
    <tablePart r:id="rId5"/>
  </tablePart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7E624-9AC3-47BC-A5C7-BE4970B0216F}">
  <sheetPr codeName="Sheet41">
    <tabColor theme="5" tint="0.39997558519241921"/>
    <pageSetUpPr fitToPage="1"/>
  </sheetPr>
  <dimension ref="A1:AJ48"/>
  <sheetViews>
    <sheetView showGridLines="0" view="pageBreakPreview" zoomScale="80" zoomScaleNormal="80" zoomScaleSheetLayoutView="80" workbookViewId="0"/>
  </sheetViews>
  <sheetFormatPr defaultColWidth="13.77734375" defaultRowHeight="13.2" x14ac:dyDescent="0.2"/>
  <cols>
    <col min="1" max="1" width="15.6640625" customWidth="1"/>
    <col min="2" max="11" width="8.77734375" customWidth="1"/>
    <col min="12" max="12" width="7.21875" hidden="1" customWidth="1"/>
    <col min="13" max="13" width="10.33203125" hidden="1" customWidth="1"/>
    <col min="14" max="14" width="11" hidden="1" customWidth="1"/>
    <col min="15" max="16" width="12.88671875" hidden="1" customWidth="1"/>
    <col min="17" max="17" width="9.6640625" hidden="1" customWidth="1"/>
    <col min="18" max="18" width="12.88671875" hidden="1" customWidth="1"/>
    <col min="19" max="19" width="14.77734375" hidden="1" customWidth="1"/>
    <col min="20" max="20" width="16.6640625" hidden="1" customWidth="1"/>
    <col min="21" max="22" width="12.88671875" hidden="1" customWidth="1"/>
    <col min="23" max="23" width="16.6640625" hidden="1" customWidth="1"/>
    <col min="24" max="24" width="14.77734375" hidden="1" customWidth="1"/>
    <col min="25" max="27" width="12.88671875" hidden="1" customWidth="1"/>
    <col min="28" max="31" width="11" hidden="1" customWidth="1"/>
    <col min="32" max="32" width="9.6640625" hidden="1" customWidth="1"/>
    <col min="33" max="33" width="11" hidden="1" customWidth="1"/>
    <col min="34" max="34" width="14.77734375" hidden="1" customWidth="1"/>
    <col min="35" max="36" width="13.77734375" hidden="1" customWidth="1"/>
    <col min="37" max="37" width="13.77734375" customWidth="1"/>
  </cols>
  <sheetData>
    <row r="1" spans="1:35" s="677" customFormat="1" ht="19.2" x14ac:dyDescent="0.2">
      <c r="A1" s="2" t="s">
        <v>553</v>
      </c>
    </row>
    <row r="2" spans="1:35" ht="18" thickBot="1" x14ac:dyDescent="0.25">
      <c r="A2" s="4"/>
      <c r="B2" s="676"/>
      <c r="C2" s="676"/>
      <c r="D2" s="676"/>
      <c r="E2" s="676"/>
      <c r="F2" s="676"/>
      <c r="G2" s="676"/>
      <c r="H2" s="676"/>
      <c r="I2" s="676"/>
      <c r="J2" s="676"/>
      <c r="K2" s="676"/>
      <c r="L2" s="676"/>
      <c r="M2" s="676"/>
      <c r="N2" s="676"/>
      <c r="O2" s="676"/>
      <c r="P2" s="676"/>
      <c r="Q2" s="676"/>
      <c r="R2" s="676"/>
      <c r="S2" s="676"/>
      <c r="T2" s="676"/>
      <c r="U2" s="676"/>
      <c r="V2" s="676"/>
      <c r="W2" s="676"/>
      <c r="X2" s="676"/>
      <c r="Y2" s="676"/>
      <c r="Z2" s="676"/>
      <c r="AA2" s="676"/>
      <c r="AB2" s="676"/>
      <c r="AC2" s="676"/>
      <c r="AD2" s="676"/>
      <c r="AE2" s="676"/>
      <c r="AF2" s="676"/>
      <c r="AG2" s="676"/>
      <c r="AH2" s="676"/>
      <c r="AI2" s="676"/>
    </row>
    <row r="3" spans="1:35" ht="18.600000000000001" thickTop="1" thickBot="1" x14ac:dyDescent="0.25">
      <c r="A3" s="850"/>
      <c r="B3" s="885" t="s">
        <v>356</v>
      </c>
      <c r="C3" s="885" t="s">
        <v>357</v>
      </c>
      <c r="D3" s="885" t="s">
        <v>358</v>
      </c>
      <c r="E3" s="885" t="s">
        <v>359</v>
      </c>
      <c r="F3" s="885" t="s">
        <v>360</v>
      </c>
      <c r="G3" s="885" t="s">
        <v>361</v>
      </c>
      <c r="H3" s="885" t="s">
        <v>362</v>
      </c>
      <c r="I3" s="885" t="s">
        <v>363</v>
      </c>
      <c r="J3" s="885" t="s">
        <v>378</v>
      </c>
      <c r="K3" s="885" t="s">
        <v>61</v>
      </c>
      <c r="L3" s="676"/>
      <c r="M3" s="386" t="s">
        <v>436</v>
      </c>
      <c r="N3" s="852" t="s">
        <v>364</v>
      </c>
      <c r="O3" s="852" t="s">
        <v>365</v>
      </c>
      <c r="P3" s="852" t="s">
        <v>366</v>
      </c>
      <c r="Q3" s="852" t="s">
        <v>367</v>
      </c>
      <c r="R3" s="852" t="s">
        <v>368</v>
      </c>
      <c r="S3" s="852" t="s">
        <v>369</v>
      </c>
      <c r="T3" s="852" t="s">
        <v>370</v>
      </c>
      <c r="U3" s="852" t="s">
        <v>371</v>
      </c>
      <c r="V3" s="852" t="s">
        <v>372</v>
      </c>
      <c r="W3" s="852" t="s">
        <v>373</v>
      </c>
      <c r="X3" s="852" t="s">
        <v>386</v>
      </c>
      <c r="Y3" s="852" t="s">
        <v>387</v>
      </c>
      <c r="Z3" s="852" t="s">
        <v>388</v>
      </c>
      <c r="AA3" s="852" t="s">
        <v>389</v>
      </c>
      <c r="AB3" s="852" t="s">
        <v>390</v>
      </c>
      <c r="AC3" s="852" t="s">
        <v>391</v>
      </c>
      <c r="AD3" s="852" t="s">
        <v>392</v>
      </c>
      <c r="AE3" s="852" t="s">
        <v>393</v>
      </c>
      <c r="AF3" s="852" t="s">
        <v>394</v>
      </c>
      <c r="AG3" s="852" t="s">
        <v>429</v>
      </c>
      <c r="AH3" s="886" t="s">
        <v>430</v>
      </c>
      <c r="AI3" s="676" t="s">
        <v>398</v>
      </c>
    </row>
    <row r="4" spans="1:35" s="676" customFormat="1" ht="18.75" customHeight="1" thickTop="1" x14ac:dyDescent="0.2">
      <c r="A4" s="1071" t="s">
        <v>59</v>
      </c>
      <c r="B4" s="597">
        <f>SUM(N4:P4)</f>
        <v>145</v>
      </c>
      <c r="C4" s="597">
        <f>SUM(Q4:R4)</f>
        <v>122</v>
      </c>
      <c r="D4" s="597">
        <f>SUM(S4:V4)</f>
        <v>203</v>
      </c>
      <c r="E4" s="597">
        <f>SUM(W4:Y4)</f>
        <v>172</v>
      </c>
      <c r="F4" s="597">
        <f>SUM(Z4:AA4)</f>
        <v>124</v>
      </c>
      <c r="G4" s="597">
        <f>SUM(AB4:AD4)</f>
        <v>223</v>
      </c>
      <c r="H4" s="597">
        <f>AE4</f>
        <v>446</v>
      </c>
      <c r="I4" s="597">
        <f>AF4</f>
        <v>186</v>
      </c>
      <c r="J4" s="597">
        <f>SUM(AG4:AH4)</f>
        <v>123</v>
      </c>
      <c r="K4" s="599">
        <f>SUM(B4:J4)</f>
        <v>1744</v>
      </c>
      <c r="M4" s="887" t="s">
        <v>170</v>
      </c>
      <c r="N4" s="372">
        <v>36</v>
      </c>
      <c r="O4" s="372">
        <v>59</v>
      </c>
      <c r="P4" s="372">
        <v>50</v>
      </c>
      <c r="Q4" s="372">
        <v>61</v>
      </c>
      <c r="R4" s="372">
        <v>61</v>
      </c>
      <c r="S4" s="372">
        <v>71</v>
      </c>
      <c r="T4" s="372">
        <v>49</v>
      </c>
      <c r="U4" s="372">
        <v>37</v>
      </c>
      <c r="V4" s="372">
        <v>46</v>
      </c>
      <c r="W4" s="372">
        <v>102</v>
      </c>
      <c r="X4" s="372">
        <v>54</v>
      </c>
      <c r="Y4" s="372">
        <v>16</v>
      </c>
      <c r="Z4" s="372">
        <v>52</v>
      </c>
      <c r="AA4" s="372">
        <v>72</v>
      </c>
      <c r="AB4" s="372">
        <v>81</v>
      </c>
      <c r="AC4" s="372">
        <v>75</v>
      </c>
      <c r="AD4" s="372">
        <v>67</v>
      </c>
      <c r="AE4" s="372">
        <v>446</v>
      </c>
      <c r="AF4" s="372">
        <v>186</v>
      </c>
      <c r="AG4" s="372">
        <v>120</v>
      </c>
      <c r="AH4" s="888">
        <v>3</v>
      </c>
      <c r="AI4" s="17"/>
    </row>
    <row r="5" spans="1:35" s="676" customFormat="1" ht="18.75" customHeight="1" x14ac:dyDescent="0.2">
      <c r="A5" s="1093"/>
      <c r="B5" s="598">
        <f t="shared" ref="B5:J5" si="0">B4/B$36</f>
        <v>0.12630662020905922</v>
      </c>
      <c r="C5" s="598">
        <f t="shared" si="0"/>
        <v>0.10049423393739704</v>
      </c>
      <c r="D5" s="598">
        <f t="shared" si="0"/>
        <v>0.16292134831460675</v>
      </c>
      <c r="E5" s="598">
        <f t="shared" si="0"/>
        <v>0.16365366317792579</v>
      </c>
      <c r="F5" s="598">
        <f t="shared" si="0"/>
        <v>0.11742424242424243</v>
      </c>
      <c r="G5" s="598">
        <f t="shared" si="0"/>
        <v>7.4756956084478715E-2</v>
      </c>
      <c r="H5" s="598">
        <f t="shared" si="0"/>
        <v>0.15832445864394745</v>
      </c>
      <c r="I5" s="598">
        <f t="shared" si="0"/>
        <v>0.13478260869565217</v>
      </c>
      <c r="J5" s="598">
        <f t="shared" si="0"/>
        <v>0.11061151079136691</v>
      </c>
      <c r="K5" s="598">
        <f>K4/K$36</f>
        <v>0.12450917398443635</v>
      </c>
      <c r="M5" s="884" t="s">
        <v>171</v>
      </c>
      <c r="N5" s="374">
        <v>54</v>
      </c>
      <c r="O5" s="374">
        <v>74</v>
      </c>
      <c r="P5" s="374">
        <v>51</v>
      </c>
      <c r="Q5" s="374">
        <v>83</v>
      </c>
      <c r="R5" s="374">
        <v>95</v>
      </c>
      <c r="S5" s="374">
        <v>61</v>
      </c>
      <c r="T5" s="374">
        <v>41</v>
      </c>
      <c r="U5" s="374">
        <v>53</v>
      </c>
      <c r="V5" s="374">
        <v>44</v>
      </c>
      <c r="W5" s="374">
        <v>125</v>
      </c>
      <c r="X5" s="374">
        <v>57</v>
      </c>
      <c r="Y5" s="374">
        <v>21</v>
      </c>
      <c r="Z5" s="374">
        <v>87</v>
      </c>
      <c r="AA5" s="374">
        <v>88</v>
      </c>
      <c r="AB5" s="374">
        <v>111</v>
      </c>
      <c r="AC5" s="374">
        <v>124</v>
      </c>
      <c r="AD5" s="374">
        <v>106</v>
      </c>
      <c r="AE5" s="374">
        <v>546</v>
      </c>
      <c r="AF5" s="374">
        <v>203</v>
      </c>
      <c r="AG5" s="374">
        <v>171</v>
      </c>
      <c r="AH5" s="889">
        <v>3</v>
      </c>
      <c r="AI5" s="17"/>
    </row>
    <row r="6" spans="1:35" s="676" customFormat="1" ht="18.75" customHeight="1" x14ac:dyDescent="0.2">
      <c r="A6" s="840" t="s">
        <v>514</v>
      </c>
      <c r="B6" s="597">
        <f>SUM(N5:P5)</f>
        <v>179</v>
      </c>
      <c r="C6" s="597">
        <f>SUM(Q5:R5)</f>
        <v>178</v>
      </c>
      <c r="D6" s="597">
        <f>SUM(S5:V5)</f>
        <v>199</v>
      </c>
      <c r="E6" s="597">
        <f>SUM(W5:Y5)</f>
        <v>203</v>
      </c>
      <c r="F6" s="597">
        <f>SUM(Z5:AA5)</f>
        <v>175</v>
      </c>
      <c r="G6" s="597">
        <f>SUM(AB5:AD5)</f>
        <v>341</v>
      </c>
      <c r="H6" s="597">
        <f>AE5</f>
        <v>546</v>
      </c>
      <c r="I6" s="597">
        <f>AF5</f>
        <v>203</v>
      </c>
      <c r="J6" s="597">
        <f>SUM(AG5:AH5)</f>
        <v>174</v>
      </c>
      <c r="K6" s="599">
        <f>SUM(B6:J6)</f>
        <v>2198</v>
      </c>
      <c r="M6" s="882" t="s">
        <v>172</v>
      </c>
      <c r="N6" s="372">
        <v>23</v>
      </c>
      <c r="O6" s="372">
        <v>38</v>
      </c>
      <c r="P6" s="372">
        <v>28</v>
      </c>
      <c r="Q6" s="372">
        <v>70</v>
      </c>
      <c r="R6" s="372">
        <v>59</v>
      </c>
      <c r="S6" s="372">
        <v>58</v>
      </c>
      <c r="T6" s="372">
        <v>26</v>
      </c>
      <c r="U6" s="372">
        <v>32</v>
      </c>
      <c r="V6" s="372">
        <v>28</v>
      </c>
      <c r="W6" s="372">
        <v>49</v>
      </c>
      <c r="X6" s="372">
        <v>40</v>
      </c>
      <c r="Y6" s="372">
        <v>2</v>
      </c>
      <c r="Z6" s="372">
        <v>31</v>
      </c>
      <c r="AA6" s="372">
        <v>54</v>
      </c>
      <c r="AB6" s="372">
        <v>74</v>
      </c>
      <c r="AC6" s="372">
        <v>105</v>
      </c>
      <c r="AD6" s="372">
        <v>73</v>
      </c>
      <c r="AE6" s="372">
        <v>230</v>
      </c>
      <c r="AF6" s="372">
        <v>111</v>
      </c>
      <c r="AG6" s="372">
        <v>80</v>
      </c>
      <c r="AH6" s="888">
        <v>3</v>
      </c>
      <c r="AI6" s="17"/>
    </row>
    <row r="7" spans="1:35" s="676" customFormat="1" ht="18.75" customHeight="1" x14ac:dyDescent="0.2">
      <c r="A7" s="841" t="s">
        <v>515</v>
      </c>
      <c r="B7" s="598">
        <f t="shared" ref="B7:J7" si="1">B6/B$36</f>
        <v>0.15592334494773519</v>
      </c>
      <c r="C7" s="598">
        <f t="shared" si="1"/>
        <v>0.14662273476112025</v>
      </c>
      <c r="D7" s="598">
        <f t="shared" si="1"/>
        <v>0.15971107544141253</v>
      </c>
      <c r="E7" s="598">
        <f t="shared" si="1"/>
        <v>0.19314938154138916</v>
      </c>
      <c r="F7" s="598">
        <f t="shared" si="1"/>
        <v>0.16571969696969696</v>
      </c>
      <c r="G7" s="598">
        <f t="shared" si="1"/>
        <v>0.1143144485417365</v>
      </c>
      <c r="H7" s="598">
        <f t="shared" si="1"/>
        <v>0.19382321618743345</v>
      </c>
      <c r="I7" s="598">
        <f t="shared" si="1"/>
        <v>0.14710144927536231</v>
      </c>
      <c r="J7" s="598">
        <f t="shared" si="1"/>
        <v>0.15647482014388489</v>
      </c>
      <c r="K7" s="598">
        <f>K6/K$36</f>
        <v>0.15692153923038482</v>
      </c>
      <c r="M7" s="884" t="s">
        <v>173</v>
      </c>
      <c r="N7" s="374">
        <v>31</v>
      </c>
      <c r="O7" s="374">
        <v>44</v>
      </c>
      <c r="P7" s="374">
        <v>45</v>
      </c>
      <c r="Q7" s="374">
        <v>90</v>
      </c>
      <c r="R7" s="374">
        <v>55</v>
      </c>
      <c r="S7" s="374">
        <v>49</v>
      </c>
      <c r="T7" s="374">
        <v>25</v>
      </c>
      <c r="U7" s="374">
        <v>37</v>
      </c>
      <c r="V7" s="374">
        <v>28</v>
      </c>
      <c r="W7" s="374">
        <v>59</v>
      </c>
      <c r="X7" s="374">
        <v>26</v>
      </c>
      <c r="Y7" s="374">
        <v>5</v>
      </c>
      <c r="Z7" s="374">
        <v>46</v>
      </c>
      <c r="AA7" s="374">
        <v>77</v>
      </c>
      <c r="AB7" s="374">
        <v>79</v>
      </c>
      <c r="AC7" s="374">
        <v>122</v>
      </c>
      <c r="AD7" s="374">
        <v>106</v>
      </c>
      <c r="AE7" s="374">
        <v>250</v>
      </c>
      <c r="AF7" s="374">
        <v>146</v>
      </c>
      <c r="AG7" s="374">
        <v>87</v>
      </c>
      <c r="AH7" s="889">
        <v>11</v>
      </c>
      <c r="AI7" s="17"/>
    </row>
    <row r="8" spans="1:35" s="676" customFormat="1" ht="18.75" customHeight="1" x14ac:dyDescent="0.2">
      <c r="A8" s="840" t="s">
        <v>516</v>
      </c>
      <c r="B8" s="597">
        <f>SUM(N6:P6)</f>
        <v>89</v>
      </c>
      <c r="C8" s="597">
        <f>SUM(Q6:R6)</f>
        <v>129</v>
      </c>
      <c r="D8" s="597">
        <f>SUM(S6:V6)</f>
        <v>144</v>
      </c>
      <c r="E8" s="597">
        <f>SUM(W6:Y6)</f>
        <v>91</v>
      </c>
      <c r="F8" s="597">
        <f>SUM(Z6:AA6)</f>
        <v>85</v>
      </c>
      <c r="G8" s="597">
        <f>SUM(AB6:AD6)</f>
        <v>252</v>
      </c>
      <c r="H8" s="597">
        <f>AE6</f>
        <v>230</v>
      </c>
      <c r="I8" s="597">
        <f>AF6</f>
        <v>111</v>
      </c>
      <c r="J8" s="597">
        <f>SUM(AG6:AH6)</f>
        <v>83</v>
      </c>
      <c r="K8" s="599">
        <f>SUM(B8:J8)</f>
        <v>1214</v>
      </c>
      <c r="M8" s="882" t="s">
        <v>174</v>
      </c>
      <c r="N8" s="372">
        <v>23</v>
      </c>
      <c r="O8" s="372">
        <v>40</v>
      </c>
      <c r="P8" s="372">
        <v>22</v>
      </c>
      <c r="Q8" s="372">
        <v>50</v>
      </c>
      <c r="R8" s="372">
        <v>48</v>
      </c>
      <c r="S8" s="372">
        <v>31</v>
      </c>
      <c r="T8" s="372">
        <v>15</v>
      </c>
      <c r="U8" s="372">
        <v>19</v>
      </c>
      <c r="V8" s="372">
        <v>16</v>
      </c>
      <c r="W8" s="372">
        <v>33</v>
      </c>
      <c r="X8" s="372">
        <v>13</v>
      </c>
      <c r="Y8" s="372">
        <v>5</v>
      </c>
      <c r="Z8" s="372">
        <v>29</v>
      </c>
      <c r="AA8" s="372">
        <v>39</v>
      </c>
      <c r="AB8" s="372">
        <v>64</v>
      </c>
      <c r="AC8" s="372">
        <v>90</v>
      </c>
      <c r="AD8" s="372">
        <v>59</v>
      </c>
      <c r="AE8" s="372">
        <v>147</v>
      </c>
      <c r="AF8" s="372">
        <v>64</v>
      </c>
      <c r="AG8" s="372">
        <v>64</v>
      </c>
      <c r="AH8" s="888">
        <v>4</v>
      </c>
      <c r="AI8" s="17"/>
    </row>
    <row r="9" spans="1:35" s="676" customFormat="1" ht="18.75" customHeight="1" x14ac:dyDescent="0.2">
      <c r="A9" s="841" t="s">
        <v>517</v>
      </c>
      <c r="B9" s="598">
        <f t="shared" ref="B9:J9" si="2">B8/B$36</f>
        <v>7.7526132404181186E-2</v>
      </c>
      <c r="C9" s="598">
        <f t="shared" si="2"/>
        <v>0.10626029654036244</v>
      </c>
      <c r="D9" s="598">
        <f t="shared" si="2"/>
        <v>0.11556982343499198</v>
      </c>
      <c r="E9" s="598">
        <f t="shared" si="2"/>
        <v>8.6584205518553753E-2</v>
      </c>
      <c r="F9" s="598">
        <f t="shared" si="2"/>
        <v>8.049242424242424E-2</v>
      </c>
      <c r="G9" s="598">
        <f t="shared" si="2"/>
        <v>8.4478712705330208E-2</v>
      </c>
      <c r="H9" s="598">
        <f t="shared" si="2"/>
        <v>8.1647142350017743E-2</v>
      </c>
      <c r="I9" s="598">
        <f t="shared" si="2"/>
        <v>8.0434782608695646E-2</v>
      </c>
      <c r="J9" s="598">
        <f t="shared" si="2"/>
        <v>7.4640287769784167E-2</v>
      </c>
      <c r="K9" s="598">
        <f>K8/K$36</f>
        <v>8.6670950239166128E-2</v>
      </c>
      <c r="M9" s="884" t="s">
        <v>175</v>
      </c>
      <c r="N9" s="374">
        <v>7</v>
      </c>
      <c r="O9" s="374">
        <v>31</v>
      </c>
      <c r="P9" s="374">
        <v>17</v>
      </c>
      <c r="Q9" s="374">
        <v>32</v>
      </c>
      <c r="R9" s="374">
        <v>26</v>
      </c>
      <c r="S9" s="374">
        <v>22</v>
      </c>
      <c r="T9" s="374">
        <v>10</v>
      </c>
      <c r="U9" s="374">
        <v>11</v>
      </c>
      <c r="V9" s="374">
        <v>8</v>
      </c>
      <c r="W9" s="374">
        <v>31</v>
      </c>
      <c r="X9" s="374">
        <v>14</v>
      </c>
      <c r="Y9" s="374">
        <v>6</v>
      </c>
      <c r="Z9" s="374">
        <v>25</v>
      </c>
      <c r="AA9" s="374">
        <v>32</v>
      </c>
      <c r="AB9" s="374">
        <v>56</v>
      </c>
      <c r="AC9" s="374">
        <v>83</v>
      </c>
      <c r="AD9" s="374">
        <v>53</v>
      </c>
      <c r="AE9" s="374">
        <v>115</v>
      </c>
      <c r="AF9" s="374">
        <v>48</v>
      </c>
      <c r="AG9" s="374">
        <v>39</v>
      </c>
      <c r="AH9" s="889">
        <v>3</v>
      </c>
      <c r="AI9" s="17"/>
    </row>
    <row r="10" spans="1:35" s="676" customFormat="1" ht="18.75" customHeight="1" x14ac:dyDescent="0.2">
      <c r="A10" s="840" t="s">
        <v>518</v>
      </c>
      <c r="B10" s="597">
        <f>SUM(N7:P7)</f>
        <v>120</v>
      </c>
      <c r="C10" s="597">
        <f>SUM(Q7:R7)</f>
        <v>145</v>
      </c>
      <c r="D10" s="597">
        <f>SUM(S7:V7)</f>
        <v>139</v>
      </c>
      <c r="E10" s="597">
        <f>SUM(W7:Y7)</f>
        <v>90</v>
      </c>
      <c r="F10" s="597">
        <f>SUM(Z7:AA7)</f>
        <v>123</v>
      </c>
      <c r="G10" s="597">
        <f>SUM(AB7:AD7)</f>
        <v>307</v>
      </c>
      <c r="H10" s="597">
        <f>AE7</f>
        <v>250</v>
      </c>
      <c r="I10" s="597">
        <f>AF7</f>
        <v>146</v>
      </c>
      <c r="J10" s="597">
        <f>SUM(AG7:AH7)</f>
        <v>98</v>
      </c>
      <c r="K10" s="599">
        <f>SUM(B10:J10)</f>
        <v>1418</v>
      </c>
      <c r="M10" s="882" t="s">
        <v>176</v>
      </c>
      <c r="N10" s="372">
        <v>20</v>
      </c>
      <c r="O10" s="372">
        <v>34</v>
      </c>
      <c r="P10" s="372">
        <v>32</v>
      </c>
      <c r="Q10" s="372">
        <v>49</v>
      </c>
      <c r="R10" s="372">
        <v>47</v>
      </c>
      <c r="S10" s="372">
        <v>26</v>
      </c>
      <c r="T10" s="372">
        <v>22</v>
      </c>
      <c r="U10" s="372">
        <v>14</v>
      </c>
      <c r="V10" s="372">
        <v>13</v>
      </c>
      <c r="W10" s="372">
        <v>45</v>
      </c>
      <c r="X10" s="372">
        <v>21</v>
      </c>
      <c r="Y10" s="372">
        <v>8</v>
      </c>
      <c r="Z10" s="372">
        <v>39</v>
      </c>
      <c r="AA10" s="372">
        <v>38</v>
      </c>
      <c r="AB10" s="372">
        <v>55</v>
      </c>
      <c r="AC10" s="372">
        <v>129</v>
      </c>
      <c r="AD10" s="372">
        <v>62</v>
      </c>
      <c r="AE10" s="372">
        <v>195</v>
      </c>
      <c r="AF10" s="372">
        <v>96</v>
      </c>
      <c r="AG10" s="372">
        <v>72</v>
      </c>
      <c r="AH10" s="888">
        <v>4</v>
      </c>
      <c r="AI10" s="17"/>
    </row>
    <row r="11" spans="1:35" s="676" customFormat="1" ht="18.75" customHeight="1" x14ac:dyDescent="0.2">
      <c r="A11" s="841" t="s">
        <v>68</v>
      </c>
      <c r="B11" s="598">
        <f t="shared" ref="B11:J11" si="3">B10/B$36</f>
        <v>0.10452961672473868</v>
      </c>
      <c r="C11" s="598">
        <f t="shared" si="3"/>
        <v>0.11943986820428336</v>
      </c>
      <c r="D11" s="598">
        <f t="shared" si="3"/>
        <v>0.1115569823434992</v>
      </c>
      <c r="E11" s="598">
        <f t="shared" si="3"/>
        <v>8.5632730732635581E-2</v>
      </c>
      <c r="F11" s="598">
        <f t="shared" si="3"/>
        <v>0.11647727272727272</v>
      </c>
      <c r="G11" s="598">
        <f t="shared" si="3"/>
        <v>0.10291652698625545</v>
      </c>
      <c r="H11" s="598">
        <f t="shared" si="3"/>
        <v>8.874689385871494E-2</v>
      </c>
      <c r="I11" s="598">
        <f t="shared" si="3"/>
        <v>0.10579710144927536</v>
      </c>
      <c r="J11" s="598">
        <f t="shared" si="3"/>
        <v>8.8129496402877691E-2</v>
      </c>
      <c r="K11" s="598">
        <f>K10/K$36</f>
        <v>0.10123509673734561</v>
      </c>
      <c r="M11" s="884" t="s">
        <v>177</v>
      </c>
      <c r="N11" s="374">
        <v>7</v>
      </c>
      <c r="O11" s="374">
        <v>17</v>
      </c>
      <c r="P11" s="374">
        <v>18</v>
      </c>
      <c r="Q11" s="374">
        <v>37</v>
      </c>
      <c r="R11" s="374">
        <v>28</v>
      </c>
      <c r="S11" s="374">
        <v>12</v>
      </c>
      <c r="T11" s="374">
        <v>9</v>
      </c>
      <c r="U11" s="374">
        <v>11</v>
      </c>
      <c r="V11" s="374">
        <v>12</v>
      </c>
      <c r="W11" s="374">
        <v>25</v>
      </c>
      <c r="X11" s="374">
        <v>7</v>
      </c>
      <c r="Y11" s="374">
        <v>1</v>
      </c>
      <c r="Z11" s="374">
        <v>22</v>
      </c>
      <c r="AA11" s="374">
        <v>34</v>
      </c>
      <c r="AB11" s="374">
        <v>50</v>
      </c>
      <c r="AC11" s="374">
        <v>86</v>
      </c>
      <c r="AD11" s="374">
        <v>75</v>
      </c>
      <c r="AE11" s="374">
        <v>114</v>
      </c>
      <c r="AF11" s="374">
        <v>55</v>
      </c>
      <c r="AG11" s="374">
        <v>51</v>
      </c>
      <c r="AH11" s="889">
        <v>1</v>
      </c>
      <c r="AI11" s="17"/>
    </row>
    <row r="12" spans="1:35" s="676" customFormat="1" ht="18.75" customHeight="1" x14ac:dyDescent="0.2">
      <c r="A12" s="840" t="s">
        <v>519</v>
      </c>
      <c r="B12" s="597">
        <f>SUM(N8:P8)</f>
        <v>85</v>
      </c>
      <c r="C12" s="597">
        <f>SUM(Q8:R8)</f>
        <v>98</v>
      </c>
      <c r="D12" s="597">
        <f>SUM(S8:V8)</f>
        <v>81</v>
      </c>
      <c r="E12" s="597">
        <f>SUM(W8:Y8)</f>
        <v>51</v>
      </c>
      <c r="F12" s="597">
        <f>SUM(Z8:AA8)</f>
        <v>68</v>
      </c>
      <c r="G12" s="597">
        <f>SUM(AB8:AD8)</f>
        <v>213</v>
      </c>
      <c r="H12" s="597">
        <f>AE8</f>
        <v>147</v>
      </c>
      <c r="I12" s="597">
        <f>AF8</f>
        <v>64</v>
      </c>
      <c r="J12" s="597">
        <f>SUM(AG8:AH8)</f>
        <v>68</v>
      </c>
      <c r="K12" s="599">
        <f>SUM(B12:J12)</f>
        <v>875</v>
      </c>
      <c r="M12" s="882" t="s">
        <v>178</v>
      </c>
      <c r="N12" s="372">
        <v>13</v>
      </c>
      <c r="O12" s="372">
        <v>21</v>
      </c>
      <c r="P12" s="372">
        <v>8</v>
      </c>
      <c r="Q12" s="372">
        <v>28</v>
      </c>
      <c r="R12" s="372">
        <v>25</v>
      </c>
      <c r="S12" s="372">
        <v>10</v>
      </c>
      <c r="T12" s="372">
        <v>4</v>
      </c>
      <c r="U12" s="372">
        <v>9</v>
      </c>
      <c r="V12" s="372">
        <v>9</v>
      </c>
      <c r="W12" s="372">
        <v>25</v>
      </c>
      <c r="X12" s="372">
        <v>10</v>
      </c>
      <c r="Y12" s="372">
        <v>4</v>
      </c>
      <c r="Z12" s="372">
        <v>18</v>
      </c>
      <c r="AA12" s="372">
        <v>19</v>
      </c>
      <c r="AB12" s="372">
        <v>45</v>
      </c>
      <c r="AC12" s="372">
        <v>62</v>
      </c>
      <c r="AD12" s="372">
        <v>40</v>
      </c>
      <c r="AE12" s="372">
        <v>96</v>
      </c>
      <c r="AF12" s="372">
        <v>55</v>
      </c>
      <c r="AG12" s="372">
        <v>44</v>
      </c>
      <c r="AH12" s="888">
        <v>1</v>
      </c>
      <c r="AI12" s="17"/>
    </row>
    <row r="13" spans="1:35" s="676" customFormat="1" ht="18.75" customHeight="1" x14ac:dyDescent="0.2">
      <c r="A13" s="841" t="s">
        <v>520</v>
      </c>
      <c r="B13" s="598">
        <f t="shared" ref="B13:J13" si="4">B12/B$36</f>
        <v>7.4041811846689898E-2</v>
      </c>
      <c r="C13" s="598">
        <f t="shared" si="4"/>
        <v>8.0724876441515644E-2</v>
      </c>
      <c r="D13" s="598">
        <f t="shared" si="4"/>
        <v>6.5008025682182988E-2</v>
      </c>
      <c r="E13" s="598">
        <f t="shared" si="4"/>
        <v>4.8525214081826834E-2</v>
      </c>
      <c r="F13" s="598">
        <f t="shared" si="4"/>
        <v>6.4393939393939392E-2</v>
      </c>
      <c r="G13" s="598">
        <f t="shared" si="4"/>
        <v>7.1404626215219577E-2</v>
      </c>
      <c r="H13" s="598">
        <f t="shared" si="4"/>
        <v>5.2183173588924388E-2</v>
      </c>
      <c r="I13" s="598">
        <f t="shared" si="4"/>
        <v>4.6376811594202899E-2</v>
      </c>
      <c r="J13" s="598">
        <f t="shared" si="4"/>
        <v>6.1151079136690649E-2</v>
      </c>
      <c r="K13" s="598">
        <f>K12/K$36</f>
        <v>6.2468765617191405E-2</v>
      </c>
      <c r="M13" s="884" t="s">
        <v>179</v>
      </c>
      <c r="N13" s="374">
        <v>9</v>
      </c>
      <c r="O13" s="374">
        <v>10</v>
      </c>
      <c r="P13" s="374">
        <v>16</v>
      </c>
      <c r="Q13" s="374">
        <v>15</v>
      </c>
      <c r="R13" s="374">
        <v>17</v>
      </c>
      <c r="S13" s="374">
        <v>14</v>
      </c>
      <c r="T13" s="374">
        <v>11</v>
      </c>
      <c r="U13" s="374">
        <v>8</v>
      </c>
      <c r="V13" s="374">
        <v>5</v>
      </c>
      <c r="W13" s="374">
        <v>28</v>
      </c>
      <c r="X13" s="374">
        <v>5</v>
      </c>
      <c r="Y13" s="374">
        <v>2</v>
      </c>
      <c r="Z13" s="374">
        <v>11</v>
      </c>
      <c r="AA13" s="374">
        <v>22</v>
      </c>
      <c r="AB13" s="374">
        <v>36</v>
      </c>
      <c r="AC13" s="374">
        <v>53</v>
      </c>
      <c r="AD13" s="374">
        <v>53</v>
      </c>
      <c r="AE13" s="374">
        <v>99</v>
      </c>
      <c r="AF13" s="374">
        <v>49</v>
      </c>
      <c r="AG13" s="374">
        <v>40</v>
      </c>
      <c r="AH13" s="889">
        <v>2</v>
      </c>
      <c r="AI13" s="17"/>
    </row>
    <row r="14" spans="1:35" s="676" customFormat="1" ht="18.75" customHeight="1" x14ac:dyDescent="0.2">
      <c r="A14" s="840" t="s">
        <v>521</v>
      </c>
      <c r="B14" s="597">
        <f>SUM(N9:P9)</f>
        <v>55</v>
      </c>
      <c r="C14" s="597">
        <f>SUM(Q9:R9)</f>
        <v>58</v>
      </c>
      <c r="D14" s="597">
        <f>SUM(S9:V9)</f>
        <v>51</v>
      </c>
      <c r="E14" s="597">
        <f>SUM(W9:Y9)</f>
        <v>51</v>
      </c>
      <c r="F14" s="597">
        <f>SUM(Z9:AA9)</f>
        <v>57</v>
      </c>
      <c r="G14" s="597">
        <f>SUM(AB9:AD9)</f>
        <v>192</v>
      </c>
      <c r="H14" s="597">
        <f>AE9</f>
        <v>115</v>
      </c>
      <c r="I14" s="597">
        <f>AF9</f>
        <v>48</v>
      </c>
      <c r="J14" s="597">
        <f>SUM(AG9:AH9)</f>
        <v>42</v>
      </c>
      <c r="K14" s="599">
        <f>SUM(B14:J14)</f>
        <v>669</v>
      </c>
      <c r="M14" s="882" t="s">
        <v>180</v>
      </c>
      <c r="N14" s="372">
        <v>12</v>
      </c>
      <c r="O14" s="372">
        <v>12</v>
      </c>
      <c r="P14" s="372">
        <v>10</v>
      </c>
      <c r="Q14" s="372">
        <v>18</v>
      </c>
      <c r="R14" s="372">
        <v>16</v>
      </c>
      <c r="S14" s="372">
        <v>7</v>
      </c>
      <c r="T14" s="372">
        <v>4</v>
      </c>
      <c r="U14" s="372">
        <v>8</v>
      </c>
      <c r="V14" s="372">
        <v>9</v>
      </c>
      <c r="W14" s="372">
        <v>25</v>
      </c>
      <c r="X14" s="372">
        <v>10</v>
      </c>
      <c r="Y14" s="372">
        <v>2</v>
      </c>
      <c r="Z14" s="372">
        <v>11</v>
      </c>
      <c r="AA14" s="372">
        <v>10</v>
      </c>
      <c r="AB14" s="372">
        <v>34</v>
      </c>
      <c r="AC14" s="372">
        <v>30</v>
      </c>
      <c r="AD14" s="372">
        <v>33</v>
      </c>
      <c r="AE14" s="372">
        <v>83</v>
      </c>
      <c r="AF14" s="372">
        <v>33</v>
      </c>
      <c r="AG14" s="372">
        <v>23</v>
      </c>
      <c r="AH14" s="888">
        <v>2</v>
      </c>
      <c r="AI14" s="17"/>
    </row>
    <row r="15" spans="1:35" s="676" customFormat="1" ht="18.75" customHeight="1" x14ac:dyDescent="0.2">
      <c r="A15" s="841" t="s">
        <v>522</v>
      </c>
      <c r="B15" s="598">
        <f t="shared" ref="B15:J15" si="5">B14/B$36</f>
        <v>4.7909407665505228E-2</v>
      </c>
      <c r="C15" s="598">
        <f t="shared" si="5"/>
        <v>4.7775947281713346E-2</v>
      </c>
      <c r="D15" s="598">
        <f t="shared" si="5"/>
        <v>4.0930979133226325E-2</v>
      </c>
      <c r="E15" s="598">
        <f t="shared" si="5"/>
        <v>4.8525214081826834E-2</v>
      </c>
      <c r="F15" s="598">
        <f t="shared" si="5"/>
        <v>5.3977272727272728E-2</v>
      </c>
      <c r="G15" s="598">
        <f t="shared" si="5"/>
        <v>6.4364733489775394E-2</v>
      </c>
      <c r="H15" s="598">
        <f t="shared" si="5"/>
        <v>4.0823571175008871E-2</v>
      </c>
      <c r="I15" s="598">
        <f t="shared" si="5"/>
        <v>3.4782608695652174E-2</v>
      </c>
      <c r="J15" s="598">
        <f t="shared" si="5"/>
        <v>3.7769784172661872E-2</v>
      </c>
      <c r="K15" s="598">
        <f>K14/K$36</f>
        <v>4.7761833369029769E-2</v>
      </c>
      <c r="M15" s="884" t="s">
        <v>181</v>
      </c>
      <c r="N15" s="374">
        <v>10</v>
      </c>
      <c r="O15" s="374">
        <v>2</v>
      </c>
      <c r="P15" s="374">
        <v>12</v>
      </c>
      <c r="Q15" s="374">
        <v>31</v>
      </c>
      <c r="R15" s="374">
        <v>13</v>
      </c>
      <c r="S15" s="374">
        <v>15</v>
      </c>
      <c r="T15" s="374">
        <v>7</v>
      </c>
      <c r="U15" s="374">
        <v>7</v>
      </c>
      <c r="V15" s="374">
        <v>2</v>
      </c>
      <c r="W15" s="374">
        <v>21</v>
      </c>
      <c r="X15" s="374">
        <v>9</v>
      </c>
      <c r="Y15" s="374"/>
      <c r="Z15" s="374">
        <v>12</v>
      </c>
      <c r="AA15" s="374">
        <v>11</v>
      </c>
      <c r="AB15" s="374">
        <v>23</v>
      </c>
      <c r="AC15" s="374">
        <v>30</v>
      </c>
      <c r="AD15" s="374">
        <v>28</v>
      </c>
      <c r="AE15" s="374">
        <v>55</v>
      </c>
      <c r="AF15" s="374">
        <v>38</v>
      </c>
      <c r="AG15" s="374">
        <v>38</v>
      </c>
      <c r="AH15" s="889">
        <v>2</v>
      </c>
      <c r="AI15" s="17"/>
    </row>
    <row r="16" spans="1:35" s="676" customFormat="1" ht="18.75" customHeight="1" x14ac:dyDescent="0.2">
      <c r="A16" s="840" t="s">
        <v>523</v>
      </c>
      <c r="B16" s="597">
        <f>SUM(N10:P10)</f>
        <v>86</v>
      </c>
      <c r="C16" s="597">
        <f>SUM(Q10:R10)</f>
        <v>96</v>
      </c>
      <c r="D16" s="597">
        <f>SUM(S10:V10)</f>
        <v>75</v>
      </c>
      <c r="E16" s="597">
        <f>SUM(W10:Y10)</f>
        <v>74</v>
      </c>
      <c r="F16" s="597">
        <f>SUM(Z10:AA10)</f>
        <v>77</v>
      </c>
      <c r="G16" s="597">
        <f>SUM(AB10:AD10)</f>
        <v>246</v>
      </c>
      <c r="H16" s="597">
        <f>AE10</f>
        <v>195</v>
      </c>
      <c r="I16" s="597">
        <f>AF10</f>
        <v>96</v>
      </c>
      <c r="J16" s="597">
        <f>SUM(AG10:AH10)</f>
        <v>76</v>
      </c>
      <c r="K16" s="599">
        <f>SUM(B16:J16)</f>
        <v>1021</v>
      </c>
      <c r="M16" s="882" t="s">
        <v>182</v>
      </c>
      <c r="N16" s="372">
        <v>8</v>
      </c>
      <c r="O16" s="372">
        <v>10</v>
      </c>
      <c r="P16" s="372">
        <v>5</v>
      </c>
      <c r="Q16" s="372">
        <v>14</v>
      </c>
      <c r="R16" s="372">
        <v>9</v>
      </c>
      <c r="S16" s="372">
        <v>8</v>
      </c>
      <c r="T16" s="372">
        <v>1</v>
      </c>
      <c r="U16" s="372">
        <v>8</v>
      </c>
      <c r="V16" s="372">
        <v>7</v>
      </c>
      <c r="W16" s="372">
        <v>10</v>
      </c>
      <c r="X16" s="372">
        <v>4</v>
      </c>
      <c r="Y16" s="372"/>
      <c r="Z16" s="372">
        <v>6</v>
      </c>
      <c r="AA16" s="372">
        <v>9</v>
      </c>
      <c r="AB16" s="372">
        <v>22</v>
      </c>
      <c r="AC16" s="372">
        <v>22</v>
      </c>
      <c r="AD16" s="372">
        <v>21</v>
      </c>
      <c r="AE16" s="372">
        <v>54</v>
      </c>
      <c r="AF16" s="372">
        <v>29</v>
      </c>
      <c r="AG16" s="372">
        <v>21</v>
      </c>
      <c r="AH16" s="888">
        <v>3</v>
      </c>
      <c r="AI16" s="17"/>
    </row>
    <row r="17" spans="1:35" s="676" customFormat="1" ht="18.75" customHeight="1" x14ac:dyDescent="0.2">
      <c r="A17" s="841" t="s">
        <v>524</v>
      </c>
      <c r="B17" s="890">
        <f t="shared" ref="B17:J17" si="6">B16/B$36</f>
        <v>7.4912891986062713E-2</v>
      </c>
      <c r="C17" s="890">
        <f t="shared" si="6"/>
        <v>7.907742998352553E-2</v>
      </c>
      <c r="D17" s="890">
        <f t="shared" si="6"/>
        <v>6.0192616372391657E-2</v>
      </c>
      <c r="E17" s="890">
        <f t="shared" si="6"/>
        <v>7.0409134157944808E-2</v>
      </c>
      <c r="F17" s="890">
        <f t="shared" si="6"/>
        <v>7.2916666666666671E-2</v>
      </c>
      <c r="G17" s="890">
        <f t="shared" si="6"/>
        <v>8.2467314783774726E-2</v>
      </c>
      <c r="H17" s="890">
        <f t="shared" si="6"/>
        <v>6.9222577209797659E-2</v>
      </c>
      <c r="I17" s="890">
        <f t="shared" si="6"/>
        <v>6.9565217391304349E-2</v>
      </c>
      <c r="J17" s="890">
        <f t="shared" si="6"/>
        <v>6.83453237410072E-2</v>
      </c>
      <c r="K17" s="890">
        <f>K16/K$36</f>
        <v>7.2892125365888488E-2</v>
      </c>
      <c r="M17" s="884" t="s">
        <v>183</v>
      </c>
      <c r="N17" s="374">
        <v>7</v>
      </c>
      <c r="O17" s="374">
        <v>8</v>
      </c>
      <c r="P17" s="374">
        <v>8</v>
      </c>
      <c r="Q17" s="374">
        <v>10</v>
      </c>
      <c r="R17" s="374">
        <v>6</v>
      </c>
      <c r="S17" s="374">
        <v>7</v>
      </c>
      <c r="T17" s="374">
        <v>6</v>
      </c>
      <c r="U17" s="374">
        <v>5</v>
      </c>
      <c r="V17" s="374">
        <v>3</v>
      </c>
      <c r="W17" s="374">
        <v>8</v>
      </c>
      <c r="X17" s="374">
        <v>4</v>
      </c>
      <c r="Y17" s="374">
        <v>1</v>
      </c>
      <c r="Z17" s="374">
        <v>12</v>
      </c>
      <c r="AA17" s="374">
        <v>6</v>
      </c>
      <c r="AB17" s="374">
        <v>13</v>
      </c>
      <c r="AC17" s="374">
        <v>19</v>
      </c>
      <c r="AD17" s="374">
        <v>14</v>
      </c>
      <c r="AE17" s="374">
        <v>35</v>
      </c>
      <c r="AF17" s="374">
        <v>13</v>
      </c>
      <c r="AG17" s="374">
        <v>22</v>
      </c>
      <c r="AH17" s="889">
        <v>1</v>
      </c>
      <c r="AI17" s="17"/>
    </row>
    <row r="18" spans="1:35" s="676" customFormat="1" ht="18.75" customHeight="1" x14ac:dyDescent="0.2">
      <c r="A18" s="891" t="s">
        <v>525</v>
      </c>
      <c r="B18" s="597">
        <f>SUM(N11:P11)</f>
        <v>42</v>
      </c>
      <c r="C18" s="597">
        <f>SUM(Q11:R11)</f>
        <v>65</v>
      </c>
      <c r="D18" s="597">
        <f>SUM(S11:V11)</f>
        <v>44</v>
      </c>
      <c r="E18" s="597">
        <f>SUM(W11:Y11)</f>
        <v>33</v>
      </c>
      <c r="F18" s="597">
        <f>SUM(Z11:AA11)</f>
        <v>56</v>
      </c>
      <c r="G18" s="597">
        <f>SUM(AB11:AD11)</f>
        <v>211</v>
      </c>
      <c r="H18" s="597">
        <f>AE11</f>
        <v>114</v>
      </c>
      <c r="I18" s="597">
        <f>AF11</f>
        <v>55</v>
      </c>
      <c r="J18" s="597">
        <f>SUM(AG11:AH11)</f>
        <v>52</v>
      </c>
      <c r="K18" s="599">
        <f>SUM(B18:J18)</f>
        <v>672</v>
      </c>
      <c r="M18" s="882" t="s">
        <v>184</v>
      </c>
      <c r="N18" s="372">
        <v>33</v>
      </c>
      <c r="O18" s="372">
        <v>32</v>
      </c>
      <c r="P18" s="372">
        <v>30</v>
      </c>
      <c r="Q18" s="372">
        <v>48</v>
      </c>
      <c r="R18" s="372">
        <v>32</v>
      </c>
      <c r="S18" s="372">
        <v>29</v>
      </c>
      <c r="T18" s="372">
        <v>19</v>
      </c>
      <c r="U18" s="372">
        <v>33</v>
      </c>
      <c r="V18" s="372">
        <v>14</v>
      </c>
      <c r="W18" s="372">
        <v>43</v>
      </c>
      <c r="X18" s="372">
        <v>22</v>
      </c>
      <c r="Y18" s="372">
        <v>8</v>
      </c>
      <c r="Z18" s="372">
        <v>50</v>
      </c>
      <c r="AA18" s="372">
        <v>43</v>
      </c>
      <c r="AB18" s="372">
        <v>84</v>
      </c>
      <c r="AC18" s="372">
        <v>134</v>
      </c>
      <c r="AD18" s="372">
        <v>64</v>
      </c>
      <c r="AE18" s="372">
        <v>216</v>
      </c>
      <c r="AF18" s="372">
        <v>149</v>
      </c>
      <c r="AG18" s="372">
        <v>108</v>
      </c>
      <c r="AH18" s="888">
        <v>12</v>
      </c>
      <c r="AI18" s="17"/>
    </row>
    <row r="19" spans="1:35" s="676" customFormat="1" ht="18.75" customHeight="1" x14ac:dyDescent="0.2">
      <c r="A19" s="892" t="s">
        <v>526</v>
      </c>
      <c r="B19" s="598">
        <f t="shared" ref="B19:J19" si="7">B18/B$36</f>
        <v>3.6585365853658534E-2</v>
      </c>
      <c r="C19" s="598">
        <f t="shared" si="7"/>
        <v>5.3542009884678748E-2</v>
      </c>
      <c r="D19" s="598">
        <f t="shared" si="7"/>
        <v>3.5313001605136438E-2</v>
      </c>
      <c r="E19" s="598">
        <f t="shared" si="7"/>
        <v>3.1398667935299718E-2</v>
      </c>
      <c r="F19" s="598">
        <f t="shared" si="7"/>
        <v>5.3030303030303032E-2</v>
      </c>
      <c r="G19" s="598">
        <f t="shared" si="7"/>
        <v>7.0734160241367749E-2</v>
      </c>
      <c r="H19" s="598">
        <f t="shared" si="7"/>
        <v>4.0468583599574018E-2</v>
      </c>
      <c r="I19" s="598">
        <f t="shared" si="7"/>
        <v>3.9855072463768113E-2</v>
      </c>
      <c r="J19" s="598">
        <f t="shared" si="7"/>
        <v>4.6762589928057555E-2</v>
      </c>
      <c r="K19" s="598">
        <f>K18/K$36</f>
        <v>4.7976011994002997E-2</v>
      </c>
      <c r="M19" s="893" t="s">
        <v>185</v>
      </c>
      <c r="N19" s="894">
        <v>30</v>
      </c>
      <c r="O19" s="894">
        <v>20</v>
      </c>
      <c r="P19" s="894">
        <v>21</v>
      </c>
      <c r="Q19" s="894">
        <v>26</v>
      </c>
      <c r="R19" s="894">
        <v>15</v>
      </c>
      <c r="S19" s="894">
        <v>16</v>
      </c>
      <c r="T19" s="894">
        <v>7</v>
      </c>
      <c r="U19" s="894">
        <v>11</v>
      </c>
      <c r="V19" s="894">
        <v>7</v>
      </c>
      <c r="W19" s="894">
        <v>26</v>
      </c>
      <c r="X19" s="894">
        <v>14</v>
      </c>
      <c r="Y19" s="894">
        <v>5</v>
      </c>
      <c r="Z19" s="894">
        <v>25</v>
      </c>
      <c r="AA19" s="894">
        <v>26</v>
      </c>
      <c r="AB19" s="894">
        <v>40</v>
      </c>
      <c r="AC19" s="894">
        <v>62</v>
      </c>
      <c r="AD19" s="894">
        <v>36</v>
      </c>
      <c r="AE19" s="894">
        <v>136</v>
      </c>
      <c r="AF19" s="894">
        <v>105</v>
      </c>
      <c r="AG19" s="894">
        <v>74</v>
      </c>
      <c r="AH19" s="895">
        <v>3</v>
      </c>
      <c r="AI19" s="17"/>
    </row>
    <row r="20" spans="1:35" s="676" customFormat="1" ht="18.75" customHeight="1" x14ac:dyDescent="0.2">
      <c r="A20" s="840" t="s">
        <v>527</v>
      </c>
      <c r="B20" s="597">
        <f>SUM(N12:P12)</f>
        <v>42</v>
      </c>
      <c r="C20" s="597">
        <f>SUM(Q12:R12)</f>
        <v>53</v>
      </c>
      <c r="D20" s="597">
        <f>SUM(S12:V12)</f>
        <v>32</v>
      </c>
      <c r="E20" s="597">
        <f>SUM(W12:Y12)</f>
        <v>39</v>
      </c>
      <c r="F20" s="597">
        <f>SUM(Z12:AA12)</f>
        <v>37</v>
      </c>
      <c r="G20" s="597">
        <f>SUM(AB12:AD12)</f>
        <v>147</v>
      </c>
      <c r="H20" s="597">
        <f>AE12</f>
        <v>96</v>
      </c>
      <c r="I20" s="597">
        <f>AF12</f>
        <v>55</v>
      </c>
      <c r="J20" s="597">
        <f>SUM(AG12:AH12)</f>
        <v>45</v>
      </c>
      <c r="K20" s="599">
        <f>SUM(B20:J20)</f>
        <v>546</v>
      </c>
      <c r="AI20" s="17"/>
    </row>
    <row r="21" spans="1:35" s="676" customFormat="1" ht="18.75" customHeight="1" x14ac:dyDescent="0.2">
      <c r="A21" s="841" t="s">
        <v>528</v>
      </c>
      <c r="B21" s="598">
        <f t="shared" ref="B21:J21" si="8">B20/B$36</f>
        <v>3.6585365853658534E-2</v>
      </c>
      <c r="C21" s="598">
        <f t="shared" si="8"/>
        <v>4.3657331136738059E-2</v>
      </c>
      <c r="D21" s="598">
        <f t="shared" si="8"/>
        <v>2.5682182985553772E-2</v>
      </c>
      <c r="E21" s="598">
        <f t="shared" si="8"/>
        <v>3.7107516650808754E-2</v>
      </c>
      <c r="F21" s="598">
        <f t="shared" si="8"/>
        <v>3.5037878787878785E-2</v>
      </c>
      <c r="G21" s="598">
        <f t="shared" si="8"/>
        <v>4.9279249078109287E-2</v>
      </c>
      <c r="H21" s="598">
        <f t="shared" si="8"/>
        <v>3.4078807241746542E-2</v>
      </c>
      <c r="I21" s="598">
        <f t="shared" si="8"/>
        <v>3.9855072463768113E-2</v>
      </c>
      <c r="J21" s="598">
        <f t="shared" si="8"/>
        <v>4.0467625899280574E-2</v>
      </c>
      <c r="K21" s="598">
        <f>K20/K$36</f>
        <v>3.8980509745127435E-2</v>
      </c>
    </row>
    <row r="22" spans="1:35" s="676" customFormat="1" ht="18.75" customHeight="1" x14ac:dyDescent="0.2">
      <c r="A22" s="840" t="s">
        <v>529</v>
      </c>
      <c r="B22" s="597">
        <f>SUM(N13:P13)</f>
        <v>35</v>
      </c>
      <c r="C22" s="597">
        <f>SUM(Q13:R13)</f>
        <v>32</v>
      </c>
      <c r="D22" s="597">
        <f>SUM(S13:V13)</f>
        <v>38</v>
      </c>
      <c r="E22" s="597">
        <f>SUM(W13:Y13)</f>
        <v>35</v>
      </c>
      <c r="F22" s="597">
        <f>SUM(Z13:AA13)</f>
        <v>33</v>
      </c>
      <c r="G22" s="597">
        <f>SUM(AB13:AD13)</f>
        <v>142</v>
      </c>
      <c r="H22" s="597">
        <f>AE13</f>
        <v>99</v>
      </c>
      <c r="I22" s="597">
        <f>AF13</f>
        <v>49</v>
      </c>
      <c r="J22" s="597">
        <f>SUM(AG13:AH13)</f>
        <v>42</v>
      </c>
      <c r="K22" s="599">
        <f>SUM(B22:J22)</f>
        <v>505</v>
      </c>
    </row>
    <row r="23" spans="1:35" s="676" customFormat="1" ht="18.75" customHeight="1" x14ac:dyDescent="0.2">
      <c r="A23" s="841" t="s">
        <v>530</v>
      </c>
      <c r="B23" s="598">
        <f t="shared" ref="B23:J23" si="9">B22/B$36</f>
        <v>3.048780487804878E-2</v>
      </c>
      <c r="C23" s="598">
        <f t="shared" si="9"/>
        <v>2.6359143327841845E-2</v>
      </c>
      <c r="D23" s="598">
        <f t="shared" si="9"/>
        <v>3.0497592295345103E-2</v>
      </c>
      <c r="E23" s="598">
        <f t="shared" si="9"/>
        <v>3.3301617507136061E-2</v>
      </c>
      <c r="F23" s="598">
        <f t="shared" si="9"/>
        <v>3.125E-2</v>
      </c>
      <c r="G23" s="598">
        <f t="shared" si="9"/>
        <v>4.7603084143479718E-2</v>
      </c>
      <c r="H23" s="598">
        <f t="shared" si="9"/>
        <v>3.5143769968051117E-2</v>
      </c>
      <c r="I23" s="598">
        <f t="shared" si="9"/>
        <v>3.5507246376811595E-2</v>
      </c>
      <c r="J23" s="598">
        <f t="shared" si="9"/>
        <v>3.7769784172661872E-2</v>
      </c>
      <c r="K23" s="598">
        <f>K22/K$36</f>
        <v>3.6053401870493322E-2</v>
      </c>
    </row>
    <row r="24" spans="1:35" s="676" customFormat="1" ht="18.75" customHeight="1" x14ac:dyDescent="0.2">
      <c r="A24" s="840" t="s">
        <v>531</v>
      </c>
      <c r="B24" s="597">
        <f>SUM(N14:P14)</f>
        <v>34</v>
      </c>
      <c r="C24" s="597">
        <f>SUM(Q14:R14)</f>
        <v>34</v>
      </c>
      <c r="D24" s="597">
        <f>SUM(S14:V14)</f>
        <v>28</v>
      </c>
      <c r="E24" s="597">
        <f>SUM(W14:Y14)</f>
        <v>37</v>
      </c>
      <c r="F24" s="597">
        <f>SUM(Z14:AA14)</f>
        <v>21</v>
      </c>
      <c r="G24" s="597">
        <f>SUM(AB14:AD14)</f>
        <v>97</v>
      </c>
      <c r="H24" s="597">
        <f>AE14</f>
        <v>83</v>
      </c>
      <c r="I24" s="597">
        <f>AF14</f>
        <v>33</v>
      </c>
      <c r="J24" s="597">
        <f>SUM(AG14:AH14)</f>
        <v>25</v>
      </c>
      <c r="K24" s="599">
        <f>SUM(B24:J24)</f>
        <v>392</v>
      </c>
    </row>
    <row r="25" spans="1:35" s="676" customFormat="1" ht="18.75" customHeight="1" x14ac:dyDescent="0.2">
      <c r="A25" s="841" t="s">
        <v>532</v>
      </c>
      <c r="B25" s="598">
        <f t="shared" ref="B25:J25" si="10">B24/B$36</f>
        <v>2.9616724738675958E-2</v>
      </c>
      <c r="C25" s="598">
        <f t="shared" si="10"/>
        <v>2.800658978583196E-2</v>
      </c>
      <c r="D25" s="598">
        <f t="shared" si="10"/>
        <v>2.247191011235955E-2</v>
      </c>
      <c r="E25" s="598">
        <f t="shared" si="10"/>
        <v>3.5204567078972404E-2</v>
      </c>
      <c r="F25" s="598">
        <f t="shared" si="10"/>
        <v>1.9886363636363636E-2</v>
      </c>
      <c r="G25" s="598">
        <f t="shared" si="10"/>
        <v>3.2517599731813611E-2</v>
      </c>
      <c r="H25" s="598">
        <f t="shared" si="10"/>
        <v>2.9463968761093362E-2</v>
      </c>
      <c r="I25" s="598">
        <f t="shared" si="10"/>
        <v>2.391304347826087E-2</v>
      </c>
      <c r="J25" s="598">
        <f t="shared" si="10"/>
        <v>2.2482014388489208E-2</v>
      </c>
      <c r="K25" s="598">
        <f>K24/K$36</f>
        <v>2.798600699650175E-2</v>
      </c>
    </row>
    <row r="26" spans="1:35" s="676" customFormat="1" ht="18.75" customHeight="1" x14ac:dyDescent="0.2">
      <c r="A26" s="840" t="s">
        <v>533</v>
      </c>
      <c r="B26" s="597">
        <f>SUM(N15:P15)</f>
        <v>24</v>
      </c>
      <c r="C26" s="597">
        <f>SUM(Q15:R15)</f>
        <v>44</v>
      </c>
      <c r="D26" s="597">
        <f>SUM(S15:V15)</f>
        <v>31</v>
      </c>
      <c r="E26" s="597">
        <f>SUM(W15:Y15)</f>
        <v>30</v>
      </c>
      <c r="F26" s="597">
        <f>SUM(Z15:AA15)</f>
        <v>23</v>
      </c>
      <c r="G26" s="597">
        <f>SUM(AB15:AD15)</f>
        <v>81</v>
      </c>
      <c r="H26" s="597">
        <f>AE15</f>
        <v>55</v>
      </c>
      <c r="I26" s="597">
        <f>AF15</f>
        <v>38</v>
      </c>
      <c r="J26" s="597">
        <f>SUM(AG15:AH15)</f>
        <v>40</v>
      </c>
      <c r="K26" s="599">
        <f>SUM(B26:J26)</f>
        <v>366</v>
      </c>
    </row>
    <row r="27" spans="1:35" s="676" customFormat="1" ht="18.75" customHeight="1" x14ac:dyDescent="0.2">
      <c r="A27" s="841" t="s">
        <v>534</v>
      </c>
      <c r="B27" s="598">
        <f t="shared" ref="B27:J27" si="11">B26/B$36</f>
        <v>2.0905923344947737E-2</v>
      </c>
      <c r="C27" s="598">
        <f t="shared" si="11"/>
        <v>3.6243822075782535E-2</v>
      </c>
      <c r="D27" s="598">
        <f t="shared" si="11"/>
        <v>2.4879614767255216E-2</v>
      </c>
      <c r="E27" s="598">
        <f t="shared" si="11"/>
        <v>2.8544243577545196E-2</v>
      </c>
      <c r="F27" s="598">
        <f t="shared" si="11"/>
        <v>2.1780303030303032E-2</v>
      </c>
      <c r="G27" s="598">
        <f t="shared" si="11"/>
        <v>2.7153871940998994E-2</v>
      </c>
      <c r="H27" s="598">
        <f t="shared" si="11"/>
        <v>1.9524316648917288E-2</v>
      </c>
      <c r="I27" s="598">
        <f t="shared" si="11"/>
        <v>2.753623188405797E-2</v>
      </c>
      <c r="J27" s="598">
        <f t="shared" si="11"/>
        <v>3.5971223021582732E-2</v>
      </c>
      <c r="K27" s="598">
        <f>K26/K$36</f>
        <v>2.6129792246733775E-2</v>
      </c>
    </row>
    <row r="28" spans="1:35" s="676" customFormat="1" ht="18.75" customHeight="1" x14ac:dyDescent="0.2">
      <c r="A28" s="840" t="s">
        <v>535</v>
      </c>
      <c r="B28" s="597">
        <f>SUM(N16:P16)</f>
        <v>23</v>
      </c>
      <c r="C28" s="597">
        <f>SUM(Q16:R16)</f>
        <v>23</v>
      </c>
      <c r="D28" s="597">
        <f>SUM(S16:V16)</f>
        <v>24</v>
      </c>
      <c r="E28" s="597">
        <f>SUM(W16:Y16)</f>
        <v>14</v>
      </c>
      <c r="F28" s="597">
        <f>SUM(Z16:AA16)</f>
        <v>15</v>
      </c>
      <c r="G28" s="597">
        <f>SUM(AB16:AD16)</f>
        <v>65</v>
      </c>
      <c r="H28" s="597">
        <f>AE16</f>
        <v>54</v>
      </c>
      <c r="I28" s="597">
        <f>AF16</f>
        <v>29</v>
      </c>
      <c r="J28" s="597">
        <f>SUM(AG16:AH16)</f>
        <v>24</v>
      </c>
      <c r="K28" s="599">
        <f>SUM(B28:J28)</f>
        <v>271</v>
      </c>
    </row>
    <row r="29" spans="1:35" s="676" customFormat="1" ht="18.75" customHeight="1" x14ac:dyDescent="0.2">
      <c r="A29" s="841" t="s">
        <v>536</v>
      </c>
      <c r="B29" s="598">
        <f t="shared" ref="B29:J29" si="12">B28/B$36</f>
        <v>2.0034843205574911E-2</v>
      </c>
      <c r="C29" s="598">
        <f t="shared" si="12"/>
        <v>1.8945634266886325E-2</v>
      </c>
      <c r="D29" s="598">
        <f t="shared" si="12"/>
        <v>1.9261637239165328E-2</v>
      </c>
      <c r="E29" s="598">
        <f t="shared" si="12"/>
        <v>1.3320647002854425E-2</v>
      </c>
      <c r="F29" s="598">
        <f t="shared" si="12"/>
        <v>1.4204545454545454E-2</v>
      </c>
      <c r="G29" s="598">
        <f t="shared" si="12"/>
        <v>2.179014415018438E-2</v>
      </c>
      <c r="H29" s="598">
        <f t="shared" si="12"/>
        <v>1.9169329073482427E-2</v>
      </c>
      <c r="I29" s="598">
        <f t="shared" si="12"/>
        <v>2.1014492753623187E-2</v>
      </c>
      <c r="J29" s="598">
        <f t="shared" si="12"/>
        <v>2.1582733812949641E-2</v>
      </c>
      <c r="K29" s="598">
        <f>K28/K$36</f>
        <v>1.9347469122581566E-2</v>
      </c>
    </row>
    <row r="30" spans="1:35" s="676" customFormat="1" ht="18.75" customHeight="1" x14ac:dyDescent="0.2">
      <c r="A30" s="840" t="s">
        <v>537</v>
      </c>
      <c r="B30" s="597">
        <f>SUM(N17:P17)</f>
        <v>23</v>
      </c>
      <c r="C30" s="597">
        <f>SUM(Q17:R17)</f>
        <v>16</v>
      </c>
      <c r="D30" s="597">
        <f>SUM(S17:V17)</f>
        <v>21</v>
      </c>
      <c r="E30" s="597">
        <f>SUM(W17:Y17)</f>
        <v>13</v>
      </c>
      <c r="F30" s="597">
        <f>SUM(Z17:AA17)</f>
        <v>18</v>
      </c>
      <c r="G30" s="597">
        <f>SUM(AB17:AD17)</f>
        <v>46</v>
      </c>
      <c r="H30" s="597">
        <f>AE17</f>
        <v>35</v>
      </c>
      <c r="I30" s="597">
        <f>AF17</f>
        <v>13</v>
      </c>
      <c r="J30" s="597">
        <f>SUM(AG17:AH17)</f>
        <v>23</v>
      </c>
      <c r="K30" s="599">
        <f>SUM(B30:J30)</f>
        <v>208</v>
      </c>
    </row>
    <row r="31" spans="1:35" s="676" customFormat="1" ht="18.75" customHeight="1" x14ac:dyDescent="0.2">
      <c r="A31" s="841" t="s">
        <v>538</v>
      </c>
      <c r="B31" s="598">
        <f t="shared" ref="B31:J31" si="13">B30/B$36</f>
        <v>2.0034843205574911E-2</v>
      </c>
      <c r="C31" s="598">
        <f t="shared" si="13"/>
        <v>1.3179571663920923E-2</v>
      </c>
      <c r="D31" s="598">
        <f t="shared" si="13"/>
        <v>1.6853932584269662E-2</v>
      </c>
      <c r="E31" s="598">
        <f t="shared" si="13"/>
        <v>1.2369172216936251E-2</v>
      </c>
      <c r="F31" s="598">
        <f t="shared" si="13"/>
        <v>1.7045454545454544E-2</v>
      </c>
      <c r="G31" s="598">
        <f t="shared" si="13"/>
        <v>1.5420717398592021E-2</v>
      </c>
      <c r="H31" s="598">
        <f t="shared" si="13"/>
        <v>1.2424565140220093E-2</v>
      </c>
      <c r="I31" s="598">
        <f t="shared" si="13"/>
        <v>9.4202898550724643E-3</v>
      </c>
      <c r="J31" s="598">
        <f t="shared" si="13"/>
        <v>2.0683453237410072E-2</v>
      </c>
      <c r="K31" s="598">
        <f>K30/K$36</f>
        <v>1.4849717998143785E-2</v>
      </c>
    </row>
    <row r="32" spans="1:35" s="676" customFormat="1" ht="18.75" customHeight="1" x14ac:dyDescent="0.2">
      <c r="A32" s="840" t="s">
        <v>539</v>
      </c>
      <c r="B32" s="597">
        <f>SUM(N18:P18)</f>
        <v>95</v>
      </c>
      <c r="C32" s="597">
        <f>SUM(Q18:R18)</f>
        <v>80</v>
      </c>
      <c r="D32" s="597">
        <f>SUM(S18:V18)</f>
        <v>95</v>
      </c>
      <c r="E32" s="597">
        <f>SUM(W18:Y18)</f>
        <v>73</v>
      </c>
      <c r="F32" s="597">
        <f>SUM(Z18:AA18)</f>
        <v>93</v>
      </c>
      <c r="G32" s="597">
        <f>SUM(AB18:AD18)</f>
        <v>282</v>
      </c>
      <c r="H32" s="597">
        <f>AE18</f>
        <v>216</v>
      </c>
      <c r="I32" s="597">
        <f>AF18</f>
        <v>149</v>
      </c>
      <c r="J32" s="597">
        <f>SUM(AG18:AH18)</f>
        <v>120</v>
      </c>
      <c r="K32" s="599">
        <f>SUM(B32:J32)</f>
        <v>1203</v>
      </c>
    </row>
    <row r="33" spans="1:11" s="676" customFormat="1" ht="18.75" customHeight="1" x14ac:dyDescent="0.2">
      <c r="A33" s="841" t="s">
        <v>540</v>
      </c>
      <c r="B33" s="598">
        <f t="shared" ref="B33:J33" si="14">B32/B$36</f>
        <v>8.2752613240418119E-2</v>
      </c>
      <c r="C33" s="598">
        <f t="shared" si="14"/>
        <v>6.589785831960461E-2</v>
      </c>
      <c r="D33" s="598">
        <f t="shared" si="14"/>
        <v>7.6243980738362763E-2</v>
      </c>
      <c r="E33" s="598">
        <f t="shared" si="14"/>
        <v>6.9457659372026637E-2</v>
      </c>
      <c r="F33" s="598">
        <f t="shared" si="14"/>
        <v>8.8068181818181823E-2</v>
      </c>
      <c r="G33" s="598">
        <f t="shared" si="14"/>
        <v>9.4535702313107609E-2</v>
      </c>
      <c r="H33" s="598">
        <f t="shared" si="14"/>
        <v>7.6677316293929709E-2</v>
      </c>
      <c r="I33" s="598">
        <f t="shared" si="14"/>
        <v>0.10797101449275362</v>
      </c>
      <c r="J33" s="598">
        <f t="shared" si="14"/>
        <v>0.1079136690647482</v>
      </c>
      <c r="K33" s="598">
        <f>K32/K$36</f>
        <v>8.5885628614264298E-2</v>
      </c>
    </row>
    <row r="34" spans="1:11" s="676" customFormat="1" ht="18.75" customHeight="1" x14ac:dyDescent="0.2">
      <c r="A34" s="1071" t="s">
        <v>60</v>
      </c>
      <c r="B34" s="597">
        <f>SUM(N19:P19)</f>
        <v>71</v>
      </c>
      <c r="C34" s="597">
        <f>SUM(Q19:R19)</f>
        <v>41</v>
      </c>
      <c r="D34" s="597">
        <f>SUM(S19:V19)</f>
        <v>41</v>
      </c>
      <c r="E34" s="597">
        <f>SUM(W19:Y19)</f>
        <v>45</v>
      </c>
      <c r="F34" s="597">
        <f>SUM(Z19:AA19)</f>
        <v>51</v>
      </c>
      <c r="G34" s="597">
        <f>SUM(AB19:AD19)</f>
        <v>138</v>
      </c>
      <c r="H34" s="597">
        <f>AE19</f>
        <v>136</v>
      </c>
      <c r="I34" s="597">
        <f>AF19</f>
        <v>105</v>
      </c>
      <c r="J34" s="597">
        <f>SUM(AG19:AH19)</f>
        <v>77</v>
      </c>
      <c r="K34" s="599">
        <f>SUM(B34:J34)</f>
        <v>705</v>
      </c>
    </row>
    <row r="35" spans="1:11" s="676" customFormat="1" ht="18.75" customHeight="1" x14ac:dyDescent="0.2">
      <c r="A35" s="1093"/>
      <c r="B35" s="598">
        <f t="shared" ref="B35:J35" si="15">B34/B$36</f>
        <v>6.1846689895470382E-2</v>
      </c>
      <c r="C35" s="598">
        <f t="shared" si="15"/>
        <v>3.3772652388797363E-2</v>
      </c>
      <c r="D35" s="598">
        <f t="shared" si="15"/>
        <v>3.2905296950240769E-2</v>
      </c>
      <c r="E35" s="598">
        <f t="shared" si="15"/>
        <v>4.2816365366317791E-2</v>
      </c>
      <c r="F35" s="598">
        <f t="shared" si="15"/>
        <v>4.8295454545454544E-2</v>
      </c>
      <c r="G35" s="598">
        <f t="shared" si="15"/>
        <v>4.6262152195776063E-2</v>
      </c>
      <c r="H35" s="598">
        <f t="shared" si="15"/>
        <v>4.8278310259140929E-2</v>
      </c>
      <c r="I35" s="598">
        <f t="shared" si="15"/>
        <v>7.6086956521739135E-2</v>
      </c>
      <c r="J35" s="598">
        <f t="shared" si="15"/>
        <v>6.9244604316546762E-2</v>
      </c>
      <c r="K35" s="598">
        <f>K34/K$36</f>
        <v>5.0331976868708501E-2</v>
      </c>
    </row>
    <row r="36" spans="1:11" s="676" customFormat="1" ht="18.75" customHeight="1" x14ac:dyDescent="0.2">
      <c r="A36" s="1089" t="s">
        <v>11</v>
      </c>
      <c r="B36" s="871">
        <f t="shared" ref="B36:J37" si="16">SUM(B4,B6,B8,B10,B12,B14,B16,B18,B20,B22,B24,B26,B28,B30,B32,B34)</f>
        <v>1148</v>
      </c>
      <c r="C36" s="871">
        <f t="shared" si="16"/>
        <v>1214</v>
      </c>
      <c r="D36" s="871">
        <f t="shared" si="16"/>
        <v>1246</v>
      </c>
      <c r="E36" s="871">
        <f t="shared" si="16"/>
        <v>1051</v>
      </c>
      <c r="F36" s="871">
        <f t="shared" si="16"/>
        <v>1056</v>
      </c>
      <c r="G36" s="871">
        <f t="shared" si="16"/>
        <v>2983</v>
      </c>
      <c r="H36" s="871">
        <f t="shared" si="16"/>
        <v>2817</v>
      </c>
      <c r="I36" s="871">
        <f t="shared" si="16"/>
        <v>1380</v>
      </c>
      <c r="J36" s="871">
        <f t="shared" si="16"/>
        <v>1112</v>
      </c>
      <c r="K36" s="872">
        <f>SUM(B36:J36)</f>
        <v>14007</v>
      </c>
    </row>
    <row r="37" spans="1:11" s="676" customFormat="1" ht="18.75" customHeight="1" x14ac:dyDescent="0.2">
      <c r="A37" s="1090"/>
      <c r="B37" s="874">
        <f t="shared" si="16"/>
        <v>1.0000000000000002</v>
      </c>
      <c r="C37" s="874">
        <f t="shared" si="16"/>
        <v>0.99999999999999989</v>
      </c>
      <c r="D37" s="874">
        <f t="shared" si="16"/>
        <v>1.0000000000000002</v>
      </c>
      <c r="E37" s="874">
        <f t="shared" si="16"/>
        <v>1</v>
      </c>
      <c r="F37" s="874">
        <f t="shared" si="16"/>
        <v>0.99999999999999978</v>
      </c>
      <c r="G37" s="874">
        <f t="shared" si="16"/>
        <v>1</v>
      </c>
      <c r="H37" s="874">
        <f t="shared" si="16"/>
        <v>1</v>
      </c>
      <c r="I37" s="874">
        <f t="shared" si="16"/>
        <v>0.99999999999999989</v>
      </c>
      <c r="J37" s="874">
        <f t="shared" si="16"/>
        <v>1</v>
      </c>
      <c r="K37" s="874">
        <f>SUM(K5,K7,K9,K11,K13,K15,K17,K19,K21,K23,K25,K27,K29,K31,K33,K35)</f>
        <v>1.0000000000000002</v>
      </c>
    </row>
    <row r="38" spans="1:11" s="677" customFormat="1" ht="18.75" customHeight="1" x14ac:dyDescent="0.2">
      <c r="A38" s="1094" t="s">
        <v>55</v>
      </c>
      <c r="B38" s="597">
        <f t="shared" ref="B38:J38" si="17">SUM(B4,B6,B8,B10)</f>
        <v>533</v>
      </c>
      <c r="C38" s="597">
        <f t="shared" si="17"/>
        <v>574</v>
      </c>
      <c r="D38" s="597">
        <f t="shared" si="17"/>
        <v>685</v>
      </c>
      <c r="E38" s="597">
        <f t="shared" si="17"/>
        <v>556</v>
      </c>
      <c r="F38" s="597">
        <f t="shared" si="17"/>
        <v>507</v>
      </c>
      <c r="G38" s="597">
        <f t="shared" si="17"/>
        <v>1123</v>
      </c>
      <c r="H38" s="597">
        <f t="shared" si="17"/>
        <v>1472</v>
      </c>
      <c r="I38" s="597">
        <f t="shared" si="17"/>
        <v>646</v>
      </c>
      <c r="J38" s="597">
        <f t="shared" si="17"/>
        <v>478</v>
      </c>
      <c r="K38" s="599">
        <f>SUM(B38:J38)</f>
        <v>6574</v>
      </c>
    </row>
    <row r="39" spans="1:11" s="677" customFormat="1" ht="18.75" customHeight="1" x14ac:dyDescent="0.2">
      <c r="A39" s="1095"/>
      <c r="B39" s="598">
        <f t="shared" ref="B39:J45" si="18">B38/B$36</f>
        <v>0.4642857142857143</v>
      </c>
      <c r="C39" s="598">
        <f t="shared" si="18"/>
        <v>0.47281713344316312</v>
      </c>
      <c r="D39" s="598">
        <f t="shared" si="18"/>
        <v>0.5497592295345104</v>
      </c>
      <c r="E39" s="598">
        <f t="shared" si="18"/>
        <v>0.52901998097050429</v>
      </c>
      <c r="F39" s="598">
        <f t="shared" si="18"/>
        <v>0.48011363636363635</v>
      </c>
      <c r="G39" s="598">
        <f t="shared" si="18"/>
        <v>0.37646664431780086</v>
      </c>
      <c r="H39" s="598">
        <f t="shared" si="18"/>
        <v>0.5225417110401136</v>
      </c>
      <c r="I39" s="598">
        <f t="shared" si="18"/>
        <v>0.46811594202898549</v>
      </c>
      <c r="J39" s="598">
        <f t="shared" si="18"/>
        <v>0.42985611510791366</v>
      </c>
      <c r="K39" s="598">
        <f>K38/K$36</f>
        <v>0.46933676019133291</v>
      </c>
    </row>
    <row r="40" spans="1:11" s="676" customFormat="1" ht="18.75" customHeight="1" x14ac:dyDescent="0.2">
      <c r="A40" s="842" t="s">
        <v>541</v>
      </c>
      <c r="B40" s="597">
        <f t="shared" ref="B40:J40" si="19">SUM(B12,B14,B16,B18,B20)</f>
        <v>310</v>
      </c>
      <c r="C40" s="597">
        <f t="shared" si="19"/>
        <v>370</v>
      </c>
      <c r="D40" s="597">
        <f t="shared" si="19"/>
        <v>283</v>
      </c>
      <c r="E40" s="597">
        <f t="shared" si="19"/>
        <v>248</v>
      </c>
      <c r="F40" s="597">
        <f t="shared" si="19"/>
        <v>295</v>
      </c>
      <c r="G40" s="597">
        <f t="shared" si="19"/>
        <v>1009</v>
      </c>
      <c r="H40" s="597">
        <f t="shared" si="19"/>
        <v>667</v>
      </c>
      <c r="I40" s="597">
        <f t="shared" si="19"/>
        <v>318</v>
      </c>
      <c r="J40" s="597">
        <f t="shared" si="19"/>
        <v>283</v>
      </c>
      <c r="K40" s="599">
        <f>SUM(B40:J40)</f>
        <v>3783</v>
      </c>
    </row>
    <row r="41" spans="1:11" s="676" customFormat="1" ht="18.75" customHeight="1" x14ac:dyDescent="0.2">
      <c r="A41" s="843" t="s">
        <v>542</v>
      </c>
      <c r="B41" s="598">
        <f t="shared" ref="B41:I41" si="20">B40/B$36</f>
        <v>0.27003484320557491</v>
      </c>
      <c r="C41" s="598">
        <f t="shared" si="20"/>
        <v>0.30477759472817134</v>
      </c>
      <c r="D41" s="598">
        <f t="shared" si="20"/>
        <v>0.22712680577849118</v>
      </c>
      <c r="E41" s="598">
        <f t="shared" si="20"/>
        <v>0.23596574690770694</v>
      </c>
      <c r="F41" s="598">
        <f t="shared" si="20"/>
        <v>0.27935606060606061</v>
      </c>
      <c r="G41" s="598">
        <f t="shared" si="20"/>
        <v>0.33825008380824673</v>
      </c>
      <c r="H41" s="598">
        <f t="shared" si="20"/>
        <v>0.23677671281505147</v>
      </c>
      <c r="I41" s="598">
        <f t="shared" si="20"/>
        <v>0.23043478260869565</v>
      </c>
      <c r="J41" s="598">
        <f t="shared" si="18"/>
        <v>0.25449640287769787</v>
      </c>
      <c r="K41" s="598">
        <f>K40/K$36</f>
        <v>0.27007924609124012</v>
      </c>
    </row>
    <row r="42" spans="1:11" s="677" customFormat="1" ht="18.75" customHeight="1" x14ac:dyDescent="0.2">
      <c r="A42" s="842" t="s">
        <v>543</v>
      </c>
      <c r="B42" s="597">
        <f t="shared" ref="B42:J42" si="21">SUM(B22,B24,B26,B28,B30)</f>
        <v>139</v>
      </c>
      <c r="C42" s="597">
        <f t="shared" si="21"/>
        <v>149</v>
      </c>
      <c r="D42" s="597">
        <f t="shared" si="21"/>
        <v>142</v>
      </c>
      <c r="E42" s="597">
        <f t="shared" si="21"/>
        <v>129</v>
      </c>
      <c r="F42" s="597">
        <f t="shared" si="21"/>
        <v>110</v>
      </c>
      <c r="G42" s="597">
        <f t="shared" si="21"/>
        <v>431</v>
      </c>
      <c r="H42" s="597">
        <f t="shared" si="21"/>
        <v>326</v>
      </c>
      <c r="I42" s="597">
        <f t="shared" si="21"/>
        <v>162</v>
      </c>
      <c r="J42" s="597">
        <f t="shared" si="21"/>
        <v>154</v>
      </c>
      <c r="K42" s="599">
        <f>SUM(B42:J42)</f>
        <v>1742</v>
      </c>
    </row>
    <row r="43" spans="1:11" s="677" customFormat="1" ht="18.75" customHeight="1" x14ac:dyDescent="0.2">
      <c r="A43" s="843" t="s">
        <v>544</v>
      </c>
      <c r="B43" s="598">
        <f t="shared" ref="B43:I43" si="22">B42/B$36</f>
        <v>0.1210801393728223</v>
      </c>
      <c r="C43" s="598">
        <f t="shared" si="22"/>
        <v>0.12273476112026359</v>
      </c>
      <c r="D43" s="598">
        <f t="shared" si="22"/>
        <v>0.11396468699839486</v>
      </c>
      <c r="E43" s="598">
        <f t="shared" si="22"/>
        <v>0.12274024738344434</v>
      </c>
      <c r="F43" s="598">
        <f t="shared" si="22"/>
        <v>0.10416666666666667</v>
      </c>
      <c r="G43" s="598">
        <f t="shared" si="22"/>
        <v>0.14448541736506873</v>
      </c>
      <c r="H43" s="598">
        <f t="shared" si="22"/>
        <v>0.11572594959176428</v>
      </c>
      <c r="I43" s="598">
        <f t="shared" si="22"/>
        <v>0.11739130434782609</v>
      </c>
      <c r="J43" s="598">
        <f t="shared" si="18"/>
        <v>0.13848920863309352</v>
      </c>
      <c r="K43" s="598">
        <f>K42/K$36</f>
        <v>0.1243663882344542</v>
      </c>
    </row>
    <row r="44" spans="1:11" s="676" customFormat="1" ht="18.75" customHeight="1" x14ac:dyDescent="0.2">
      <c r="A44" s="1094" t="s">
        <v>545</v>
      </c>
      <c r="B44" s="597">
        <f t="shared" ref="B44:J44" si="23">SUM(B32,B34)</f>
        <v>166</v>
      </c>
      <c r="C44" s="597">
        <f t="shared" si="23"/>
        <v>121</v>
      </c>
      <c r="D44" s="597">
        <f t="shared" si="23"/>
        <v>136</v>
      </c>
      <c r="E44" s="597">
        <f t="shared" si="23"/>
        <v>118</v>
      </c>
      <c r="F44" s="597">
        <f t="shared" si="23"/>
        <v>144</v>
      </c>
      <c r="G44" s="597">
        <f t="shared" si="23"/>
        <v>420</v>
      </c>
      <c r="H44" s="597">
        <f t="shared" si="23"/>
        <v>352</v>
      </c>
      <c r="I44" s="597">
        <f t="shared" si="23"/>
        <v>254</v>
      </c>
      <c r="J44" s="597">
        <f t="shared" si="23"/>
        <v>197</v>
      </c>
      <c r="K44" s="599">
        <f>SUM(B44:J44)</f>
        <v>1908</v>
      </c>
    </row>
    <row r="45" spans="1:11" s="676" customFormat="1" ht="18.75" customHeight="1" x14ac:dyDescent="0.2">
      <c r="A45" s="1095"/>
      <c r="B45" s="598">
        <f t="shared" ref="B45:I45" si="24">B44/B$36</f>
        <v>0.14459930313588851</v>
      </c>
      <c r="C45" s="598">
        <f t="shared" si="24"/>
        <v>9.967051070840198E-2</v>
      </c>
      <c r="D45" s="598">
        <f t="shared" si="24"/>
        <v>0.10914927768860354</v>
      </c>
      <c r="E45" s="598">
        <f t="shared" si="24"/>
        <v>0.11227402473834443</v>
      </c>
      <c r="F45" s="598">
        <f t="shared" si="24"/>
        <v>0.13636363636363635</v>
      </c>
      <c r="G45" s="598">
        <f t="shared" si="24"/>
        <v>0.14079785450888369</v>
      </c>
      <c r="H45" s="598">
        <f t="shared" si="24"/>
        <v>0.12495562655307065</v>
      </c>
      <c r="I45" s="598">
        <f t="shared" si="24"/>
        <v>0.18405797101449275</v>
      </c>
      <c r="J45" s="598">
        <f t="shared" si="18"/>
        <v>0.17715827338129497</v>
      </c>
      <c r="K45" s="598">
        <f>K44/K$36</f>
        <v>0.13621760548297279</v>
      </c>
    </row>
    <row r="46" spans="1:11" ht="17.399999999999999" hidden="1" x14ac:dyDescent="0.2">
      <c r="A46" s="676"/>
      <c r="B46" s="27">
        <f>SUM(B38,B40,B42,B44)</f>
        <v>1148</v>
      </c>
      <c r="C46" s="27">
        <f t="shared" ref="C46:J46" si="25">SUM(C38,C40,C42,C44)</f>
        <v>1214</v>
      </c>
      <c r="D46" s="27">
        <f t="shared" si="25"/>
        <v>1246</v>
      </c>
      <c r="E46" s="27">
        <f t="shared" si="25"/>
        <v>1051</v>
      </c>
      <c r="F46" s="27">
        <f t="shared" si="25"/>
        <v>1056</v>
      </c>
      <c r="G46" s="27">
        <f t="shared" si="25"/>
        <v>2983</v>
      </c>
      <c r="H46" s="27">
        <f t="shared" si="25"/>
        <v>2817</v>
      </c>
      <c r="I46" s="27">
        <f t="shared" si="25"/>
        <v>1380</v>
      </c>
      <c r="J46" s="27">
        <f t="shared" si="25"/>
        <v>1112</v>
      </c>
      <c r="K46" s="676"/>
    </row>
    <row r="47" spans="1:11" ht="17.399999999999999" x14ac:dyDescent="0.2">
      <c r="A47" s="676"/>
      <c r="B47" s="27"/>
      <c r="C47" s="27"/>
      <c r="D47" s="27"/>
      <c r="E47" s="27"/>
      <c r="F47" s="27"/>
      <c r="G47" s="27"/>
      <c r="H47" s="27"/>
      <c r="I47" s="27"/>
      <c r="J47" s="676"/>
      <c r="K47" s="676"/>
    </row>
    <row r="48" spans="1:11" ht="17.399999999999999" x14ac:dyDescent="0.2">
      <c r="A48" s="676"/>
      <c r="B48" s="676"/>
      <c r="C48" s="676"/>
      <c r="D48" s="676"/>
      <c r="E48" s="676"/>
      <c r="F48" s="676"/>
      <c r="G48" s="676"/>
      <c r="H48" s="676"/>
      <c r="I48" s="676"/>
      <c r="J48" s="676"/>
      <c r="K48" s="676"/>
    </row>
  </sheetData>
  <mergeCells count="5">
    <mergeCell ref="A4:A5"/>
    <mergeCell ref="A34:A35"/>
    <mergeCell ref="A36:A37"/>
    <mergeCell ref="A38:A39"/>
    <mergeCell ref="A44:A45"/>
  </mergeCells>
  <phoneticPr fontId="2"/>
  <printOptions horizontalCentered="1"/>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01" r:id="rId4" name="Button 1">
              <controlPr defaultSize="0" print="0" autoFill="0" autoPict="0" macro="[0]!データ削除_在院期間区分入院時住所地">
                <anchor moveWithCells="1" sizeWithCells="1">
                  <from>
                    <xdr:col>11</xdr:col>
                    <xdr:colOff>495300</xdr:colOff>
                    <xdr:row>21</xdr:row>
                    <xdr:rowOff>220980</xdr:rowOff>
                  </from>
                  <to>
                    <xdr:col>15</xdr:col>
                    <xdr:colOff>60960</xdr:colOff>
                    <xdr:row>25</xdr:row>
                    <xdr:rowOff>38100</xdr:rowOff>
                  </to>
                </anchor>
              </controlPr>
            </control>
          </mc:Choice>
        </mc:AlternateContent>
      </controls>
    </mc:Choice>
  </mc:AlternateContent>
  <tableParts count="1">
    <tablePart r:id="rId5"/>
  </tablePart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43B4E-11D4-49BB-AC87-1B32E3B1076A}">
  <sheetPr codeName="Sheet43">
    <tabColor theme="5" tint="0.39997558519241921"/>
    <pageSetUpPr fitToPage="1"/>
  </sheetPr>
  <dimension ref="A1:BF38"/>
  <sheetViews>
    <sheetView showGridLines="0" view="pageBreakPreview" zoomScale="80" zoomScaleNormal="85" zoomScaleSheetLayoutView="80" workbookViewId="0"/>
  </sheetViews>
  <sheetFormatPr defaultColWidth="13.77734375" defaultRowHeight="17.399999999999999" x14ac:dyDescent="0.2"/>
  <cols>
    <col min="1" max="1" width="10" style="352" customWidth="1"/>
    <col min="2" max="11" width="8.77734375" style="352" customWidth="1"/>
    <col min="12" max="12" width="7.44140625" style="352" hidden="1" customWidth="1"/>
    <col min="13" max="13" width="10.21875" style="352" hidden="1" customWidth="1"/>
    <col min="14" max="14" width="10.88671875" style="352" hidden="1" customWidth="1"/>
    <col min="15" max="16" width="12.77734375" style="352" hidden="1" customWidth="1"/>
    <col min="17" max="17" width="9.77734375" style="352" hidden="1" customWidth="1"/>
    <col min="18" max="18" width="12.77734375" style="352" hidden="1" customWidth="1"/>
    <col min="19" max="19" width="14.6640625" style="352" hidden="1" customWidth="1"/>
    <col min="20" max="20" width="16.44140625" style="352" hidden="1" customWidth="1"/>
    <col min="21" max="22" width="12.77734375" style="352" hidden="1" customWidth="1"/>
    <col min="23" max="23" width="16.44140625" style="352" hidden="1" customWidth="1"/>
    <col min="24" max="24" width="14.6640625" style="352" hidden="1" customWidth="1"/>
    <col min="25" max="27" width="12.77734375" style="352" hidden="1" customWidth="1"/>
    <col min="28" max="31" width="10.88671875" style="352" hidden="1" customWidth="1"/>
    <col min="32" max="32" width="9.77734375" style="352" hidden="1" customWidth="1"/>
    <col min="33" max="33" width="10.88671875" style="352" hidden="1" customWidth="1"/>
    <col min="34" max="34" width="14.6640625" style="352" hidden="1" customWidth="1"/>
    <col min="35" max="35" width="9.77734375" style="352" hidden="1" customWidth="1"/>
    <col min="36" max="44" width="0" style="352" hidden="1" customWidth="1"/>
    <col min="45" max="46" width="13.77734375" style="352" hidden="1" customWidth="1"/>
    <col min="47" max="57" width="0" style="352" hidden="1" customWidth="1"/>
    <col min="58" max="16384" width="13.77734375" style="352"/>
  </cols>
  <sheetData>
    <row r="1" spans="1:58" s="3" customFormat="1" ht="19.2" x14ac:dyDescent="0.2">
      <c r="A1" s="2" t="s">
        <v>379</v>
      </c>
    </row>
    <row r="2" spans="1:58" ht="18" thickBot="1" x14ac:dyDescent="0.25">
      <c r="A2" s="4"/>
      <c r="AJ2" s="440" t="s">
        <v>364</v>
      </c>
      <c r="AK2" s="440" t="s">
        <v>365</v>
      </c>
      <c r="AL2" s="440" t="s">
        <v>366</v>
      </c>
      <c r="AM2" s="440" t="s">
        <v>367</v>
      </c>
      <c r="AN2" s="440" t="s">
        <v>368</v>
      </c>
      <c r="AO2" s="440" t="s">
        <v>369</v>
      </c>
      <c r="AP2" s="440" t="s">
        <v>370</v>
      </c>
      <c r="AQ2" s="440" t="s">
        <v>371</v>
      </c>
      <c r="AR2" s="440" t="s">
        <v>372</v>
      </c>
      <c r="AS2" s="440" t="s">
        <v>373</v>
      </c>
      <c r="AT2" s="440" t="s">
        <v>386</v>
      </c>
      <c r="AU2" s="440" t="s">
        <v>387</v>
      </c>
      <c r="AV2" s="440" t="s">
        <v>388</v>
      </c>
      <c r="AW2" s="440" t="s">
        <v>389</v>
      </c>
      <c r="AX2" s="440" t="s">
        <v>390</v>
      </c>
      <c r="AY2" s="440" t="s">
        <v>391</v>
      </c>
      <c r="AZ2" s="440" t="s">
        <v>392</v>
      </c>
      <c r="BA2" s="440" t="s">
        <v>393</v>
      </c>
      <c r="BB2" s="440" t="s">
        <v>394</v>
      </c>
      <c r="BC2" s="440" t="s">
        <v>429</v>
      </c>
      <c r="BD2" s="440" t="s">
        <v>430</v>
      </c>
      <c r="BE2" s="440"/>
      <c r="BF2" s="440"/>
    </row>
    <row r="3" spans="1:58" ht="36" thickTop="1" thickBot="1" x14ac:dyDescent="0.25">
      <c r="A3" s="359"/>
      <c r="B3" s="359" t="s">
        <v>356</v>
      </c>
      <c r="C3" s="359" t="s">
        <v>357</v>
      </c>
      <c r="D3" s="359" t="s">
        <v>358</v>
      </c>
      <c r="E3" s="359" t="s">
        <v>359</v>
      </c>
      <c r="F3" s="359" t="s">
        <v>360</v>
      </c>
      <c r="G3" s="359" t="s">
        <v>361</v>
      </c>
      <c r="H3" s="359" t="s">
        <v>362</v>
      </c>
      <c r="I3" s="359" t="s">
        <v>363</v>
      </c>
      <c r="J3" s="622" t="s">
        <v>378</v>
      </c>
      <c r="K3" s="359" t="s">
        <v>61</v>
      </c>
      <c r="M3" s="386" t="s">
        <v>655</v>
      </c>
      <c r="N3" s="623" t="s">
        <v>728</v>
      </c>
      <c r="O3" s="623" t="s">
        <v>729</v>
      </c>
      <c r="P3" s="623" t="s">
        <v>730</v>
      </c>
      <c r="Q3" s="623" t="s">
        <v>731</v>
      </c>
      <c r="R3" s="623" t="s">
        <v>732</v>
      </c>
      <c r="S3" s="623" t="s">
        <v>733</v>
      </c>
      <c r="T3" s="623" t="s">
        <v>734</v>
      </c>
      <c r="U3" s="623" t="s">
        <v>735</v>
      </c>
      <c r="V3" s="623" t="s">
        <v>736</v>
      </c>
      <c r="W3" s="623" t="s">
        <v>737</v>
      </c>
      <c r="X3" s="623" t="s">
        <v>738</v>
      </c>
      <c r="Y3" s="623" t="s">
        <v>739</v>
      </c>
      <c r="Z3" s="623" t="s">
        <v>740</v>
      </c>
      <c r="AA3" s="623" t="s">
        <v>741</v>
      </c>
      <c r="AB3" s="623" t="s">
        <v>742</v>
      </c>
      <c r="AC3" s="623" t="s">
        <v>743</v>
      </c>
      <c r="AD3" s="623" t="s">
        <v>744</v>
      </c>
      <c r="AE3" s="623" t="s">
        <v>745</v>
      </c>
      <c r="AF3" s="623" t="s">
        <v>746</v>
      </c>
      <c r="AG3" s="623" t="s">
        <v>747</v>
      </c>
      <c r="AH3" s="623" t="s">
        <v>748</v>
      </c>
      <c r="AI3" s="623" t="s">
        <v>398</v>
      </c>
    </row>
    <row r="4" spans="1:58" ht="18.75" customHeight="1" thickTop="1" thickBot="1" x14ac:dyDescent="0.25">
      <c r="A4" s="619" t="s">
        <v>28</v>
      </c>
      <c r="B4" s="624">
        <f>AL5</f>
        <v>32</v>
      </c>
      <c r="C4" s="624">
        <f t="shared" ref="C4:J4" si="0">AM5</f>
        <v>33</v>
      </c>
      <c r="D4" s="624">
        <f t="shared" si="0"/>
        <v>23</v>
      </c>
      <c r="E4" s="624">
        <f t="shared" si="0"/>
        <v>39</v>
      </c>
      <c r="F4" s="624">
        <f t="shared" si="0"/>
        <v>28</v>
      </c>
      <c r="G4" s="624">
        <f t="shared" si="0"/>
        <v>15</v>
      </c>
      <c r="H4" s="624">
        <f t="shared" si="0"/>
        <v>84</v>
      </c>
      <c r="I4" s="624">
        <f t="shared" si="0"/>
        <v>14</v>
      </c>
      <c r="J4" s="624">
        <f t="shared" si="0"/>
        <v>32</v>
      </c>
      <c r="K4" s="625">
        <f>SUM(B4:J4)</f>
        <v>300</v>
      </c>
      <c r="M4" s="626">
        <v>1</v>
      </c>
      <c r="N4" s="372">
        <v>4</v>
      </c>
      <c r="O4" s="372">
        <v>14</v>
      </c>
      <c r="P4" s="372">
        <v>14</v>
      </c>
      <c r="Q4" s="372">
        <v>14</v>
      </c>
      <c r="R4" s="372">
        <v>19</v>
      </c>
      <c r="S4" s="372">
        <v>4</v>
      </c>
      <c r="T4" s="372">
        <v>6</v>
      </c>
      <c r="U4" s="372">
        <v>5</v>
      </c>
      <c r="V4" s="372">
        <v>8</v>
      </c>
      <c r="W4" s="372">
        <v>21</v>
      </c>
      <c r="X4" s="372">
        <v>18</v>
      </c>
      <c r="Y4" s="372"/>
      <c r="Z4" s="372">
        <v>15</v>
      </c>
      <c r="AA4" s="372">
        <v>13</v>
      </c>
      <c r="AB4" s="372">
        <v>6</v>
      </c>
      <c r="AC4" s="372">
        <v>6</v>
      </c>
      <c r="AD4" s="372">
        <v>3</v>
      </c>
      <c r="AE4" s="372">
        <v>84</v>
      </c>
      <c r="AF4" s="372">
        <v>14</v>
      </c>
      <c r="AG4" s="372">
        <v>29</v>
      </c>
      <c r="AH4" s="373">
        <v>3</v>
      </c>
      <c r="AI4" s="372"/>
      <c r="AK4" s="441"/>
      <c r="AL4" s="442" t="s">
        <v>356</v>
      </c>
      <c r="AM4" s="443" t="s">
        <v>357</v>
      </c>
      <c r="AN4" s="443" t="s">
        <v>358</v>
      </c>
      <c r="AO4" s="443" t="s">
        <v>359</v>
      </c>
      <c r="AP4" s="443" t="s">
        <v>360</v>
      </c>
      <c r="AQ4" s="443" t="s">
        <v>361</v>
      </c>
      <c r="AR4" s="443" t="s">
        <v>362</v>
      </c>
      <c r="AS4" s="444" t="s">
        <v>363</v>
      </c>
      <c r="AT4" s="444" t="s">
        <v>378</v>
      </c>
    </row>
    <row r="5" spans="1:58" ht="18.75" customHeight="1" x14ac:dyDescent="0.2">
      <c r="A5" s="620"/>
      <c r="B5" s="627">
        <f t="shared" ref="B5:J5" si="1">IFERROR(B4/B$16,"-")</f>
        <v>2.7874564459930314E-2</v>
      </c>
      <c r="C5" s="627">
        <f t="shared" si="1"/>
        <v>2.7182866556836903E-2</v>
      </c>
      <c r="D5" s="627">
        <f t="shared" si="1"/>
        <v>1.8459069020866775E-2</v>
      </c>
      <c r="E5" s="627">
        <f t="shared" si="1"/>
        <v>3.7107516650808754E-2</v>
      </c>
      <c r="F5" s="627">
        <f t="shared" si="1"/>
        <v>2.6515151515151516E-2</v>
      </c>
      <c r="G5" s="627">
        <f t="shared" si="1"/>
        <v>5.0284948038887027E-3</v>
      </c>
      <c r="H5" s="627">
        <f t="shared" si="1"/>
        <v>2.9818956336528223E-2</v>
      </c>
      <c r="I5" s="627">
        <f t="shared" si="1"/>
        <v>1.0144927536231883E-2</v>
      </c>
      <c r="J5" s="627">
        <f t="shared" si="1"/>
        <v>2.8776978417266189E-2</v>
      </c>
      <c r="K5" s="627">
        <f>IFERROR(K4/K$16,"-")</f>
        <v>2.1417862497322766E-2</v>
      </c>
      <c r="M5" s="375">
        <v>2</v>
      </c>
      <c r="N5" s="374">
        <v>26</v>
      </c>
      <c r="O5" s="374">
        <v>41</v>
      </c>
      <c r="P5" s="374">
        <v>35</v>
      </c>
      <c r="Q5" s="374">
        <v>39</v>
      </c>
      <c r="R5" s="374">
        <v>49</v>
      </c>
      <c r="S5" s="374">
        <v>34</v>
      </c>
      <c r="T5" s="374">
        <v>27</v>
      </c>
      <c r="U5" s="374">
        <v>26</v>
      </c>
      <c r="V5" s="374">
        <v>27</v>
      </c>
      <c r="W5" s="374">
        <v>83</v>
      </c>
      <c r="X5" s="374">
        <v>62</v>
      </c>
      <c r="Y5" s="374">
        <v>16</v>
      </c>
      <c r="Z5" s="374">
        <v>53</v>
      </c>
      <c r="AA5" s="374">
        <v>51</v>
      </c>
      <c r="AB5" s="374">
        <v>73</v>
      </c>
      <c r="AC5" s="374">
        <v>116</v>
      </c>
      <c r="AD5" s="374">
        <v>44</v>
      </c>
      <c r="AE5" s="374">
        <v>335</v>
      </c>
      <c r="AF5" s="374">
        <v>130</v>
      </c>
      <c r="AG5" s="374">
        <v>92</v>
      </c>
      <c r="AH5" s="375">
        <v>2</v>
      </c>
      <c r="AI5" s="374"/>
      <c r="AK5" s="445">
        <v>1</v>
      </c>
      <c r="AL5" s="449">
        <f>IFERROR(INDEX(状態像区分入院時住所地[#All],MATCH(1,状態像区分入院時住所地[[#All],[行ラベル]],0),MATCH($AJ$2,状態像区分入院時住所地[#Headers],0)),0)+IFERROR(INDEX(状態像区分入院時住所地[#All],MATCH(1,状態像区分入院時住所地[[#All],[行ラベル]],0),MATCH($AK$2,状態像区分入院時住所地[#Headers],0)),0)+IFERROR(INDEX(状態像区分入院時住所地[#All],MATCH(1,状態像区分入院時住所地[[#All],[行ラベル]],0),MATCH($AL$2,状態像区分入院時住所地[#Headers],0)),0)</f>
        <v>32</v>
      </c>
      <c r="AM5" s="447">
        <f>IFERROR(INDEX(状態像区分入院時住所地[#All],MATCH(1,状態像区分入院時住所地[[#All],[行ラベル]],0),MATCH($AM$2,状態像区分入院時住所地[#Headers],0)),0)+IFERROR(INDEX(状態像区分入院時住所地[#All],MATCH(1,状態像区分入院時住所地[[#All],[行ラベル]],0),MATCH($AN$2,状態像区分入院時住所地[#Headers],0)),0)</f>
        <v>33</v>
      </c>
      <c r="AN5" s="447">
        <f>IFERROR(INDEX(状態像区分入院時住所地[#All],MATCH(1,状態像区分入院時住所地[[#All],[行ラベル]],0),MATCH($AO$2,状態像区分入院時住所地[#Headers],0)),0)+IFERROR(INDEX(状態像区分入院時住所地[#All],MATCH(1,状態像区分入院時住所地[[#All],[行ラベル]],0),MATCH($AP$2,状態像区分入院時住所地[#Headers],0)),0)+IFERROR(INDEX(状態像区分入院時住所地[#All],MATCH(1,状態像区分入院時住所地[[#All],[行ラベル]],0),MATCH($AQ$2,状態像区分入院時住所地[#Headers],0)),0)+IFERROR(INDEX(状態像区分入院時住所地[#All],MATCH(1,状態像区分入院時住所地[[#All],[行ラベル]],0),MATCH($AR$2,状態像区分入院時住所地[#Headers],0)),0)</f>
        <v>23</v>
      </c>
      <c r="AO5" s="447">
        <f>IFERROR(INDEX(状態像区分入院時住所地[#All],MATCH(1,状態像区分入院時住所地[[#All],[行ラベル]],0),MATCH($AS$2,状態像区分入院時住所地[#Headers],0)),0)+IFERROR(INDEX(状態像区分入院時住所地[#All],MATCH(1,状態像区分入院時住所地[[#All],[行ラベル]],0),MATCH($AT$2,状態像区分入院時住所地[#Headers],0)),0)+IFERROR(INDEX(状態像区分入院時住所地[#All],MATCH(1,状態像区分入院時住所地[[#All],[行ラベル]],0),MATCH($AU$2,状態像区分入院時住所地[#Headers],0)),0)</f>
        <v>39</v>
      </c>
      <c r="AP5" s="447">
        <f>IFERROR(INDEX(状態像区分入院時住所地[#All],MATCH(1,状態像区分入院時住所地[[#All],[行ラベル]],0),MATCH($AV$2,状態像区分入院時住所地[#Headers],0)),0)+IFERROR(INDEX(状態像区分入院時住所地[#All],MATCH(1,状態像区分入院時住所地[[#All],[行ラベル]],0),MATCH($AW$2,状態像区分入院時住所地[#Headers],0)),0)</f>
        <v>28</v>
      </c>
      <c r="AQ5" s="447">
        <f>IFERROR(INDEX(状態像区分入院時住所地[#All],MATCH(1,状態像区分入院時住所地[[#All],[行ラベル]],0),MATCH($AX$2,状態像区分入院時住所地[#Headers],0)),0)+IFERROR(INDEX(状態像区分入院時住所地[#All],MATCH(1,状態像区分入院時住所地[[#All],[行ラベル]],0),MATCH($AY$2,状態像区分入院時住所地[#Headers],0)),0)+IFERROR(INDEX(状態像区分入院時住所地[#All],MATCH(1,状態像区分入院時住所地[[#All],[行ラベル]],0),MATCH($AZ$2,状態像区分入院時住所地[#Headers],0)),0)</f>
        <v>15</v>
      </c>
      <c r="AR5" s="447">
        <f>IFERROR(INDEX(状態像区分入院時住所地[#All],MATCH(1,状態像区分入院時住所地[[#All],[行ラベル]],0),MATCH($BA$2,状態像区分入院時住所地[#Headers],0)),0)</f>
        <v>84</v>
      </c>
      <c r="AS5" s="447">
        <f>IFERROR(INDEX(状態像区分入院時住所地[#All],MATCH(1,状態像区分入院時住所地[[#All],[行ラベル]],0),MATCH($BB$2,状態像区分入院時住所地[#Headers],0)),0)</f>
        <v>14</v>
      </c>
      <c r="AT5" s="447">
        <f>IFERROR(INDEX(状態像区分入院時住所地[#All],MATCH(1,状態像区分入院時住所地[[#All],[行ラベル]],0),MATCH($BC$2,状態像区分入院時住所地[#Headers],0)),0)+IFERROR(INDEX(状態像区分入院時住所地[#All],MATCH(1,状態像区分入院時住所地[[#All],[行ラベル]],0),MATCH($BD$2,状態像区分入院時住所地[#Headers],0)),0)</f>
        <v>32</v>
      </c>
    </row>
    <row r="6" spans="1:58" ht="18.75" customHeight="1" x14ac:dyDescent="0.2">
      <c r="A6" s="619" t="s">
        <v>29</v>
      </c>
      <c r="B6" s="624">
        <f>AL6</f>
        <v>102</v>
      </c>
      <c r="C6" s="624">
        <f t="shared" ref="C6:J6" si="2">AM6</f>
        <v>88</v>
      </c>
      <c r="D6" s="624">
        <f t="shared" si="2"/>
        <v>114</v>
      </c>
      <c r="E6" s="624">
        <f t="shared" si="2"/>
        <v>161</v>
      </c>
      <c r="F6" s="624">
        <f t="shared" si="2"/>
        <v>104</v>
      </c>
      <c r="G6" s="624">
        <f t="shared" si="2"/>
        <v>233</v>
      </c>
      <c r="H6" s="624">
        <f t="shared" si="2"/>
        <v>335</v>
      </c>
      <c r="I6" s="624">
        <f t="shared" si="2"/>
        <v>130</v>
      </c>
      <c r="J6" s="624">
        <f t="shared" si="2"/>
        <v>94</v>
      </c>
      <c r="K6" s="625">
        <f>SUM(B6:J6)</f>
        <v>1361</v>
      </c>
      <c r="M6" s="373">
        <v>3</v>
      </c>
      <c r="N6" s="372">
        <v>58</v>
      </c>
      <c r="O6" s="372">
        <v>82</v>
      </c>
      <c r="P6" s="372">
        <v>59</v>
      </c>
      <c r="Q6" s="372">
        <v>102</v>
      </c>
      <c r="R6" s="372">
        <v>105</v>
      </c>
      <c r="S6" s="372">
        <v>61</v>
      </c>
      <c r="T6" s="372">
        <v>60</v>
      </c>
      <c r="U6" s="372">
        <v>42</v>
      </c>
      <c r="V6" s="372">
        <v>51</v>
      </c>
      <c r="W6" s="372">
        <v>188</v>
      </c>
      <c r="X6" s="372">
        <v>74</v>
      </c>
      <c r="Y6" s="372">
        <v>20</v>
      </c>
      <c r="Z6" s="372">
        <v>98</v>
      </c>
      <c r="AA6" s="372">
        <v>124</v>
      </c>
      <c r="AB6" s="372">
        <v>173</v>
      </c>
      <c r="AC6" s="372">
        <v>206</v>
      </c>
      <c r="AD6" s="372">
        <v>185</v>
      </c>
      <c r="AE6" s="372">
        <v>617</v>
      </c>
      <c r="AF6" s="372">
        <v>319</v>
      </c>
      <c r="AG6" s="372">
        <v>177</v>
      </c>
      <c r="AH6" s="373">
        <v>14</v>
      </c>
      <c r="AI6" s="372"/>
      <c r="AK6" s="448">
        <v>2</v>
      </c>
      <c r="AL6" s="449">
        <f>IFERROR(INDEX(状態像区分入院時住所地[#All],MATCH(2,状態像区分入院時住所地[[#All],[行ラベル]],0),MATCH($AJ$2,状態像区分入院時住所地[#Headers],0)),0)+IFERROR(INDEX(状態像区分入院時住所地[#All],MATCH(2,状態像区分入院時住所地[[#All],[行ラベル]],0),MATCH($AK$2,状態像区分入院時住所地[#Headers],0)),0)+IFERROR(INDEX(状態像区分入院時住所地[#All],MATCH(2,状態像区分入院時住所地[[#All],[行ラベル]],0),MATCH($AL$2,状態像区分入院時住所地[#Headers],0)),0)</f>
        <v>102</v>
      </c>
      <c r="AM6" s="450">
        <f>IFERROR(INDEX(状態像区分入院時住所地[#All],MATCH(2,状態像区分入院時住所地[[#All],[行ラベル]],0),MATCH($AM$2,状態像区分入院時住所地[#Headers],0)),0)+IFERROR(INDEX(状態像区分入院時住所地[#All],MATCH(2,状態像区分入院時住所地[[#All],[行ラベル]],0),MATCH($AN$2,状態像区分入院時住所地[#Headers],0)),0)</f>
        <v>88</v>
      </c>
      <c r="AN6" s="450">
        <f>IFERROR(INDEX(状態像区分入院時住所地[#All],MATCH(2,状態像区分入院時住所地[[#All],[行ラベル]],0),MATCH($AO$2,状態像区分入院時住所地[#Headers],0)),0)+IFERROR(INDEX(状態像区分入院時住所地[#All],MATCH(2,状態像区分入院時住所地[[#All],[行ラベル]],0),MATCH($AP$2,状態像区分入院時住所地[#Headers],0)),0)+IFERROR(INDEX(状態像区分入院時住所地[#All],MATCH(2,状態像区分入院時住所地[[#All],[行ラベル]],0),MATCH($AQ$2,状態像区分入院時住所地[#Headers],0)),0)+IFERROR(INDEX(状態像区分入院時住所地[#All],MATCH(2,状態像区分入院時住所地[[#All],[行ラベル]],0),MATCH($AR$2,状態像区分入院時住所地[#Headers],0)),0)</f>
        <v>114</v>
      </c>
      <c r="AO6" s="450">
        <f>IFERROR(INDEX(状態像区分入院時住所地[#All],MATCH(2,状態像区分入院時住所地[[#All],[行ラベル]],0),MATCH($AS$2,状態像区分入院時住所地[#Headers],0)),0)+IFERROR(INDEX(状態像区分入院時住所地[#All],MATCH(2,状態像区分入院時住所地[[#All],[行ラベル]],0),MATCH($AT$2,状態像区分入院時住所地[#Headers],0)),0)+IFERROR(INDEX(状態像区分入院時住所地[#All],MATCH(2,状態像区分入院時住所地[[#All],[行ラベル]],0),MATCH($AU$2,状態像区分入院時住所地[#Headers],0)),0)</f>
        <v>161</v>
      </c>
      <c r="AP6" s="450">
        <f>IFERROR(INDEX(状態像区分入院時住所地[#All],MATCH(2,状態像区分入院時住所地[[#All],[行ラベル]],0),MATCH($AV$2,状態像区分入院時住所地[#Headers],0)),0)+IFERROR(INDEX(状態像区分入院時住所地[#All],MATCH(2,状態像区分入院時住所地[[#All],[行ラベル]],0),MATCH($AW$2,状態像区分入院時住所地[#Headers],0)),0)</f>
        <v>104</v>
      </c>
      <c r="AQ6" s="450">
        <f>IFERROR(INDEX(状態像区分入院時住所地[#All],MATCH(2,状態像区分入院時住所地[[#All],[行ラベル]],0),MATCH($AX$2,状態像区分入院時住所地[#Headers],0)),0)+IFERROR(INDEX(状態像区分入院時住所地[#All],MATCH(2,状態像区分入院時住所地[[#All],[行ラベル]],0),MATCH($AY$2,状態像区分入院時住所地[#Headers],0)),0)+IFERROR(INDEX(状態像区分入院時住所地[#All],MATCH(2,状態像区分入院時住所地[[#All],[行ラベル]],0),MATCH($AZ$2,状態像区分入院時住所地[#Headers],0)),0)</f>
        <v>233</v>
      </c>
      <c r="AR6" s="450">
        <f>IFERROR(INDEX(状態像区分入院時住所地[#All],MATCH(2,状態像区分入院時住所地[[#All],[行ラベル]],0),MATCH($BA$2,状態像区分入院時住所地[#Headers],0)),0)</f>
        <v>335</v>
      </c>
      <c r="AS6" s="450">
        <f>IFERROR(INDEX(状態像区分入院時住所地[#All],MATCH(2,状態像区分入院時住所地[[#All],[行ラベル]],0),MATCH($BB$2,状態像区分入院時住所地[#Headers],0)),0)</f>
        <v>130</v>
      </c>
      <c r="AT6" s="447">
        <f>IFERROR(INDEX(状態像区分入院時住所地[#All],MATCH(2,状態像区分入院時住所地[[#All],[行ラベル]],0),MATCH($BC$2,状態像区分入院時住所地[#Headers],0)),0)+IFERROR(INDEX(状態像区分入院時住所地[#All],MATCH(2,状態像区分入院時住所地[[#All],[行ラベル]],0),MATCH($BD$2,状態像区分入院時住所地[#Headers],0)),0)</f>
        <v>94</v>
      </c>
    </row>
    <row r="7" spans="1:58" ht="18.75" customHeight="1" x14ac:dyDescent="0.2">
      <c r="A7" s="620"/>
      <c r="B7" s="627">
        <f t="shared" ref="B7:J7" si="3">IFERROR(B6/B$16,"-")</f>
        <v>8.885017421602788E-2</v>
      </c>
      <c r="C7" s="627">
        <f t="shared" si="3"/>
        <v>7.248764415156507E-2</v>
      </c>
      <c r="D7" s="627">
        <f t="shared" si="3"/>
        <v>9.1492776886035312E-2</v>
      </c>
      <c r="E7" s="627">
        <f t="shared" si="3"/>
        <v>0.15318744053282587</v>
      </c>
      <c r="F7" s="627">
        <f t="shared" si="3"/>
        <v>9.8484848484848481E-2</v>
      </c>
      <c r="G7" s="627">
        <f t="shared" si="3"/>
        <v>7.8109285953737853E-2</v>
      </c>
      <c r="H7" s="627">
        <f t="shared" si="3"/>
        <v>0.11892083777067802</v>
      </c>
      <c r="I7" s="627">
        <f t="shared" si="3"/>
        <v>9.420289855072464E-2</v>
      </c>
      <c r="J7" s="627">
        <f t="shared" si="3"/>
        <v>8.4532374100719426E-2</v>
      </c>
      <c r="K7" s="627">
        <f>IFERROR(K6/K$16,"-")</f>
        <v>9.7165702862854281E-2</v>
      </c>
      <c r="M7" s="375">
        <v>4</v>
      </c>
      <c r="N7" s="374">
        <v>141</v>
      </c>
      <c r="O7" s="374">
        <v>188</v>
      </c>
      <c r="P7" s="374">
        <v>158</v>
      </c>
      <c r="Q7" s="374">
        <v>268</v>
      </c>
      <c r="R7" s="374">
        <v>195</v>
      </c>
      <c r="S7" s="374">
        <v>205</v>
      </c>
      <c r="T7" s="374">
        <v>93</v>
      </c>
      <c r="U7" s="374">
        <v>113</v>
      </c>
      <c r="V7" s="374">
        <v>100</v>
      </c>
      <c r="W7" s="374">
        <v>263</v>
      </c>
      <c r="X7" s="374">
        <v>92</v>
      </c>
      <c r="Y7" s="374">
        <v>33</v>
      </c>
      <c r="Z7" s="374">
        <v>172</v>
      </c>
      <c r="AA7" s="374">
        <v>226</v>
      </c>
      <c r="AB7" s="374">
        <v>363</v>
      </c>
      <c r="AC7" s="374">
        <v>515</v>
      </c>
      <c r="AD7" s="374">
        <v>424</v>
      </c>
      <c r="AE7" s="374">
        <v>1061</v>
      </c>
      <c r="AF7" s="374">
        <v>566</v>
      </c>
      <c r="AG7" s="374">
        <v>437</v>
      </c>
      <c r="AH7" s="375">
        <v>26</v>
      </c>
      <c r="AI7" s="374"/>
      <c r="AK7" s="448">
        <v>3</v>
      </c>
      <c r="AL7" s="449">
        <f>IFERROR(INDEX(状態像区分入院時住所地[#All],MATCH(3,状態像区分入院時住所地[[#All],[行ラベル]],0),MATCH($AJ$2,状態像区分入院時住所地[#Headers],0)),0)+IFERROR(INDEX(状態像区分入院時住所地[#All],MATCH(3,状態像区分入院時住所地[[#All],[行ラベル]],0),MATCH($AK$2,状態像区分入院時住所地[#Headers],0)),0)+IFERROR(INDEX(状態像区分入院時住所地[#All],MATCH(3,状態像区分入院時住所地[[#All],[行ラベル]],0),MATCH($AL$2,状態像区分入院時住所地[#Headers],0)),0)</f>
        <v>199</v>
      </c>
      <c r="AM7" s="450">
        <f>IFERROR(INDEX(状態像区分入院時住所地[#All],MATCH(3,状態像区分入院時住所地[[#All],[行ラベル]],0),MATCH($AM$2,状態像区分入院時住所地[#Headers],0)),0)+IFERROR(INDEX(状態像区分入院時住所地[#All],MATCH(3,状態像区分入院時住所地[[#All],[行ラベル]],0),MATCH($AN$2,状態像区分入院時住所地[#Headers],0)),0)</f>
        <v>207</v>
      </c>
      <c r="AN7" s="450">
        <f>IFERROR(INDEX(状態像区分入院時住所地[#All],MATCH(3,状態像区分入院時住所地[[#All],[行ラベル]],0),MATCH($AO$2,状態像区分入院時住所地[#Headers],0)),0)+IFERROR(INDEX(状態像区分入院時住所地[#All],MATCH(3,状態像区分入院時住所地[[#All],[行ラベル]],0),MATCH($AP$2,状態像区分入院時住所地[#Headers],0)),0)+IFERROR(INDEX(状態像区分入院時住所地[#All],MATCH(3,状態像区分入院時住所地[[#All],[行ラベル]],0),MATCH($AQ$2,状態像区分入院時住所地[#Headers],0)),0)+IFERROR(INDEX(状態像区分入院時住所地[#All],MATCH(3,状態像区分入院時住所地[[#All],[行ラベル]],0),MATCH($AR$2,状態像区分入院時住所地[#Headers],0)),0)</f>
        <v>214</v>
      </c>
      <c r="AO7" s="450">
        <f>IFERROR(INDEX(状態像区分入院時住所地[#All],MATCH(3,状態像区分入院時住所地[[#All],[行ラベル]],0),MATCH($AS$2,状態像区分入院時住所地[#Headers],0)),0)+IFERROR(INDEX(状態像区分入院時住所地[#All],MATCH(3,状態像区分入院時住所地[[#All],[行ラベル]],0),MATCH($AT$2,状態像区分入院時住所地[#Headers],0)),0)+IFERROR(INDEX(状態像区分入院時住所地[#All],MATCH(3,状態像区分入院時住所地[[#All],[行ラベル]],0),MATCH($AU$2,状態像区分入院時住所地[#Headers],0)),0)</f>
        <v>282</v>
      </c>
      <c r="AP7" s="450">
        <f>IFERROR(INDEX(状態像区分入院時住所地[#All],MATCH(3,状態像区分入院時住所地[[#All],[行ラベル]],0),MATCH($AV$2,状態像区分入院時住所地[#Headers],0)),0)+IFERROR(INDEX(状態像区分入院時住所地[#All],MATCH(3,状態像区分入院時住所地[[#All],[行ラベル]],0),MATCH($AW$2,状態像区分入院時住所地[#Headers],0)),0)</f>
        <v>222</v>
      </c>
      <c r="AQ7" s="450">
        <f>IFERROR(INDEX(状態像区分入院時住所地[#All],MATCH(3,状態像区分入院時住所地[[#All],[行ラベル]],0),MATCH($AX$2,状態像区分入院時住所地[#Headers],0)),0)+IFERROR(INDEX(状態像区分入院時住所地[#All],MATCH(3,状態像区分入院時住所地[[#All],[行ラベル]],0),MATCH($AY$2,状態像区分入院時住所地[#Headers],0)),0)+IFERROR(INDEX(状態像区分入院時住所地[#All],MATCH(3,状態像区分入院時住所地[[#All],[行ラベル]],0),MATCH($AZ$2,状態像区分入院時住所地[#Headers],0)),0)</f>
        <v>564</v>
      </c>
      <c r="AR7" s="450">
        <f>IFERROR(INDEX(状態像区分入院時住所地[#All],MATCH(3,状態像区分入院時住所地[[#All],[行ラベル]],0),MATCH($BA$2,状態像区分入院時住所地[#Headers],0)),0)</f>
        <v>617</v>
      </c>
      <c r="AS7" s="450">
        <f>IFERROR(INDEX(状態像区分入院時住所地[#All],MATCH(3,状態像区分入院時住所地[[#All],[行ラベル]],0),MATCH($BB$2,状態像区分入院時住所地[#Headers],0)),0)</f>
        <v>319</v>
      </c>
      <c r="AT7" s="447">
        <f>IFERROR(INDEX(状態像区分入院時住所地[#All],MATCH(3,状態像区分入院時住所地[[#All],[行ラベル]],0),MATCH($BC$2,状態像区分入院時住所地[#Headers],0)),0)+IFERROR(INDEX(状態像区分入院時住所地[#All],MATCH(3,状態像区分入院時住所地[[#All],[行ラベル]],0),MATCH($BD$2,状態像区分入院時住所地[#Headers],0)),0)</f>
        <v>191</v>
      </c>
    </row>
    <row r="8" spans="1:58" ht="18.75" customHeight="1" x14ac:dyDescent="0.2">
      <c r="A8" s="619" t="s">
        <v>30</v>
      </c>
      <c r="B8" s="624">
        <f>AL7</f>
        <v>199</v>
      </c>
      <c r="C8" s="624">
        <f t="shared" ref="C8:J8" si="4">AM7</f>
        <v>207</v>
      </c>
      <c r="D8" s="624">
        <f t="shared" si="4"/>
        <v>214</v>
      </c>
      <c r="E8" s="624">
        <f t="shared" si="4"/>
        <v>282</v>
      </c>
      <c r="F8" s="624">
        <f t="shared" si="4"/>
        <v>222</v>
      </c>
      <c r="G8" s="624">
        <f t="shared" si="4"/>
        <v>564</v>
      </c>
      <c r="H8" s="624">
        <f t="shared" si="4"/>
        <v>617</v>
      </c>
      <c r="I8" s="624">
        <f t="shared" si="4"/>
        <v>319</v>
      </c>
      <c r="J8" s="624">
        <f t="shared" si="4"/>
        <v>191</v>
      </c>
      <c r="K8" s="625">
        <f>SUM(B8:J8)</f>
        <v>2815</v>
      </c>
      <c r="M8" s="373">
        <v>5</v>
      </c>
      <c r="N8" s="372">
        <v>85</v>
      </c>
      <c r="O8" s="372">
        <v>111</v>
      </c>
      <c r="P8" s="372">
        <v>91</v>
      </c>
      <c r="Q8" s="372">
        <v>192</v>
      </c>
      <c r="R8" s="372">
        <v>142</v>
      </c>
      <c r="S8" s="372">
        <v>110</v>
      </c>
      <c r="T8" s="372">
        <v>63</v>
      </c>
      <c r="U8" s="372">
        <v>85</v>
      </c>
      <c r="V8" s="372">
        <v>57</v>
      </c>
      <c r="W8" s="372">
        <v>90</v>
      </c>
      <c r="X8" s="372">
        <v>52</v>
      </c>
      <c r="Y8" s="372">
        <v>8</v>
      </c>
      <c r="Z8" s="372">
        <v>117</v>
      </c>
      <c r="AA8" s="372">
        <v>134</v>
      </c>
      <c r="AB8" s="372">
        <v>229</v>
      </c>
      <c r="AC8" s="372">
        <v>360</v>
      </c>
      <c r="AD8" s="372">
        <v>210</v>
      </c>
      <c r="AE8" s="372">
        <v>608</v>
      </c>
      <c r="AF8" s="372">
        <v>327</v>
      </c>
      <c r="AG8" s="372">
        <v>267</v>
      </c>
      <c r="AH8" s="373">
        <v>9</v>
      </c>
      <c r="AI8" s="372"/>
      <c r="AK8" s="448">
        <v>4</v>
      </c>
      <c r="AL8" s="449">
        <f>IFERROR(INDEX(状態像区分入院時住所地[#All],MATCH(4,状態像区分入院時住所地[[#All],[行ラベル]],0),MATCH($AJ$2,状態像区分入院時住所地[#Headers],0)),0)+IFERROR(INDEX(状態像区分入院時住所地[#All],MATCH(4,状態像区分入院時住所地[[#All],[行ラベル]],0),MATCH($AK$2,状態像区分入院時住所地[#Headers],0)),0)+IFERROR(INDEX(状態像区分入院時住所地[#All],MATCH(4,状態像区分入院時住所地[[#All],[行ラベル]],0),MATCH($AL$2,状態像区分入院時住所地[#Headers],0)),0)</f>
        <v>487</v>
      </c>
      <c r="AM8" s="450">
        <f>IFERROR(INDEX(状態像区分入院時住所地[#All],MATCH(4,状態像区分入院時住所地[[#All],[行ラベル]],0),MATCH($AM$2,状態像区分入院時住所地[#Headers],0)),0)+IFERROR(INDEX(状態像区分入院時住所地[#All],MATCH(4,状態像区分入院時住所地[[#All],[行ラベル]],0),MATCH($AN$2,状態像区分入院時住所地[#Headers],0)),0)</f>
        <v>463</v>
      </c>
      <c r="AN8" s="450">
        <f>IFERROR(INDEX(状態像区分入院時住所地[#All],MATCH(4,状態像区分入院時住所地[[#All],[行ラベル]],0),MATCH($AO$2,状態像区分入院時住所地[#Headers],0)),0)+IFERROR(INDEX(状態像区分入院時住所地[#All],MATCH(4,状態像区分入院時住所地[[#All],[行ラベル]],0),MATCH($AP$2,状態像区分入院時住所地[#Headers],0)),0)+IFERROR(INDEX(状態像区分入院時住所地[#All],MATCH(4,状態像区分入院時住所地[[#All],[行ラベル]],0),MATCH($AQ$2,状態像区分入院時住所地[#Headers],0)),0)+IFERROR(INDEX(状態像区分入院時住所地[#All],MATCH(4,状態像区分入院時住所地[[#All],[行ラベル]],0),MATCH($AR$2,状態像区分入院時住所地[#Headers],0)),0)</f>
        <v>511</v>
      </c>
      <c r="AO8" s="450">
        <f>IFERROR(INDEX(状態像区分入院時住所地[#All],MATCH(4,状態像区分入院時住所地[[#All],[行ラベル]],0),MATCH($AS$2,状態像区分入院時住所地[#Headers],0)),0)+IFERROR(INDEX(状態像区分入院時住所地[#All],MATCH(4,状態像区分入院時住所地[[#All],[行ラベル]],0),MATCH($AT$2,状態像区分入院時住所地[#Headers],0)),0)+IFERROR(INDEX(状態像区分入院時住所地[#All],MATCH(4,状態像区分入院時住所地[[#All],[行ラベル]],0),MATCH($AU$2,状態像区分入院時住所地[#Headers],0)),0)</f>
        <v>388</v>
      </c>
      <c r="AP8" s="450">
        <f>IFERROR(INDEX(状態像区分入院時住所地[#All],MATCH(4,状態像区分入院時住所地[[#All],[行ラベル]],0),MATCH($AV$2,状態像区分入院時住所地[#Headers],0)),0)+IFERROR(INDEX(状態像区分入院時住所地[#All],MATCH(4,状態像区分入院時住所地[[#All],[行ラベル]],0),MATCH($AW$2,状態像区分入院時住所地[#Headers],0)),0)</f>
        <v>398</v>
      </c>
      <c r="AQ8" s="450">
        <f>IFERROR(INDEX(状態像区分入院時住所地[#All],MATCH(4,状態像区分入院時住所地[[#All],[行ラベル]],0),MATCH($AX$2,状態像区分入院時住所地[#Headers],0)),0)+IFERROR(INDEX(状態像区分入院時住所地[#All],MATCH(4,状態像区分入院時住所地[[#All],[行ラベル]],0),MATCH($AY$2,状態像区分入院時住所地[#Headers],0)),0)+IFERROR(INDEX(状態像区分入院時住所地[#All],MATCH(4,状態像区分入院時住所地[[#All],[行ラベル]],0),MATCH($AZ$2,状態像区分入院時住所地[#Headers],0)),0)</f>
        <v>1302</v>
      </c>
      <c r="AR8" s="450">
        <f>IFERROR(INDEX(状態像区分入院時住所地[#All],MATCH(4,状態像区分入院時住所地[[#All],[行ラベル]],0),MATCH($BA$2,状態像区分入院時住所地[#Headers],0)),0)</f>
        <v>1061</v>
      </c>
      <c r="AS8" s="450">
        <f>IFERROR(INDEX(状態像区分入院時住所地[#All],MATCH(4,状態像区分入院時住所地[[#All],[行ラベル]],0),MATCH($BB$2,状態像区分入院時住所地[#Headers],0)),0)</f>
        <v>566</v>
      </c>
      <c r="AT8" s="447">
        <f>IFERROR(INDEX(状態像区分入院時住所地[#All],MATCH(4,状態像区分入院時住所地[[#All],[行ラベル]],0),MATCH($BC$2,状態像区分入院時住所地[#Headers],0)),0)+IFERROR(INDEX(状態像区分入院時住所地[#All],MATCH(4,状態像区分入院時住所地[[#All],[行ラベル]],0),MATCH($BD$2,状態像区分入院時住所地[#Headers],0)),0)</f>
        <v>463</v>
      </c>
    </row>
    <row r="9" spans="1:58" ht="18.75" customHeight="1" x14ac:dyDescent="0.2">
      <c r="A9" s="620"/>
      <c r="B9" s="627">
        <f t="shared" ref="B9:J9" si="5">IFERROR(B8/B$16,"-")</f>
        <v>0.17334494773519163</v>
      </c>
      <c r="C9" s="627">
        <f t="shared" si="5"/>
        <v>0.17051070840197693</v>
      </c>
      <c r="D9" s="627">
        <f t="shared" si="5"/>
        <v>0.17174959871589085</v>
      </c>
      <c r="E9" s="627">
        <f t="shared" si="5"/>
        <v>0.26831588962892483</v>
      </c>
      <c r="F9" s="627">
        <f t="shared" si="5"/>
        <v>0.21022727272727273</v>
      </c>
      <c r="G9" s="627">
        <f t="shared" si="5"/>
        <v>0.18907140462621522</v>
      </c>
      <c r="H9" s="627">
        <f t="shared" si="5"/>
        <v>0.21902733404330849</v>
      </c>
      <c r="I9" s="627">
        <f t="shared" si="5"/>
        <v>0.23115942028985506</v>
      </c>
      <c r="J9" s="627">
        <f t="shared" si="5"/>
        <v>0.17176258992805754</v>
      </c>
      <c r="K9" s="627">
        <f>IFERROR(K8/K$16,"-")</f>
        <v>0.20097094309987862</v>
      </c>
      <c r="M9" s="375">
        <v>6</v>
      </c>
      <c r="N9" s="374">
        <v>9</v>
      </c>
      <c r="O9" s="374">
        <v>16</v>
      </c>
      <c r="P9" s="374">
        <v>16</v>
      </c>
      <c r="Q9" s="374">
        <v>47</v>
      </c>
      <c r="R9" s="374">
        <v>42</v>
      </c>
      <c r="S9" s="374">
        <v>22</v>
      </c>
      <c r="T9" s="374">
        <v>7</v>
      </c>
      <c r="U9" s="374">
        <v>32</v>
      </c>
      <c r="V9" s="374">
        <v>8</v>
      </c>
      <c r="W9" s="374">
        <v>10</v>
      </c>
      <c r="X9" s="374">
        <v>12</v>
      </c>
      <c r="Y9" s="374">
        <v>9</v>
      </c>
      <c r="Z9" s="374">
        <v>21</v>
      </c>
      <c r="AA9" s="374">
        <v>32</v>
      </c>
      <c r="AB9" s="374">
        <v>23</v>
      </c>
      <c r="AC9" s="374">
        <v>23</v>
      </c>
      <c r="AD9" s="374">
        <v>24</v>
      </c>
      <c r="AE9" s="374">
        <v>112</v>
      </c>
      <c r="AF9" s="374">
        <v>24</v>
      </c>
      <c r="AG9" s="374">
        <v>52</v>
      </c>
      <c r="AH9" s="375">
        <v>4</v>
      </c>
      <c r="AI9" s="374"/>
      <c r="AK9" s="448">
        <v>5</v>
      </c>
      <c r="AL9" s="449">
        <f>IFERROR(INDEX(状態像区分入院時住所地[#All],MATCH(5,状態像区分入院時住所地[[#All],[行ラベル]],0),MATCH($AJ$2,状態像区分入院時住所地[#Headers],0)),0)+IFERROR(INDEX(状態像区分入院時住所地[#All],MATCH(5,状態像区分入院時住所地[[#All],[行ラベル]],0),MATCH($AK$2,状態像区分入院時住所地[#Headers],0)),0)+IFERROR(INDEX(状態像区分入院時住所地[#All],MATCH(5,状態像区分入院時住所地[[#All],[行ラベル]],0),MATCH($AL$2,状態像区分入院時住所地[#Headers],0)),0)</f>
        <v>287</v>
      </c>
      <c r="AM9" s="450">
        <f>IFERROR(INDEX(状態像区分入院時住所地[#All],MATCH(5,状態像区分入院時住所地[[#All],[行ラベル]],0),MATCH($AM$2,状態像区分入院時住所地[#Headers],0)),0)+IFERROR(INDEX(状態像区分入院時住所地[#All],MATCH(5,状態像区分入院時住所地[[#All],[行ラベル]],0),MATCH($AN$2,状態像区分入院時住所地[#Headers],0)),0)</f>
        <v>334</v>
      </c>
      <c r="AN9" s="450">
        <f>IFERROR(INDEX(状態像区分入院時住所地[#All],MATCH(5,状態像区分入院時住所地[[#All],[行ラベル]],0),MATCH($AO$2,状態像区分入院時住所地[#Headers],0)),0)+IFERROR(INDEX(状態像区分入院時住所地[#All],MATCH(5,状態像区分入院時住所地[[#All],[行ラベル]],0),MATCH($AP$2,状態像区分入院時住所地[#Headers],0)),0)+IFERROR(INDEX(状態像区分入院時住所地[#All],MATCH(5,状態像区分入院時住所地[[#All],[行ラベル]],0),MATCH($AQ$2,状態像区分入院時住所地[#Headers],0)),0)+IFERROR(INDEX(状態像区分入院時住所地[#All],MATCH(5,状態像区分入院時住所地[[#All],[行ラベル]],0),MATCH($AR$2,状態像区分入院時住所地[#Headers],0)),0)</f>
        <v>315</v>
      </c>
      <c r="AO9" s="450">
        <f>IFERROR(INDEX(状態像区分入院時住所地[#All],MATCH(5,状態像区分入院時住所地[[#All],[行ラベル]],0),MATCH($AS$2,状態像区分入院時住所地[#Headers],0)),0)+IFERROR(INDEX(状態像区分入院時住所地[#All],MATCH(5,状態像区分入院時住所地[[#All],[行ラベル]],0),MATCH($AT$2,状態像区分入院時住所地[#Headers],0)),0)+IFERROR(INDEX(状態像区分入院時住所地[#All],MATCH(5,状態像区分入院時住所地[[#All],[行ラベル]],0),MATCH($AU$2,状態像区分入院時住所地[#Headers],0)),0)</f>
        <v>150</v>
      </c>
      <c r="AP9" s="450">
        <f>IFERROR(INDEX(状態像区分入院時住所地[#All],MATCH(5,状態像区分入院時住所地[[#All],[行ラベル]],0),MATCH($AV$2,状態像区分入院時住所地[#Headers],0)),0)+IFERROR(INDEX(状態像区分入院時住所地[#All],MATCH(5,状態像区分入院時住所地[[#All],[行ラベル]],0),MATCH($AW$2,状態像区分入院時住所地[#Headers],0)),0)</f>
        <v>251</v>
      </c>
      <c r="AQ9" s="450">
        <f>IFERROR(INDEX(状態像区分入院時住所地[#All],MATCH(5,状態像区分入院時住所地[[#All],[行ラベル]],0),MATCH($AX$2,状態像区分入院時住所地[#Headers],0)),0)+IFERROR(INDEX(状態像区分入院時住所地[#All],MATCH(5,状態像区分入院時住所地[[#All],[行ラベル]],0),MATCH($AY$2,状態像区分入院時住所地[#Headers],0)),0)+IFERROR(INDEX(状態像区分入院時住所地[#All],MATCH(5,状態像区分入院時住所地[[#All],[行ラベル]],0),MATCH($AZ$2,状態像区分入院時住所地[#Headers],0)),0)</f>
        <v>799</v>
      </c>
      <c r="AR9" s="450">
        <f>IFERROR(INDEX(状態像区分入院時住所地[#All],MATCH(5,状態像区分入院時住所地[[#All],[行ラベル]],0),MATCH($BA$2,状態像区分入院時住所地[#Headers],0)),0)</f>
        <v>608</v>
      </c>
      <c r="AS9" s="450">
        <f>IFERROR(INDEX(状態像区分入院時住所地[#All],MATCH(5,状態像区分入院時住所地[[#All],[行ラベル]],0),MATCH($BB$2,状態像区分入院時住所地[#Headers],0)),0)</f>
        <v>327</v>
      </c>
      <c r="AT9" s="447">
        <f>IFERROR(INDEX(状態像区分入院時住所地[#All],MATCH(5,状態像区分入院時住所地[[#All],[行ラベル]],0),MATCH($BC$2,状態像区分入院時住所地[#Headers],0)),0)+IFERROR(INDEX(状態像区分入院時住所地[#All],MATCH(5,状態像区分入院時住所地[[#All],[行ラベル]],0),MATCH($BD$2,状態像区分入院時住所地[#Headers],0)),0)</f>
        <v>276</v>
      </c>
    </row>
    <row r="10" spans="1:58" ht="18.75" customHeight="1" thickBot="1" x14ac:dyDescent="0.25">
      <c r="A10" s="619" t="s">
        <v>31</v>
      </c>
      <c r="B10" s="624">
        <f>AL8</f>
        <v>487</v>
      </c>
      <c r="C10" s="624">
        <f t="shared" ref="C10:J10" si="6">AM8</f>
        <v>463</v>
      </c>
      <c r="D10" s="624">
        <f t="shared" si="6"/>
        <v>511</v>
      </c>
      <c r="E10" s="624">
        <f t="shared" si="6"/>
        <v>388</v>
      </c>
      <c r="F10" s="624">
        <f t="shared" si="6"/>
        <v>398</v>
      </c>
      <c r="G10" s="624">
        <f t="shared" si="6"/>
        <v>1302</v>
      </c>
      <c r="H10" s="624">
        <f t="shared" si="6"/>
        <v>1061</v>
      </c>
      <c r="I10" s="624">
        <f t="shared" si="6"/>
        <v>566</v>
      </c>
      <c r="J10" s="624">
        <f t="shared" si="6"/>
        <v>463</v>
      </c>
      <c r="K10" s="625">
        <f>SUM(B10:J10)</f>
        <v>5639</v>
      </c>
      <c r="M10" s="375" t="s">
        <v>726</v>
      </c>
      <c r="N10" s="374"/>
      <c r="O10" s="374"/>
      <c r="P10" s="374"/>
      <c r="Q10" s="374"/>
      <c r="R10" s="374"/>
      <c r="S10" s="374"/>
      <c r="T10" s="374"/>
      <c r="U10" s="374"/>
      <c r="V10" s="374"/>
      <c r="W10" s="374"/>
      <c r="X10" s="374"/>
      <c r="Y10" s="374"/>
      <c r="Z10" s="374"/>
      <c r="AA10" s="374"/>
      <c r="AB10" s="374"/>
      <c r="AC10" s="374"/>
      <c r="AD10" s="374"/>
      <c r="AE10" s="374"/>
      <c r="AF10" s="374"/>
      <c r="AG10" s="374"/>
      <c r="AH10" s="375"/>
      <c r="AI10" s="374"/>
      <c r="AK10" s="451">
        <v>6</v>
      </c>
      <c r="AL10" s="449">
        <f>IFERROR(INDEX(状態像区分入院時住所地[#All],MATCH(6,状態像区分入院時住所地[[#All],[行ラベル]],0),MATCH($AJ$2,状態像区分入院時住所地[#Headers],0)),0)+IFERROR(INDEX(状態像区分入院時住所地[#All],MATCH(6,状態像区分入院時住所地[[#All],[行ラベル]],0),MATCH($AK$2,状態像区分入院時住所地[#Headers],0)),0)+IFERROR(INDEX(状態像区分入院時住所地[#All],MATCH(6,状態像区分入院時住所地[[#All],[行ラベル]],0),MATCH($AL$2,状態像区分入院時住所地[#Headers],0)),0)</f>
        <v>41</v>
      </c>
      <c r="AM10" s="450">
        <f>IFERROR(INDEX(状態像区分入院時住所地[#All],MATCH(6,状態像区分入院時住所地[[#All],[行ラベル]],0),MATCH($AM$2,状態像区分入院時住所地[#Headers],0)),0)+IFERROR(INDEX(状態像区分入院時住所地[#All],MATCH(6,状態像区分入院時住所地[[#All],[行ラベル]],0),MATCH($AN$2,状態像区分入院時住所地[#Headers],0)),0)</f>
        <v>89</v>
      </c>
      <c r="AN10" s="450">
        <f>IFERROR(INDEX(状態像区分入院時住所地[#All],MATCH(6,状態像区分入院時住所地[[#All],[行ラベル]],0),MATCH($AO$2,状態像区分入院時住所地[#Headers],0)),0)+IFERROR(INDEX(状態像区分入院時住所地[#All],MATCH(6,状態像区分入院時住所地[[#All],[行ラベル]],0),MATCH($AP$2,状態像区分入院時住所地[#Headers],0)),0)+IFERROR(INDEX(状態像区分入院時住所地[#All],MATCH(6,状態像区分入院時住所地[[#All],[行ラベル]],0),MATCH($AQ$2,状態像区分入院時住所地[#Headers],0)),0)+IFERROR(INDEX(状態像区分入院時住所地[#All],MATCH(6,状態像区分入院時住所地[[#All],[行ラベル]],0),MATCH($AR$2,状態像区分入院時住所地[#Headers],0)),0)</f>
        <v>69</v>
      </c>
      <c r="AO10" s="450">
        <f>IFERROR(INDEX(状態像区分入院時住所地[#All],MATCH(6,状態像区分入院時住所地[[#All],[行ラベル]],0),MATCH($AS$2,状態像区分入院時住所地[#Headers],0)),0)+IFERROR(INDEX(状態像区分入院時住所地[#All],MATCH(6,状態像区分入院時住所地[[#All],[行ラベル]],0),MATCH($AT$2,状態像区分入院時住所地[#Headers],0)),0)+IFERROR(INDEX(状態像区分入院時住所地[#All],MATCH(6,状態像区分入院時住所地[[#All],[行ラベル]],0),MATCH($AU$2,状態像区分入院時住所地[#Headers],0)),0)</f>
        <v>31</v>
      </c>
      <c r="AP10" s="450">
        <f>IFERROR(INDEX(状態像区分入院時住所地[#All],MATCH(6,状態像区分入院時住所地[[#All],[行ラベル]],0),MATCH($AV$2,状態像区分入院時住所地[#Headers],0)),0)+IFERROR(INDEX(状態像区分入院時住所地[#All],MATCH(6,状態像区分入院時住所地[[#All],[行ラベル]],0),MATCH($AW$2,状態像区分入院時住所地[#Headers],0)),0)</f>
        <v>53</v>
      </c>
      <c r="AQ10" s="450">
        <f>IFERROR(INDEX(状態像区分入院時住所地[#All],MATCH(6,状態像区分入院時住所地[[#All],[行ラベル]],0),MATCH($AX$2,状態像区分入院時住所地[#Headers],0)),0)+IFERROR(INDEX(状態像区分入院時住所地[#All],MATCH(6,状態像区分入院時住所地[[#All],[行ラベル]],0),MATCH($AY$2,状態像区分入院時住所地[#Headers],0)),0)+IFERROR(INDEX(状態像区分入院時住所地[#All],MATCH(6,状態像区分入院時住所地[[#All],[行ラベル]],0),MATCH($AZ$2,状態像区分入院時住所地[#Headers],0)),0)</f>
        <v>70</v>
      </c>
      <c r="AR10" s="450">
        <f>IFERROR(INDEX(状態像区分入院時住所地[#All],MATCH(6,状態像区分入院時住所地[[#All],[行ラベル]],0),MATCH($BA$2,状態像区分入院時住所地[#Headers],0)),0)</f>
        <v>112</v>
      </c>
      <c r="AS10" s="450">
        <f>IFERROR(INDEX(状態像区分入院時住所地[#All],MATCH(6,状態像区分入院時住所地[[#All],[行ラベル]],0),MATCH($BB$2,状態像区分入院時住所地[#Headers],0)),0)</f>
        <v>24</v>
      </c>
      <c r="AT10" s="447">
        <f>IFERROR(INDEX(状態像区分入院時住所地[#All],MATCH(6,状態像区分入院時住所地[[#All],[行ラベル]],0),MATCH($BC$2,状態像区分入院時住所地[#Headers],0)),0)+IFERROR(INDEX(状態像区分入院時住所地[#All],MATCH(6,状態像区分入院時住所地[[#All],[行ラベル]],0),MATCH($BD$2,状態像区分入院時住所地[#Headers],0)),0)</f>
        <v>56</v>
      </c>
    </row>
    <row r="11" spans="1:58" ht="18.75" customHeight="1" x14ac:dyDescent="0.2">
      <c r="A11" s="620"/>
      <c r="B11" s="627">
        <f t="shared" ref="B11:J11" si="7">IFERROR(B10/B$16,"-")</f>
        <v>0.42421602787456447</v>
      </c>
      <c r="C11" s="627">
        <f t="shared" si="7"/>
        <v>0.38138385502471167</v>
      </c>
      <c r="D11" s="627">
        <f t="shared" si="7"/>
        <v>0.4101123595505618</v>
      </c>
      <c r="E11" s="627">
        <f t="shared" si="7"/>
        <v>0.36917221693625119</v>
      </c>
      <c r="F11" s="627">
        <f t="shared" si="7"/>
        <v>0.37689393939393939</v>
      </c>
      <c r="G11" s="627">
        <f t="shared" si="7"/>
        <v>0.43647334897753937</v>
      </c>
      <c r="H11" s="627">
        <f t="shared" si="7"/>
        <v>0.3766418175363862</v>
      </c>
      <c r="I11" s="627">
        <f t="shared" si="7"/>
        <v>0.41014492753623188</v>
      </c>
      <c r="J11" s="627">
        <f t="shared" si="7"/>
        <v>0.41636690647482016</v>
      </c>
      <c r="K11" s="627">
        <f>IFERROR(K10/K$16,"-")</f>
        <v>0.40258442207467693</v>
      </c>
      <c r="M11" s="375" t="s">
        <v>726</v>
      </c>
      <c r="N11" s="374"/>
      <c r="O11" s="374"/>
      <c r="P11" s="374"/>
      <c r="Q11" s="374"/>
      <c r="R11" s="374"/>
      <c r="S11" s="374"/>
      <c r="T11" s="374"/>
      <c r="U11" s="374"/>
      <c r="V11" s="374"/>
      <c r="W11" s="374"/>
      <c r="X11" s="374"/>
      <c r="Y11" s="374"/>
      <c r="Z11" s="374"/>
      <c r="AA11" s="374"/>
      <c r="AB11" s="374"/>
      <c r="AC11" s="374"/>
      <c r="AD11" s="374"/>
      <c r="AE11" s="374"/>
      <c r="AF11" s="374"/>
      <c r="AG11" s="374"/>
      <c r="AH11" s="375"/>
      <c r="AI11" s="374"/>
      <c r="AL11" s="440"/>
    </row>
    <row r="12" spans="1:58" ht="18.75" customHeight="1" x14ac:dyDescent="0.2">
      <c r="A12" s="619" t="s">
        <v>32</v>
      </c>
      <c r="B12" s="624">
        <f>AL9</f>
        <v>287</v>
      </c>
      <c r="C12" s="624">
        <f t="shared" ref="C12:J12" si="8">AM9</f>
        <v>334</v>
      </c>
      <c r="D12" s="624">
        <f t="shared" si="8"/>
        <v>315</v>
      </c>
      <c r="E12" s="624">
        <f t="shared" si="8"/>
        <v>150</v>
      </c>
      <c r="F12" s="624">
        <f t="shared" si="8"/>
        <v>251</v>
      </c>
      <c r="G12" s="624">
        <f t="shared" si="8"/>
        <v>799</v>
      </c>
      <c r="H12" s="624">
        <f t="shared" si="8"/>
        <v>608</v>
      </c>
      <c r="I12" s="624">
        <f t="shared" si="8"/>
        <v>327</v>
      </c>
      <c r="J12" s="624">
        <f t="shared" si="8"/>
        <v>276</v>
      </c>
      <c r="K12" s="625">
        <f>SUM(B12:J12)</f>
        <v>3347</v>
      </c>
      <c r="AL12" s="440"/>
    </row>
    <row r="13" spans="1:58" ht="18.75" customHeight="1" x14ac:dyDescent="0.2">
      <c r="A13" s="620"/>
      <c r="B13" s="627">
        <f t="shared" ref="B13:J13" si="9">IFERROR(B12/B$16,"-")</f>
        <v>0.25</v>
      </c>
      <c r="C13" s="627">
        <f t="shared" si="9"/>
        <v>0.27512355848434927</v>
      </c>
      <c r="D13" s="627">
        <f t="shared" si="9"/>
        <v>0.25280898876404495</v>
      </c>
      <c r="E13" s="627">
        <f t="shared" si="9"/>
        <v>0.14272121788772599</v>
      </c>
      <c r="F13" s="627">
        <f t="shared" si="9"/>
        <v>0.23768939393939395</v>
      </c>
      <c r="G13" s="627">
        <f t="shared" si="9"/>
        <v>0.26785115655380487</v>
      </c>
      <c r="H13" s="627">
        <f t="shared" si="9"/>
        <v>0.21583244586439473</v>
      </c>
      <c r="I13" s="627">
        <f t="shared" si="9"/>
        <v>0.23695652173913043</v>
      </c>
      <c r="J13" s="627">
        <f t="shared" si="9"/>
        <v>0.24820143884892087</v>
      </c>
      <c r="K13" s="627">
        <f>IFERROR(K12/K$16,"-")</f>
        <v>0.238951952595131</v>
      </c>
      <c r="AL13" s="440"/>
    </row>
    <row r="14" spans="1:58" ht="18.75" customHeight="1" x14ac:dyDescent="0.2">
      <c r="A14" s="619" t="s">
        <v>33</v>
      </c>
      <c r="B14" s="624">
        <f>AL10</f>
        <v>41</v>
      </c>
      <c r="C14" s="624">
        <f t="shared" ref="C14:J14" si="10">AM10</f>
        <v>89</v>
      </c>
      <c r="D14" s="624">
        <f t="shared" si="10"/>
        <v>69</v>
      </c>
      <c r="E14" s="624">
        <f t="shared" si="10"/>
        <v>31</v>
      </c>
      <c r="F14" s="624">
        <f t="shared" si="10"/>
        <v>53</v>
      </c>
      <c r="G14" s="624">
        <f t="shared" si="10"/>
        <v>70</v>
      </c>
      <c r="H14" s="624">
        <f t="shared" si="10"/>
        <v>112</v>
      </c>
      <c r="I14" s="624">
        <f t="shared" si="10"/>
        <v>24</v>
      </c>
      <c r="J14" s="624">
        <f t="shared" si="10"/>
        <v>56</v>
      </c>
      <c r="K14" s="625">
        <f>SUM(B14:J14)</f>
        <v>545</v>
      </c>
      <c r="AL14" s="440"/>
    </row>
    <row r="15" spans="1:58" ht="18.75" customHeight="1" x14ac:dyDescent="0.2">
      <c r="A15" s="620"/>
      <c r="B15" s="627">
        <f t="shared" ref="B15:J15" si="11">IFERROR(B14/B$16,"-")</f>
        <v>3.5714285714285712E-2</v>
      </c>
      <c r="C15" s="627">
        <f t="shared" si="11"/>
        <v>7.3311367380560127E-2</v>
      </c>
      <c r="D15" s="627">
        <f t="shared" si="11"/>
        <v>5.5377207062600318E-2</v>
      </c>
      <c r="E15" s="627">
        <f t="shared" si="11"/>
        <v>2.9495718363463368E-2</v>
      </c>
      <c r="F15" s="627">
        <f t="shared" si="11"/>
        <v>5.0189393939393936E-2</v>
      </c>
      <c r="G15" s="627">
        <f t="shared" si="11"/>
        <v>2.3466309084813945E-2</v>
      </c>
      <c r="H15" s="627">
        <f t="shared" si="11"/>
        <v>3.9758608448704297E-2</v>
      </c>
      <c r="I15" s="627">
        <f t="shared" si="11"/>
        <v>1.7391304347826087E-2</v>
      </c>
      <c r="J15" s="627">
        <f t="shared" si="11"/>
        <v>5.0359712230215826E-2</v>
      </c>
      <c r="K15" s="627">
        <f>IFERROR(K14/K$16,"-")</f>
        <v>3.8909116870136359E-2</v>
      </c>
      <c r="AL15" s="440"/>
    </row>
    <row r="16" spans="1:58" ht="18.75" customHeight="1" x14ac:dyDescent="0.2">
      <c r="A16" s="628" t="s">
        <v>431</v>
      </c>
      <c r="B16" s="360">
        <f t="shared" ref="B16:J16" si="12">SUM(B4,B6,B8,B10,B12,B14)</f>
        <v>1148</v>
      </c>
      <c r="C16" s="360">
        <f t="shared" si="12"/>
        <v>1214</v>
      </c>
      <c r="D16" s="360">
        <f t="shared" si="12"/>
        <v>1246</v>
      </c>
      <c r="E16" s="360">
        <f t="shared" si="12"/>
        <v>1051</v>
      </c>
      <c r="F16" s="360">
        <f t="shared" si="12"/>
        <v>1056</v>
      </c>
      <c r="G16" s="360">
        <f t="shared" si="12"/>
        <v>2983</v>
      </c>
      <c r="H16" s="360">
        <f t="shared" si="12"/>
        <v>2817</v>
      </c>
      <c r="I16" s="360">
        <f t="shared" si="12"/>
        <v>1380</v>
      </c>
      <c r="J16" s="360">
        <f t="shared" si="12"/>
        <v>1112</v>
      </c>
      <c r="K16" s="361">
        <f>SUM(K4,K6,K8,K10,K12,K14)</f>
        <v>14007</v>
      </c>
      <c r="AL16" s="440"/>
    </row>
    <row r="17" spans="1:46" ht="18.75" customHeight="1" x14ac:dyDescent="0.2">
      <c r="A17" s="629"/>
      <c r="B17" s="362">
        <f>IFERROR(B16/$K$16,"-")</f>
        <v>8.1959020489755119E-2</v>
      </c>
      <c r="C17" s="362">
        <f t="shared" ref="C17:J17" si="13">IFERROR(C16/$K$16,"-")</f>
        <v>8.6670950239166128E-2</v>
      </c>
      <c r="D17" s="362">
        <f t="shared" si="13"/>
        <v>8.8955522238880563E-2</v>
      </c>
      <c r="E17" s="362">
        <f t="shared" si="13"/>
        <v>7.5033911615620758E-2</v>
      </c>
      <c r="F17" s="362">
        <f t="shared" si="13"/>
        <v>7.5390875990576145E-2</v>
      </c>
      <c r="G17" s="362">
        <f t="shared" si="13"/>
        <v>0.21296494609837938</v>
      </c>
      <c r="H17" s="362">
        <f t="shared" si="13"/>
        <v>0.20111372884986078</v>
      </c>
      <c r="I17" s="362">
        <f t="shared" si="13"/>
        <v>9.8522167487684734E-2</v>
      </c>
      <c r="J17" s="362">
        <f t="shared" si="13"/>
        <v>7.9388876990076393E-2</v>
      </c>
      <c r="K17" s="362">
        <f>SUM(K5,K7,K9,K11,K13,K15)</f>
        <v>0.99999999999999989</v>
      </c>
      <c r="AL17" s="440"/>
    </row>
    <row r="18" spans="1:46" x14ac:dyDescent="0.2">
      <c r="AL18" s="440"/>
    </row>
    <row r="19" spans="1:46" x14ac:dyDescent="0.2">
      <c r="AL19" s="440"/>
    </row>
    <row r="20" spans="1:46" x14ac:dyDescent="0.2">
      <c r="A20" s="250"/>
      <c r="B20" s="22"/>
      <c r="C20" s="22"/>
      <c r="D20" s="22"/>
      <c r="E20" s="22"/>
      <c r="F20" s="22"/>
      <c r="G20" s="22"/>
      <c r="H20" s="22"/>
      <c r="I20" s="22"/>
      <c r="AL20" s="440"/>
    </row>
    <row r="21" spans="1:46" x14ac:dyDescent="0.2">
      <c r="AL21" s="440"/>
    </row>
    <row r="22" spans="1:46" ht="19.2" x14ac:dyDescent="0.2">
      <c r="A22" s="2" t="s">
        <v>432</v>
      </c>
    </row>
    <row r="23" spans="1:46" ht="18" thickBot="1" x14ac:dyDescent="0.25"/>
    <row r="24" spans="1:46" ht="36" thickTop="1" thickBot="1" x14ac:dyDescent="0.25">
      <c r="A24" s="435"/>
      <c r="B24" s="435" t="s">
        <v>356</v>
      </c>
      <c r="C24" s="435" t="s">
        <v>357</v>
      </c>
      <c r="D24" s="435" t="s">
        <v>358</v>
      </c>
      <c r="E24" s="435" t="s">
        <v>359</v>
      </c>
      <c r="F24" s="435" t="s">
        <v>360</v>
      </c>
      <c r="G24" s="435" t="s">
        <v>361</v>
      </c>
      <c r="H24" s="435" t="s">
        <v>362</v>
      </c>
      <c r="I24" s="435" t="s">
        <v>363</v>
      </c>
      <c r="J24" s="630" t="s">
        <v>378</v>
      </c>
      <c r="K24" s="435" t="s">
        <v>61</v>
      </c>
      <c r="M24" s="802" t="s">
        <v>655</v>
      </c>
      <c r="N24" s="623" t="s">
        <v>728</v>
      </c>
      <c r="O24" s="623" t="s">
        <v>729</v>
      </c>
      <c r="P24" s="623" t="s">
        <v>730</v>
      </c>
      <c r="Q24" s="623" t="s">
        <v>731</v>
      </c>
      <c r="R24" s="623" t="s">
        <v>732</v>
      </c>
      <c r="S24" s="623" t="s">
        <v>733</v>
      </c>
      <c r="T24" s="623" t="s">
        <v>734</v>
      </c>
      <c r="U24" s="623" t="s">
        <v>735</v>
      </c>
      <c r="V24" s="623" t="s">
        <v>736</v>
      </c>
      <c r="W24" s="623" t="s">
        <v>737</v>
      </c>
      <c r="X24" s="623" t="s">
        <v>738</v>
      </c>
      <c r="Y24" s="623" t="s">
        <v>739</v>
      </c>
      <c r="Z24" s="623" t="s">
        <v>740</v>
      </c>
      <c r="AA24" s="623" t="s">
        <v>741</v>
      </c>
      <c r="AB24" s="623" t="s">
        <v>742</v>
      </c>
      <c r="AC24" s="623" t="s">
        <v>743</v>
      </c>
      <c r="AD24" s="623" t="s">
        <v>744</v>
      </c>
      <c r="AE24" s="623" t="s">
        <v>745</v>
      </c>
      <c r="AF24" s="623" t="s">
        <v>746</v>
      </c>
      <c r="AG24" s="623" t="s">
        <v>747</v>
      </c>
      <c r="AH24" s="623" t="s">
        <v>748</v>
      </c>
      <c r="AI24" s="623" t="s">
        <v>398</v>
      </c>
    </row>
    <row r="25" spans="1:46" ht="18.600000000000001" thickTop="1" thickBot="1" x14ac:dyDescent="0.25">
      <c r="A25" s="619" t="s">
        <v>28</v>
      </c>
      <c r="B25" s="624">
        <f>AL26</f>
        <v>6</v>
      </c>
      <c r="C25" s="624">
        <f t="shared" ref="C25:J25" si="14">AM26</f>
        <v>0</v>
      </c>
      <c r="D25" s="624">
        <f t="shared" si="14"/>
        <v>5</v>
      </c>
      <c r="E25" s="624">
        <f t="shared" si="14"/>
        <v>8</v>
      </c>
      <c r="F25" s="624">
        <f t="shared" si="14"/>
        <v>3</v>
      </c>
      <c r="G25" s="624">
        <f t="shared" si="14"/>
        <v>4</v>
      </c>
      <c r="H25" s="624">
        <f t="shared" si="14"/>
        <v>5</v>
      </c>
      <c r="I25" s="624">
        <f t="shared" si="14"/>
        <v>5</v>
      </c>
      <c r="J25" s="624">
        <f t="shared" si="14"/>
        <v>4</v>
      </c>
      <c r="K25" s="625">
        <f>SUM(B25:J25)</f>
        <v>40</v>
      </c>
      <c r="M25" s="626">
        <v>1</v>
      </c>
      <c r="N25" s="372"/>
      <c r="O25" s="372">
        <v>1</v>
      </c>
      <c r="P25" s="372">
        <v>5</v>
      </c>
      <c r="Q25" s="372"/>
      <c r="R25" s="372"/>
      <c r="S25" s="372">
        <v>1</v>
      </c>
      <c r="T25" s="372">
        <v>1</v>
      </c>
      <c r="U25" s="372"/>
      <c r="V25" s="372">
        <v>3</v>
      </c>
      <c r="W25" s="372">
        <v>5</v>
      </c>
      <c r="X25" s="372">
        <v>3</v>
      </c>
      <c r="Y25" s="372"/>
      <c r="Z25" s="372">
        <v>1</v>
      </c>
      <c r="AA25" s="372">
        <v>2</v>
      </c>
      <c r="AB25" s="372">
        <v>2</v>
      </c>
      <c r="AC25" s="372">
        <v>1</v>
      </c>
      <c r="AD25" s="372">
        <v>1</v>
      </c>
      <c r="AE25" s="372">
        <v>5</v>
      </c>
      <c r="AF25" s="372">
        <v>5</v>
      </c>
      <c r="AG25" s="372">
        <v>4</v>
      </c>
      <c r="AH25" s="373"/>
      <c r="AI25" s="372"/>
      <c r="AK25" s="441"/>
      <c r="AL25" s="455" t="s">
        <v>356</v>
      </c>
      <c r="AM25" s="456" t="s">
        <v>357</v>
      </c>
      <c r="AN25" s="456" t="s">
        <v>358</v>
      </c>
      <c r="AO25" s="456" t="s">
        <v>359</v>
      </c>
      <c r="AP25" s="456" t="s">
        <v>360</v>
      </c>
      <c r="AQ25" s="456" t="s">
        <v>361</v>
      </c>
      <c r="AR25" s="456" t="s">
        <v>362</v>
      </c>
      <c r="AS25" s="457" t="s">
        <v>363</v>
      </c>
      <c r="AT25" s="457" t="s">
        <v>378</v>
      </c>
    </row>
    <row r="26" spans="1:46" x14ac:dyDescent="0.2">
      <c r="A26" s="620"/>
      <c r="B26" s="627">
        <f t="shared" ref="B26:J26" si="15">IFERROR(B25/B$37,"-")</f>
        <v>9.7560975609756097E-3</v>
      </c>
      <c r="C26" s="627">
        <f t="shared" si="15"/>
        <v>0</v>
      </c>
      <c r="D26" s="627">
        <f t="shared" si="15"/>
        <v>8.9126559714795012E-3</v>
      </c>
      <c r="E26" s="627">
        <f t="shared" si="15"/>
        <v>1.6161616161616162E-2</v>
      </c>
      <c r="F26" s="627">
        <f t="shared" si="15"/>
        <v>5.4644808743169399E-3</v>
      </c>
      <c r="G26" s="627">
        <f t="shared" si="15"/>
        <v>2.1505376344086021E-3</v>
      </c>
      <c r="H26" s="627">
        <f>IFERROR(H25/H$37,"-")</f>
        <v>3.7174721189591076E-3</v>
      </c>
      <c r="I26" s="627">
        <f t="shared" si="15"/>
        <v>6.8119891008174387E-3</v>
      </c>
      <c r="J26" s="627">
        <f t="shared" si="15"/>
        <v>6.3091482649842269E-3</v>
      </c>
      <c r="K26" s="627">
        <f>IFERROR(K25/K$37,"-")</f>
        <v>5.3814072379927353E-3</v>
      </c>
      <c r="M26" s="375">
        <v>2</v>
      </c>
      <c r="N26" s="374">
        <v>8</v>
      </c>
      <c r="O26" s="374">
        <v>13</v>
      </c>
      <c r="P26" s="374">
        <v>12</v>
      </c>
      <c r="Q26" s="374">
        <v>18</v>
      </c>
      <c r="R26" s="374">
        <v>11</v>
      </c>
      <c r="S26" s="374">
        <v>11</v>
      </c>
      <c r="T26" s="374">
        <v>7</v>
      </c>
      <c r="U26" s="374">
        <v>7</v>
      </c>
      <c r="V26" s="374">
        <v>5</v>
      </c>
      <c r="W26" s="374">
        <v>27</v>
      </c>
      <c r="X26" s="374">
        <v>18</v>
      </c>
      <c r="Y26" s="374">
        <v>4</v>
      </c>
      <c r="Z26" s="374">
        <v>21</v>
      </c>
      <c r="AA26" s="374">
        <v>16</v>
      </c>
      <c r="AB26" s="374">
        <v>27</v>
      </c>
      <c r="AC26" s="374">
        <v>65</v>
      </c>
      <c r="AD26" s="374">
        <v>17</v>
      </c>
      <c r="AE26" s="374">
        <v>104</v>
      </c>
      <c r="AF26" s="374">
        <v>50</v>
      </c>
      <c r="AG26" s="374">
        <v>43</v>
      </c>
      <c r="AH26" s="375">
        <v>1</v>
      </c>
      <c r="AI26" s="374"/>
      <c r="AK26" s="458">
        <v>1</v>
      </c>
      <c r="AL26" s="459">
        <f>IFERROR(INDEX(状態像区分入院時住所地_1年以上[#All],MATCH(1,状態像区分入院時住所地_1年以上[[#All],[行ラベル]],0),MATCH($AJ$2,状態像区分入院時住所地_1年以上[#Headers],0)),0)+IFERROR(INDEX(状態像区分入院時住所地_1年以上[#All],MATCH(1,状態像区分入院時住所地_1年以上[[#All],[行ラベル]],0),MATCH($AK$2,状態像区分入院時住所地_1年以上[#Headers],0)),0)+IFERROR(INDEX(状態像区分入院時住所地_1年以上[#All],MATCH(1,状態像区分入院時住所地_1年以上[[#All],[行ラベル]],0),MATCH($AL$2,状態像区分入院時住所地_1年以上[#Headers],0)),0)</f>
        <v>6</v>
      </c>
      <c r="AM26" s="460">
        <f>IFERROR(INDEX(状態像区分入院時住所地_1年以上[#All],MATCH(1,状態像区分入院時住所地_1年以上[[#All],[行ラベル]],0),MATCH($AM$2,状態像区分入院時住所地_1年以上[#Headers],0)),0)+IFERROR(INDEX(状態像区分入院時住所地_1年以上[#All],MATCH(1,状態像区分入院時住所地_1年以上[[#All],[行ラベル]],0),MATCH($AN$2,状態像区分入院時住所地_1年以上[#Headers],0)),0)</f>
        <v>0</v>
      </c>
      <c r="AN26" s="460">
        <f>IFERROR(INDEX(状態像区分入院時住所地_1年以上[#All],MATCH(1,状態像区分入院時住所地_1年以上[[#All],[行ラベル]],0),MATCH($AO$2,状態像区分入院時住所地_1年以上[#Headers],0)),0)+IFERROR(INDEX(状態像区分入院時住所地_1年以上[#All],MATCH(1,状態像区分入院時住所地_1年以上[[#All],[行ラベル]],0),MATCH($AP$2,状態像区分入院時住所地_1年以上[#Headers],0)),0)+IFERROR(INDEX(状態像区分入院時住所地_1年以上[#All],MATCH(1,状態像区分入院時住所地_1年以上[[#All],[行ラベル]],0),MATCH($AQ$2,状態像区分入院時住所地_1年以上[#Headers],0)),0)+IFERROR(INDEX(状態像区分入院時住所地_1年以上[#All],MATCH(1,状態像区分入院時住所地_1年以上[[#All],[行ラベル]],0),MATCH($AR$2,状態像区分入院時住所地_1年以上[#Headers],0)),0)</f>
        <v>5</v>
      </c>
      <c r="AO26" s="460">
        <f>IFERROR(INDEX(状態像区分入院時住所地_1年以上[#All],MATCH(1,状態像区分入院時住所地_1年以上[[#All],[行ラベル]],0),MATCH($AS$2,状態像区分入院時住所地_1年以上[#Headers],0)),0)+IFERROR(INDEX(状態像区分入院時住所地_1年以上[#All],MATCH(1,状態像区分入院時住所地_1年以上[[#All],[行ラベル]],0),MATCH($AT$2,状態像区分入院時住所地_1年以上[#Headers],0)),0)+IFERROR(INDEX(状態像区分入院時住所地_1年以上[#All],MATCH(1,状態像区分入院時住所地_1年以上[[#All],[行ラベル]],0),MATCH($AU$2,状態像区分入院時住所地_1年以上[#Headers],0)),0)</f>
        <v>8</v>
      </c>
      <c r="AP26" s="460">
        <f>IFERROR(INDEX(状態像区分入院時住所地_1年以上[#All],MATCH(1,状態像区分入院時住所地_1年以上[[#All],[行ラベル]],0),MATCH($AV$2,状態像区分入院時住所地_1年以上[#Headers],0)),0)+IFERROR(INDEX(状態像区分入院時住所地_1年以上[#All],MATCH(1,状態像区分入院時住所地_1年以上[[#All],[行ラベル]],0),MATCH($AW$2,状態像区分入院時住所地_1年以上[#Headers],0)),0)</f>
        <v>3</v>
      </c>
      <c r="AQ26" s="460">
        <f>IFERROR(INDEX(状態像区分入院時住所地_1年以上[#All],MATCH(1,状態像区分入院時住所地_1年以上[[#All],[行ラベル]],0),MATCH($AX$2,状態像区分入院時住所地_1年以上[#Headers],0)),0)+IFERROR(INDEX(状態像区分入院時住所地_1年以上[#All],MATCH(1,状態像区分入院時住所地_1年以上[[#All],[行ラベル]],0),MATCH($AY$2,状態像区分入院時住所地_1年以上[#Headers],0)),0)+IFERROR(INDEX(状態像区分入院時住所地_1年以上[#All],MATCH(1,状態像区分入院時住所地_1年以上[[#All],[行ラベル]],0),MATCH($AZ$2,状態像区分入院時住所地_1年以上[#Headers],0)),0)</f>
        <v>4</v>
      </c>
      <c r="AR26" s="460">
        <f>IFERROR(INDEX(状態像区分入院時住所地_1年以上[#All],MATCH(1,状態像区分入院時住所地_1年以上[[#All],[行ラベル]],0),MATCH($BA$2,状態像区分入院時住所地_1年以上[#Headers],0)),0)</f>
        <v>5</v>
      </c>
      <c r="AS26" s="461">
        <f>IFERROR(INDEX(状態像区分入院時住所地_1年以上[#All],MATCH(1,状態像区分入院時住所地_1年以上[[#All],[行ラベル]],0),MATCH($BB$2,状態像区分入院時住所地_1年以上[#Headers],0)),0)</f>
        <v>5</v>
      </c>
      <c r="AT26" s="461">
        <f>IFERROR(INDEX(状態像区分入院時住所地_1年以上[#All],MATCH(1,状態像区分入院時住所地_1年以上[[#All],[行ラベル]],0),MATCH($BC$2,状態像区分入院時住所地_1年以上[#Headers],0)),0)+IFERROR(INDEX(状態像区分入院時住所地_1年以上[#All],MATCH(1,状態像区分入院時住所地_1年以上[[#All],[行ラベル]],0),MATCH($BD$2,状態像区分入院時住所地_1年以上[#Headers],0)),0)</f>
        <v>4</v>
      </c>
    </row>
    <row r="27" spans="1:46" x14ac:dyDescent="0.2">
      <c r="A27" s="619" t="s">
        <v>29</v>
      </c>
      <c r="B27" s="624">
        <f>AL27</f>
        <v>33</v>
      </c>
      <c r="C27" s="624">
        <f t="shared" ref="C27:J27" si="16">AM27</f>
        <v>29</v>
      </c>
      <c r="D27" s="624">
        <f t="shared" si="16"/>
        <v>30</v>
      </c>
      <c r="E27" s="624">
        <f t="shared" si="16"/>
        <v>49</v>
      </c>
      <c r="F27" s="624">
        <f t="shared" si="16"/>
        <v>37</v>
      </c>
      <c r="G27" s="624">
        <f t="shared" si="16"/>
        <v>109</v>
      </c>
      <c r="H27" s="624">
        <f t="shared" si="16"/>
        <v>104</v>
      </c>
      <c r="I27" s="624">
        <f t="shared" si="16"/>
        <v>50</v>
      </c>
      <c r="J27" s="624">
        <f t="shared" si="16"/>
        <v>44</v>
      </c>
      <c r="K27" s="625">
        <f>SUM(B27:J27)</f>
        <v>485</v>
      </c>
      <c r="M27" s="373">
        <v>3</v>
      </c>
      <c r="N27" s="372">
        <v>27</v>
      </c>
      <c r="O27" s="372">
        <v>30</v>
      </c>
      <c r="P27" s="372">
        <v>27</v>
      </c>
      <c r="Q27" s="372">
        <v>54</v>
      </c>
      <c r="R27" s="372">
        <v>50</v>
      </c>
      <c r="S27" s="372">
        <v>26</v>
      </c>
      <c r="T27" s="372">
        <v>21</v>
      </c>
      <c r="U27" s="372">
        <v>19</v>
      </c>
      <c r="V27" s="372">
        <v>15</v>
      </c>
      <c r="W27" s="372">
        <v>83</v>
      </c>
      <c r="X27" s="372">
        <v>28</v>
      </c>
      <c r="Y27" s="372">
        <v>8</v>
      </c>
      <c r="Z27" s="372">
        <v>44</v>
      </c>
      <c r="AA27" s="372">
        <v>61</v>
      </c>
      <c r="AB27" s="372">
        <v>76</v>
      </c>
      <c r="AC27" s="372">
        <v>127</v>
      </c>
      <c r="AD27" s="372">
        <v>91</v>
      </c>
      <c r="AE27" s="372">
        <v>249</v>
      </c>
      <c r="AF27" s="372">
        <v>144</v>
      </c>
      <c r="AG27" s="372">
        <v>84</v>
      </c>
      <c r="AH27" s="373">
        <v>12</v>
      </c>
      <c r="AI27" s="372"/>
      <c r="AK27" s="462">
        <v>2</v>
      </c>
      <c r="AL27" s="459">
        <f>IFERROR(INDEX(状態像区分入院時住所地_1年以上[#All],MATCH(2,状態像区分入院時住所地_1年以上[[#All],[行ラベル]],0),MATCH($AJ$2,状態像区分入院時住所地_1年以上[#Headers],0)),0)+IFERROR(INDEX(状態像区分入院時住所地_1年以上[#All],MATCH(2,状態像区分入院時住所地_1年以上[[#All],[行ラベル]],0),MATCH($AK$2,状態像区分入院時住所地_1年以上[#Headers],0)),0)+IFERROR(INDEX(状態像区分入院時住所地_1年以上[#All],MATCH(2,状態像区分入院時住所地_1年以上[[#All],[行ラベル]],0),MATCH($AL$2,状態像区分入院時住所地_1年以上[#Headers],0)),0)</f>
        <v>33</v>
      </c>
      <c r="AM27" s="460">
        <f>IFERROR(INDEX(状態像区分入院時住所地_1年以上[#All],MATCH(2,状態像区分入院時住所地_1年以上[[#All],[行ラベル]],0),MATCH($AM$2,状態像区分入院時住所地_1年以上[#Headers],0)),0)+IFERROR(INDEX(状態像区分入院時住所地_1年以上[#All],MATCH(2,状態像区分入院時住所地_1年以上[[#All],[行ラベル]],0),MATCH($AN$2,状態像区分入院時住所地_1年以上[#Headers],0)),0)</f>
        <v>29</v>
      </c>
      <c r="AN27" s="460">
        <f>IFERROR(INDEX(状態像区分入院時住所地_1年以上[#All],MATCH(2,状態像区分入院時住所地_1年以上[[#All],[行ラベル]],0),MATCH($AO$2,状態像区分入院時住所地_1年以上[#Headers],0)),0)+IFERROR(INDEX(状態像区分入院時住所地_1年以上[#All],MATCH(2,状態像区分入院時住所地_1年以上[[#All],[行ラベル]],0),MATCH($AP$2,状態像区分入院時住所地_1年以上[#Headers],0)),0)+IFERROR(INDEX(状態像区分入院時住所地_1年以上[#All],MATCH(2,状態像区分入院時住所地_1年以上[[#All],[行ラベル]],0),MATCH($AQ$2,状態像区分入院時住所地_1年以上[#Headers],0)),0)+IFERROR(INDEX(状態像区分入院時住所地_1年以上[#All],MATCH(2,状態像区分入院時住所地_1年以上[[#All],[行ラベル]],0),MATCH($AR$2,状態像区分入院時住所地_1年以上[#Headers],0)),0)</f>
        <v>30</v>
      </c>
      <c r="AO27" s="460">
        <f>IFERROR(INDEX(状態像区分入院時住所地_1年以上[#All],MATCH(2,状態像区分入院時住所地_1年以上[[#All],[行ラベル]],0),MATCH($AS$2,状態像区分入院時住所地_1年以上[#Headers],0)),0)+IFERROR(INDEX(状態像区分入院時住所地_1年以上[#All],MATCH(2,状態像区分入院時住所地_1年以上[[#All],[行ラベル]],0),MATCH($AT$2,状態像区分入院時住所地_1年以上[#Headers],0)),0)+IFERROR(INDEX(状態像区分入院時住所地_1年以上[#All],MATCH(2,状態像区分入院時住所地_1年以上[[#All],[行ラベル]],0),MATCH($AU$2,状態像区分入院時住所地_1年以上[#Headers],0)),0)</f>
        <v>49</v>
      </c>
      <c r="AP27" s="460">
        <f>IFERROR(INDEX(状態像区分入院時住所地_1年以上[#All],MATCH(2,状態像区分入院時住所地_1年以上[[#All],[行ラベル]],0),MATCH($AV$2,状態像区分入院時住所地_1年以上[#Headers],0)),0)+IFERROR(INDEX(状態像区分入院時住所地_1年以上[#All],MATCH(2,状態像区分入院時住所地_1年以上[[#All],[行ラベル]],0),MATCH($AW$2,状態像区分入院時住所地_1年以上[#Headers],0)),0)</f>
        <v>37</v>
      </c>
      <c r="AQ27" s="460">
        <f>IFERROR(INDEX(状態像区分入院時住所地_1年以上[#All],MATCH(2,状態像区分入院時住所地_1年以上[[#All],[行ラベル]],0),MATCH($AX$2,状態像区分入院時住所地_1年以上[#Headers],0)),0)+IFERROR(INDEX(状態像区分入院時住所地_1年以上[#All],MATCH(2,状態像区分入院時住所地_1年以上[[#All],[行ラベル]],0),MATCH($AY$2,状態像区分入院時住所地_1年以上[#Headers],0)),0)+IFERROR(INDEX(状態像区分入院時住所地_1年以上[#All],MATCH(2,状態像区分入院時住所地_1年以上[[#All],[行ラベル]],0),MATCH($AZ$2,状態像区分入院時住所地_1年以上[#Headers],0)),0)</f>
        <v>109</v>
      </c>
      <c r="AR27" s="460">
        <f>IFERROR(INDEX(状態像区分入院時住所地_1年以上[#All],MATCH(2,状態像区分入院時住所地_1年以上[[#All],[行ラベル]],0),MATCH($BA$2,状態像区分入院時住所地_1年以上[#Headers],0)),0)</f>
        <v>104</v>
      </c>
      <c r="AS27" s="461">
        <f>IFERROR(INDEX(状態像区分入院時住所地_1年以上[#All],MATCH(2,状態像区分入院時住所地_1年以上[[#All],[行ラベル]],0),MATCH($BB$2,状態像区分入院時住所地_1年以上[#Headers],0)),0)</f>
        <v>50</v>
      </c>
      <c r="AT27" s="461">
        <f>IFERROR(INDEX(状態像区分入院時住所地_1年以上[#All],MATCH(2,状態像区分入院時住所地_1年以上[[#All],[行ラベル]],0),MATCH($BC$2,状態像区分入院時住所地_1年以上[#Headers],0)),0)+IFERROR(INDEX(状態像区分入院時住所地_1年以上[#All],MATCH(2,状態像区分入院時住所地_1年以上[[#All],[行ラベル]],0),MATCH($BD$2,状態像区分入院時住所地_1年以上[#Headers],0)),0)</f>
        <v>44</v>
      </c>
    </row>
    <row r="28" spans="1:46" x14ac:dyDescent="0.2">
      <c r="A28" s="620"/>
      <c r="B28" s="627">
        <f>IFERROR(B27/B$37,"-")</f>
        <v>5.3658536585365853E-2</v>
      </c>
      <c r="C28" s="627">
        <f>IFERROR(C27/C$37,"-")</f>
        <v>4.5312499999999999E-2</v>
      </c>
      <c r="D28" s="627">
        <f t="shared" ref="D28:J28" si="17">IFERROR(D27/D$37,"-")</f>
        <v>5.3475935828877004E-2</v>
      </c>
      <c r="E28" s="627">
        <f t="shared" si="17"/>
        <v>9.8989898989898989E-2</v>
      </c>
      <c r="F28" s="627">
        <f t="shared" si="17"/>
        <v>6.7395264116575593E-2</v>
      </c>
      <c r="G28" s="627">
        <f t="shared" si="17"/>
        <v>5.8602150537634408E-2</v>
      </c>
      <c r="H28" s="627">
        <f t="shared" si="17"/>
        <v>7.7323420074349447E-2</v>
      </c>
      <c r="I28" s="627">
        <f t="shared" si="17"/>
        <v>6.8119891008174394E-2</v>
      </c>
      <c r="J28" s="627">
        <f t="shared" si="17"/>
        <v>6.9400630914826497E-2</v>
      </c>
      <c r="K28" s="627">
        <f>IFERROR(K27/K$37,"-")</f>
        <v>6.5249562760661919E-2</v>
      </c>
      <c r="M28" s="375">
        <v>4</v>
      </c>
      <c r="N28" s="374">
        <v>86</v>
      </c>
      <c r="O28" s="374">
        <v>113</v>
      </c>
      <c r="P28" s="374">
        <v>88</v>
      </c>
      <c r="Q28" s="374">
        <v>151</v>
      </c>
      <c r="R28" s="374">
        <v>117</v>
      </c>
      <c r="S28" s="374">
        <v>99</v>
      </c>
      <c r="T28" s="374">
        <v>46</v>
      </c>
      <c r="U28" s="374">
        <v>57</v>
      </c>
      <c r="V28" s="374">
        <v>51</v>
      </c>
      <c r="W28" s="374">
        <v>153</v>
      </c>
      <c r="X28" s="374">
        <v>51</v>
      </c>
      <c r="Y28" s="374">
        <v>21</v>
      </c>
      <c r="Z28" s="374">
        <v>110</v>
      </c>
      <c r="AA28" s="374">
        <v>117</v>
      </c>
      <c r="AB28" s="374">
        <v>241</v>
      </c>
      <c r="AC28" s="374">
        <v>347</v>
      </c>
      <c r="AD28" s="374">
        <v>251</v>
      </c>
      <c r="AE28" s="374">
        <v>573</v>
      </c>
      <c r="AF28" s="374">
        <v>341</v>
      </c>
      <c r="AG28" s="374">
        <v>262</v>
      </c>
      <c r="AH28" s="375">
        <v>17</v>
      </c>
      <c r="AI28" s="374"/>
      <c r="AK28" s="462">
        <v>3</v>
      </c>
      <c r="AL28" s="459">
        <f>IFERROR(INDEX(状態像区分入院時住所地_1年以上[#All],MATCH(3,状態像区分入院時住所地_1年以上[[#All],[行ラベル]],0),MATCH($AJ$2,状態像区分入院時住所地_1年以上[#Headers],0)),0)+IFERROR(INDEX(状態像区分入院時住所地_1年以上[#All],MATCH(3,状態像区分入院時住所地_1年以上[[#All],[行ラベル]],0),MATCH($AK$2,状態像区分入院時住所地_1年以上[#Headers],0)),0)+IFERROR(INDEX(状態像区分入院時住所地_1年以上[#All],MATCH(3,状態像区分入院時住所地_1年以上[[#All],[行ラベル]],0),MATCH($AL$2,状態像区分入院時住所地_1年以上[#Headers],0)),0)</f>
        <v>84</v>
      </c>
      <c r="AM28" s="460">
        <f>IFERROR(INDEX(状態像区分入院時住所地_1年以上[#All],MATCH(3,状態像区分入院時住所地_1年以上[[#All],[行ラベル]],0),MATCH($AM$2,状態像区分入院時住所地_1年以上[#Headers],0)),0)+IFERROR(INDEX(状態像区分入院時住所地_1年以上[#All],MATCH(3,状態像区分入院時住所地_1年以上[[#All],[行ラベル]],0),MATCH($AN$2,状態像区分入院時住所地_1年以上[#Headers],0)),0)</f>
        <v>104</v>
      </c>
      <c r="AN28" s="460">
        <f>IFERROR(INDEX(状態像区分入院時住所地_1年以上[#All],MATCH(3,状態像区分入院時住所地_1年以上[[#All],[行ラベル]],0),MATCH($AO$2,状態像区分入院時住所地_1年以上[#Headers],0)),0)+IFERROR(INDEX(状態像区分入院時住所地_1年以上[#All],MATCH(3,状態像区分入院時住所地_1年以上[[#All],[行ラベル]],0),MATCH($AP$2,状態像区分入院時住所地_1年以上[#Headers],0)),0)+IFERROR(INDEX(状態像区分入院時住所地_1年以上[#All],MATCH(3,状態像区分入院時住所地_1年以上[[#All],[行ラベル]],0),MATCH($AQ$2,状態像区分入院時住所地_1年以上[#Headers],0)),0)+IFERROR(INDEX(状態像区分入院時住所地_1年以上[#All],MATCH(3,状態像区分入院時住所地_1年以上[[#All],[行ラベル]],0),MATCH($AR$2,状態像区分入院時住所地_1年以上[#Headers],0)),0)</f>
        <v>81</v>
      </c>
      <c r="AO28" s="460">
        <f>IFERROR(INDEX(状態像区分入院時住所地_1年以上[#All],MATCH(3,状態像区分入院時住所地_1年以上[[#All],[行ラベル]],0),MATCH($AS$2,状態像区分入院時住所地_1年以上[#Headers],0)),0)+IFERROR(INDEX(状態像区分入院時住所地_1年以上[#All],MATCH(3,状態像区分入院時住所地_1年以上[[#All],[行ラベル]],0),MATCH($AT$2,状態像区分入院時住所地_1年以上[#Headers],0)),0)+IFERROR(INDEX(状態像区分入院時住所地_1年以上[#All],MATCH(3,状態像区分入院時住所地_1年以上[[#All],[行ラベル]],0),MATCH($AU$2,状態像区分入院時住所地_1年以上[#Headers],0)),0)</f>
        <v>119</v>
      </c>
      <c r="AP28" s="460">
        <f>IFERROR(INDEX(状態像区分入院時住所地_1年以上[#All],MATCH(3,状態像区分入院時住所地_1年以上[[#All],[行ラベル]],0),MATCH($AV$2,状態像区分入院時住所地_1年以上[#Headers],0)),0)+IFERROR(INDEX(状態像区分入院時住所地_1年以上[#All],MATCH(3,状態像区分入院時住所地_1年以上[[#All],[行ラベル]],0),MATCH($AW$2,状態像区分入院時住所地_1年以上[#Headers],0)),0)</f>
        <v>105</v>
      </c>
      <c r="AQ28" s="460">
        <f>IFERROR(INDEX(状態像区分入院時住所地_1年以上[#All],MATCH(3,状態像区分入院時住所地_1年以上[[#All],[行ラベル]],0),MATCH($AX$2,状態像区分入院時住所地_1年以上[#Headers],0)),0)+IFERROR(INDEX(状態像区分入院時住所地_1年以上[#All],MATCH(3,状態像区分入院時住所地_1年以上[[#All],[行ラベル]],0),MATCH($AY$2,状態像区分入院時住所地_1年以上[#Headers],0)),0)+IFERROR(INDEX(状態像区分入院時住所地_1年以上[#All],MATCH(3,状態像区分入院時住所地_1年以上[[#All],[行ラベル]],0),MATCH($AZ$2,状態像区分入院時住所地_1年以上[#Headers],0)),0)</f>
        <v>294</v>
      </c>
      <c r="AR28" s="460">
        <f>IFERROR(INDEX(状態像区分入院時住所地_1年以上[#All],MATCH(3,状態像区分入院時住所地_1年以上[[#All],[行ラベル]],0),MATCH($BA$2,状態像区分入院時住所地_1年以上[#Headers],0)),0)</f>
        <v>249</v>
      </c>
      <c r="AS28" s="461">
        <f>IFERROR(INDEX(状態像区分入院時住所地_1年以上[#All],MATCH(3,状態像区分入院時住所地_1年以上[[#All],[行ラベル]],0),MATCH($BB$2,状態像区分入院時住所地_1年以上[#Headers],0)),0)</f>
        <v>144</v>
      </c>
      <c r="AT28" s="461">
        <f>IFERROR(INDEX(状態像区分入院時住所地_1年以上[#All],MATCH(3,状態像区分入院時住所地_1年以上[[#All],[行ラベル]],0),MATCH($BC$2,状態像区分入院時住所地_1年以上[#Headers],0)),0)+IFERROR(INDEX(状態像区分入院時住所地_1年以上[#All],MATCH(3,状態像区分入院時住所地_1年以上[[#All],[行ラベル]],0),MATCH($BD$2,状態像区分入院時住所地_1年以上[#Headers],0)),0)</f>
        <v>96</v>
      </c>
    </row>
    <row r="29" spans="1:46" x14ac:dyDescent="0.2">
      <c r="A29" s="619" t="s">
        <v>30</v>
      </c>
      <c r="B29" s="624">
        <f>AL28</f>
        <v>84</v>
      </c>
      <c r="C29" s="624">
        <f t="shared" ref="C29:J29" si="18">AM28</f>
        <v>104</v>
      </c>
      <c r="D29" s="624">
        <f t="shared" si="18"/>
        <v>81</v>
      </c>
      <c r="E29" s="624">
        <f t="shared" si="18"/>
        <v>119</v>
      </c>
      <c r="F29" s="624">
        <f t="shared" si="18"/>
        <v>105</v>
      </c>
      <c r="G29" s="624">
        <f t="shared" si="18"/>
        <v>294</v>
      </c>
      <c r="H29" s="624">
        <f t="shared" si="18"/>
        <v>249</v>
      </c>
      <c r="I29" s="624">
        <f t="shared" si="18"/>
        <v>144</v>
      </c>
      <c r="J29" s="624">
        <f t="shared" si="18"/>
        <v>96</v>
      </c>
      <c r="K29" s="625">
        <f>SUM(B29:J29)</f>
        <v>1276</v>
      </c>
      <c r="M29" s="373">
        <v>5</v>
      </c>
      <c r="N29" s="372">
        <v>54</v>
      </c>
      <c r="O29" s="372">
        <v>70</v>
      </c>
      <c r="P29" s="372">
        <v>54</v>
      </c>
      <c r="Q29" s="372">
        <v>115</v>
      </c>
      <c r="R29" s="372">
        <v>82</v>
      </c>
      <c r="S29" s="372">
        <v>49</v>
      </c>
      <c r="T29" s="372">
        <v>37</v>
      </c>
      <c r="U29" s="372">
        <v>46</v>
      </c>
      <c r="V29" s="372">
        <v>28</v>
      </c>
      <c r="W29" s="372">
        <v>48</v>
      </c>
      <c r="X29" s="372">
        <v>27</v>
      </c>
      <c r="Y29" s="372">
        <v>4</v>
      </c>
      <c r="Z29" s="372">
        <v>74</v>
      </c>
      <c r="AA29" s="372">
        <v>74</v>
      </c>
      <c r="AB29" s="372">
        <v>163</v>
      </c>
      <c r="AC29" s="372">
        <v>247</v>
      </c>
      <c r="AD29" s="372">
        <v>159</v>
      </c>
      <c r="AE29" s="372">
        <v>352</v>
      </c>
      <c r="AF29" s="372">
        <v>182</v>
      </c>
      <c r="AG29" s="372">
        <v>170</v>
      </c>
      <c r="AH29" s="373">
        <v>4</v>
      </c>
      <c r="AI29" s="372"/>
      <c r="AK29" s="462">
        <v>4</v>
      </c>
      <c r="AL29" s="459">
        <f>IFERROR(INDEX(状態像区分入院時住所地_1年以上[#All],MATCH(4,状態像区分入院時住所地_1年以上[[#All],[行ラベル]],0),MATCH($AJ$2,状態像区分入院時住所地_1年以上[#Headers],0)),0)+IFERROR(INDEX(状態像区分入院時住所地_1年以上[#All],MATCH(4,状態像区分入院時住所地_1年以上[[#All],[行ラベル]],0),MATCH($AK$2,状態像区分入院時住所地_1年以上[#Headers],0)),0)+IFERROR(INDEX(状態像区分入院時住所地_1年以上[#All],MATCH(4,状態像区分入院時住所地_1年以上[[#All],[行ラベル]],0),MATCH($AL$2,状態像区分入院時住所地_1年以上[#Headers],0)),0)</f>
        <v>287</v>
      </c>
      <c r="AM29" s="460">
        <f>IFERROR(INDEX(状態像区分入院時住所地_1年以上[#All],MATCH(4,状態像区分入院時住所地_1年以上[[#All],[行ラベル]],0),MATCH($AM$2,状態像区分入院時住所地_1年以上[#Headers],0)),0)+IFERROR(INDEX(状態像区分入院時住所地_1年以上[#All],MATCH(4,状態像区分入院時住所地_1年以上[[#All],[行ラベル]],0),MATCH($AN$2,状態像区分入院時住所地_1年以上[#Headers],0)),0)</f>
        <v>268</v>
      </c>
      <c r="AN29" s="460">
        <f>IFERROR(INDEX(状態像区分入院時住所地_1年以上[#All],MATCH(4,状態像区分入院時住所地_1年以上[[#All],[行ラベル]],0),MATCH($AO$2,状態像区分入院時住所地_1年以上[#Headers],0)),0)+IFERROR(INDEX(状態像区分入院時住所地_1年以上[#All],MATCH(4,状態像区分入院時住所地_1年以上[[#All],[行ラベル]],0),MATCH($AP$2,状態像区分入院時住所地_1年以上[#Headers],0)),0)+IFERROR(INDEX(状態像区分入院時住所地_1年以上[#All],MATCH(4,状態像区分入院時住所地_1年以上[[#All],[行ラベル]],0),MATCH($AQ$2,状態像区分入院時住所地_1年以上[#Headers],0)),0)+IFERROR(INDEX(状態像区分入院時住所地_1年以上[#All],MATCH(4,状態像区分入院時住所地_1年以上[[#All],[行ラベル]],0),MATCH($AR$2,状態像区分入院時住所地_1年以上[#Headers],0)),0)</f>
        <v>253</v>
      </c>
      <c r="AO29" s="460">
        <f>IFERROR(INDEX(状態像区分入院時住所地_1年以上[#All],MATCH(4,状態像区分入院時住所地_1年以上[[#All],[行ラベル]],0),MATCH($AS$2,状態像区分入院時住所地_1年以上[#Headers],0)),0)+IFERROR(INDEX(状態像区分入院時住所地_1年以上[#All],MATCH(4,状態像区分入院時住所地_1年以上[[#All],[行ラベル]],0),MATCH($AT$2,状態像区分入院時住所地_1年以上[#Headers],0)),0)+IFERROR(INDEX(状態像区分入院時住所地_1年以上[#All],MATCH(4,状態像区分入院時住所地_1年以上[[#All],[行ラベル]],0),MATCH($AU$2,状態像区分入院時住所地_1年以上[#Headers],0)),0)</f>
        <v>225</v>
      </c>
      <c r="AP29" s="460">
        <f>IFERROR(INDEX(状態像区分入院時住所地_1年以上[#All],MATCH(4,状態像区分入院時住所地_1年以上[[#All],[行ラベル]],0),MATCH($AV$2,状態像区分入院時住所地_1年以上[#Headers],0)),0)+IFERROR(INDEX(状態像区分入院時住所地_1年以上[#All],MATCH(4,状態像区分入院時住所地_1年以上[[#All],[行ラベル]],0),MATCH($AW$2,状態像区分入院時住所地_1年以上[#Headers],0)),0)</f>
        <v>227</v>
      </c>
      <c r="AQ29" s="460">
        <f>IFERROR(INDEX(状態像区分入院時住所地_1年以上[#All],MATCH(4,状態像区分入院時住所地_1年以上[[#All],[行ラベル]],0),MATCH($AX$2,状態像区分入院時住所地_1年以上[#Headers],0)),0)+IFERROR(INDEX(状態像区分入院時住所地_1年以上[#All],MATCH(4,状態像区分入院時住所地_1年以上[[#All],[行ラベル]],0),MATCH($AY$2,状態像区分入院時住所地_1年以上[#Headers],0)),0)+IFERROR(INDEX(状態像区分入院時住所地_1年以上[#All],MATCH(4,状態像区分入院時住所地_1年以上[[#All],[行ラベル]],0),MATCH($AZ$2,状態像区分入院時住所地_1年以上[#Headers],0)),0)</f>
        <v>839</v>
      </c>
      <c r="AR29" s="460">
        <f>IFERROR(INDEX(状態像区分入院時住所地_1年以上[#All],MATCH(4,状態像区分入院時住所地_1年以上[[#All],[行ラベル]],0),MATCH($BA$2,状態像区分入院時住所地_1年以上[#Headers],0)),0)</f>
        <v>573</v>
      </c>
      <c r="AS29" s="461">
        <f>IFERROR(INDEX(状態像区分入院時住所地_1年以上[#All],MATCH(4,状態像区分入院時住所地_1年以上[[#All],[行ラベル]],0),MATCH($BB$2,状態像区分入院時住所地_1年以上[#Headers],0)),0)</f>
        <v>341</v>
      </c>
      <c r="AT29" s="461">
        <f>IFERROR(INDEX(状態像区分入院時住所地_1年以上[#All],MATCH(4,状態像区分入院時住所地_1年以上[[#All],[行ラベル]],0),MATCH($BC$2,状態像区分入院時住所地_1年以上[#Headers],0)),0)+IFERROR(INDEX(状態像区分入院時住所地_1年以上[#All],MATCH(4,状態像区分入院時住所地_1年以上[[#All],[行ラベル]],0),MATCH($BD$2,状態像区分入院時住所地_1年以上[#Headers],0)),0)</f>
        <v>279</v>
      </c>
    </row>
    <row r="30" spans="1:46" x14ac:dyDescent="0.2">
      <c r="A30" s="620"/>
      <c r="B30" s="627">
        <f t="shared" ref="B30:J30" si="19">IFERROR(B29/B$37,"-")</f>
        <v>0.13658536585365855</v>
      </c>
      <c r="C30" s="627">
        <f t="shared" si="19"/>
        <v>0.16250000000000001</v>
      </c>
      <c r="D30" s="627">
        <f t="shared" si="19"/>
        <v>0.14438502673796791</v>
      </c>
      <c r="E30" s="627">
        <f t="shared" si="19"/>
        <v>0.2404040404040404</v>
      </c>
      <c r="F30" s="627">
        <f t="shared" si="19"/>
        <v>0.19125683060109289</v>
      </c>
      <c r="G30" s="627">
        <f t="shared" si="19"/>
        <v>0.15806451612903225</v>
      </c>
      <c r="H30" s="627">
        <f t="shared" si="19"/>
        <v>0.18513011152416356</v>
      </c>
      <c r="I30" s="627">
        <f t="shared" si="19"/>
        <v>0.19618528610354224</v>
      </c>
      <c r="J30" s="627">
        <f t="shared" si="19"/>
        <v>0.15141955835962145</v>
      </c>
      <c r="K30" s="627">
        <f>IFERROR(K29/K$37,"-")</f>
        <v>0.17166689089196824</v>
      </c>
      <c r="M30" s="375">
        <v>6</v>
      </c>
      <c r="N30" s="374">
        <v>4</v>
      </c>
      <c r="O30" s="374">
        <v>10</v>
      </c>
      <c r="P30" s="374">
        <v>13</v>
      </c>
      <c r="Q30" s="374">
        <v>20</v>
      </c>
      <c r="R30" s="374">
        <v>22</v>
      </c>
      <c r="S30" s="374">
        <v>11</v>
      </c>
      <c r="T30" s="374">
        <v>3</v>
      </c>
      <c r="U30" s="374">
        <v>15</v>
      </c>
      <c r="V30" s="374">
        <v>3</v>
      </c>
      <c r="W30" s="374">
        <v>4</v>
      </c>
      <c r="X30" s="374">
        <v>6</v>
      </c>
      <c r="Y30" s="374">
        <v>5</v>
      </c>
      <c r="Z30" s="374">
        <v>10</v>
      </c>
      <c r="AA30" s="374">
        <v>19</v>
      </c>
      <c r="AB30" s="374">
        <v>13</v>
      </c>
      <c r="AC30" s="374">
        <v>13</v>
      </c>
      <c r="AD30" s="374">
        <v>19</v>
      </c>
      <c r="AE30" s="374">
        <v>62</v>
      </c>
      <c r="AF30" s="374">
        <v>12</v>
      </c>
      <c r="AG30" s="374">
        <v>33</v>
      </c>
      <c r="AH30" s="375">
        <v>4</v>
      </c>
      <c r="AI30" s="374"/>
      <c r="AK30" s="462">
        <v>5</v>
      </c>
      <c r="AL30" s="459">
        <f>IFERROR(INDEX(状態像区分入院時住所地_1年以上[#All],MATCH(5,状態像区分入院時住所地_1年以上[[#All],[行ラベル]],0),MATCH($AJ$2,状態像区分入院時住所地_1年以上[#Headers],0)),0)+IFERROR(INDEX(状態像区分入院時住所地_1年以上[#All],MATCH(5,状態像区分入院時住所地_1年以上[[#All],[行ラベル]],0),MATCH($AK$2,状態像区分入院時住所地_1年以上[#Headers],0)),0)+IFERROR(INDEX(状態像区分入院時住所地_1年以上[#All],MATCH(5,状態像区分入院時住所地_1年以上[[#All],[行ラベル]],0),MATCH($AL$2,状態像区分入院時住所地_1年以上[#Headers],0)),0)</f>
        <v>178</v>
      </c>
      <c r="AM30" s="460">
        <f>IFERROR(INDEX(状態像区分入院時住所地_1年以上[#All],MATCH(5,状態像区分入院時住所地_1年以上[[#All],[行ラベル]],0),MATCH($AM$2,状態像区分入院時住所地_1年以上[#Headers],0)),0)+IFERROR(INDEX(状態像区分入院時住所地_1年以上[#All],MATCH(5,状態像区分入院時住所地_1年以上[[#All],[行ラベル]],0),MATCH($AN$2,状態像区分入院時住所地_1年以上[#Headers],0)),0)</f>
        <v>197</v>
      </c>
      <c r="AN30" s="460">
        <f>IFERROR(INDEX(状態像区分入院時住所地_1年以上[#All],MATCH(5,状態像区分入院時住所地_1年以上[[#All],[行ラベル]],0),MATCH($AO$2,状態像区分入院時住所地_1年以上[#Headers],0)),0)+IFERROR(INDEX(状態像区分入院時住所地_1年以上[#All],MATCH(5,状態像区分入院時住所地_1年以上[[#All],[行ラベル]],0),MATCH($AP$2,状態像区分入院時住所地_1年以上[#Headers],0)),0)+IFERROR(INDEX(状態像区分入院時住所地_1年以上[#All],MATCH(5,状態像区分入院時住所地_1年以上[[#All],[行ラベル]],0),MATCH($AQ$2,状態像区分入院時住所地_1年以上[#Headers],0)),0)+IFERROR(INDEX(状態像区分入院時住所地_1年以上[#All],MATCH(5,状態像区分入院時住所地_1年以上[[#All],[行ラベル]],0),MATCH($AR$2,状態像区分入院時住所地_1年以上[#Headers],0)),0)</f>
        <v>160</v>
      </c>
      <c r="AO30" s="460">
        <f>IFERROR(INDEX(状態像区分入院時住所地_1年以上[#All],MATCH(5,状態像区分入院時住所地_1年以上[[#All],[行ラベル]],0),MATCH($AS$2,状態像区分入院時住所地_1年以上[#Headers],0)),0)+IFERROR(INDEX(状態像区分入院時住所地_1年以上[#All],MATCH(5,状態像区分入院時住所地_1年以上[[#All],[行ラベル]],0),MATCH($AT$2,状態像区分入院時住所地_1年以上[#Headers],0)),0)+IFERROR(INDEX(状態像区分入院時住所地_1年以上[#All],MATCH(5,状態像区分入院時住所地_1年以上[[#All],[行ラベル]],0),MATCH($AU$2,状態像区分入院時住所地_1年以上[#Headers],0)),0)</f>
        <v>79</v>
      </c>
      <c r="AP30" s="460">
        <f>IFERROR(INDEX(状態像区分入院時住所地_1年以上[#All],MATCH(5,状態像区分入院時住所地_1年以上[[#All],[行ラベル]],0),MATCH($AV$2,状態像区分入院時住所地_1年以上[#Headers],0)),0)+IFERROR(INDEX(状態像区分入院時住所地_1年以上[#All],MATCH(5,状態像区分入院時住所地_1年以上[[#All],[行ラベル]],0),MATCH($AW$2,状態像区分入院時住所地_1年以上[#Headers],0)),0)</f>
        <v>148</v>
      </c>
      <c r="AQ30" s="460">
        <f>IFERROR(INDEX(状態像区分入院時住所地_1年以上[#All],MATCH(5,状態像区分入院時住所地_1年以上[[#All],[行ラベル]],0),MATCH($AX$2,状態像区分入院時住所地_1年以上[#Headers],0)),0)+IFERROR(INDEX(状態像区分入院時住所地_1年以上[#All],MATCH(5,状態像区分入院時住所地_1年以上[[#All],[行ラベル]],0),MATCH($AY$2,状態像区分入院時住所地_1年以上[#Headers],0)),0)+IFERROR(INDEX(状態像区分入院時住所地_1年以上[#All],MATCH(5,状態像区分入院時住所地_1年以上[[#All],[行ラベル]],0),MATCH($AZ$2,状態像区分入院時住所地_1年以上[#Headers],0)),0)</f>
        <v>569</v>
      </c>
      <c r="AR30" s="460">
        <f>IFERROR(INDEX(状態像区分入院時住所地_1年以上[#All],MATCH(5,状態像区分入院時住所地_1年以上[[#All],[行ラベル]],0),MATCH($BA$2,状態像区分入院時住所地_1年以上[#Headers],0)),0)</f>
        <v>352</v>
      </c>
      <c r="AS30" s="461">
        <f>IFERROR(INDEX(状態像区分入院時住所地_1年以上[#All],MATCH(5,状態像区分入院時住所地_1年以上[[#All],[行ラベル]],0),MATCH($BB$2,状態像区分入院時住所地_1年以上[#Headers],0)),0)</f>
        <v>182</v>
      </c>
      <c r="AT30" s="461">
        <f>IFERROR(INDEX(状態像区分入院時住所地_1年以上[#All],MATCH(5,状態像区分入院時住所地_1年以上[[#All],[行ラベル]],0),MATCH($BC$2,状態像区分入院時住所地_1年以上[#Headers],0)),0)+IFERROR(INDEX(状態像区分入院時住所地_1年以上[#All],MATCH(5,状態像区分入院時住所地_1年以上[[#All],[行ラベル]],0),MATCH($BD$2,状態像区分入院時住所地_1年以上[#Headers],0)),0)</f>
        <v>174</v>
      </c>
    </row>
    <row r="31" spans="1:46" ht="18" thickBot="1" x14ac:dyDescent="0.25">
      <c r="A31" s="619" t="s">
        <v>31</v>
      </c>
      <c r="B31" s="624">
        <f>AL29</f>
        <v>287</v>
      </c>
      <c r="C31" s="624">
        <f t="shared" ref="C31:J31" si="20">AM29</f>
        <v>268</v>
      </c>
      <c r="D31" s="624">
        <f t="shared" si="20"/>
        <v>253</v>
      </c>
      <c r="E31" s="624">
        <f t="shared" si="20"/>
        <v>225</v>
      </c>
      <c r="F31" s="624">
        <f t="shared" si="20"/>
        <v>227</v>
      </c>
      <c r="G31" s="624">
        <f t="shared" si="20"/>
        <v>839</v>
      </c>
      <c r="H31" s="624">
        <f t="shared" si="20"/>
        <v>573</v>
      </c>
      <c r="I31" s="624">
        <f t="shared" si="20"/>
        <v>341</v>
      </c>
      <c r="J31" s="624">
        <f t="shared" si="20"/>
        <v>279</v>
      </c>
      <c r="K31" s="624">
        <f>SUM(B31:J31)</f>
        <v>3292</v>
      </c>
      <c r="M31" s="375" t="s">
        <v>244</v>
      </c>
      <c r="N31" s="374">
        <v>179</v>
      </c>
      <c r="O31" s="374">
        <v>237</v>
      </c>
      <c r="P31" s="374">
        <v>199</v>
      </c>
      <c r="Q31" s="374">
        <v>358</v>
      </c>
      <c r="R31" s="374">
        <v>282</v>
      </c>
      <c r="S31" s="374">
        <v>197</v>
      </c>
      <c r="T31" s="374">
        <v>115</v>
      </c>
      <c r="U31" s="374">
        <v>144</v>
      </c>
      <c r="V31" s="374">
        <v>105</v>
      </c>
      <c r="W31" s="374">
        <v>320</v>
      </c>
      <c r="X31" s="374">
        <v>133</v>
      </c>
      <c r="Y31" s="374">
        <v>42</v>
      </c>
      <c r="Z31" s="374">
        <v>260</v>
      </c>
      <c r="AA31" s="374">
        <v>289</v>
      </c>
      <c r="AB31" s="374">
        <v>522</v>
      </c>
      <c r="AC31" s="374">
        <v>800</v>
      </c>
      <c r="AD31" s="374">
        <v>538</v>
      </c>
      <c r="AE31" s="374">
        <v>1345</v>
      </c>
      <c r="AF31" s="374">
        <v>734</v>
      </c>
      <c r="AG31" s="374">
        <v>596</v>
      </c>
      <c r="AH31" s="375">
        <v>38</v>
      </c>
      <c r="AI31" s="374"/>
      <c r="AK31" s="466">
        <v>6</v>
      </c>
      <c r="AL31" s="459">
        <f>IFERROR(INDEX(状態像区分入院時住所地_1年以上[#All],MATCH(6,状態像区分入院時住所地_1年以上[[#All],[行ラベル]],0),MATCH($AJ$2,状態像区分入院時住所地_1年以上[#Headers],0)),0)+IFERROR(INDEX(状態像区分入院時住所地_1年以上[#All],MATCH(6,状態像区分入院時住所地_1年以上[[#All],[行ラベル]],0),MATCH($AK$2,状態像区分入院時住所地_1年以上[#Headers],0)),0)+IFERROR(INDEX(状態像区分入院時住所地_1年以上[#All],MATCH(6,状態像区分入院時住所地_1年以上[[#All],[行ラベル]],0),MATCH($AL$2,状態像区分入院時住所地_1年以上[#Headers],0)),0)</f>
        <v>27</v>
      </c>
      <c r="AM31" s="460">
        <f>IFERROR(INDEX(状態像区分入院時住所地_1年以上[#All],MATCH(6,状態像区分入院時住所地_1年以上[[#All],[行ラベル]],0),MATCH($AM$2,状態像区分入院時住所地_1年以上[#Headers],0)),0)+IFERROR(INDEX(状態像区分入院時住所地_1年以上[#All],MATCH(6,状態像区分入院時住所地_1年以上[[#All],[行ラベル]],0),MATCH($AN$2,状態像区分入院時住所地_1年以上[#Headers],0)),0)</f>
        <v>42</v>
      </c>
      <c r="AN31" s="460">
        <f>IFERROR(INDEX(状態像区分入院時住所地_1年以上[#All],MATCH(6,状態像区分入院時住所地_1年以上[[#All],[行ラベル]],0),MATCH($AO$2,状態像区分入院時住所地_1年以上[#Headers],0)),0)+IFERROR(INDEX(状態像区分入院時住所地_1年以上[#All],MATCH(6,状態像区分入院時住所地_1年以上[[#All],[行ラベル]],0),MATCH($AP$2,状態像区分入院時住所地_1年以上[#Headers],0)),0)+IFERROR(INDEX(状態像区分入院時住所地_1年以上[#All],MATCH(6,状態像区分入院時住所地_1年以上[[#All],[行ラベル]],0),MATCH($AQ$2,状態像区分入院時住所地_1年以上[#Headers],0)),0)+IFERROR(INDEX(状態像区分入院時住所地_1年以上[#All],MATCH(6,状態像区分入院時住所地_1年以上[[#All],[行ラベル]],0),MATCH($AR$2,状態像区分入院時住所地_1年以上[#Headers],0)),0)</f>
        <v>32</v>
      </c>
      <c r="AO31" s="460">
        <f>IFERROR(INDEX(状態像区分入院時住所地_1年以上[#All],MATCH(6,状態像区分入院時住所地_1年以上[[#All],[行ラベル]],0),MATCH($AS$2,状態像区分入院時住所地_1年以上[#Headers],0)),0)+IFERROR(INDEX(状態像区分入院時住所地_1年以上[#All],MATCH(6,状態像区分入院時住所地_1年以上[[#All],[行ラベル]],0),MATCH($AT$2,状態像区分入院時住所地_1年以上[#Headers],0)),0)+IFERROR(INDEX(状態像区分入院時住所地_1年以上[#All],MATCH(6,状態像区分入院時住所地_1年以上[[#All],[行ラベル]],0),MATCH($AU$2,状態像区分入院時住所地_1年以上[#Headers],0)),0)</f>
        <v>15</v>
      </c>
      <c r="AP31" s="460">
        <f>IFERROR(INDEX(状態像区分入院時住所地_1年以上[#All],MATCH(6,状態像区分入院時住所地_1年以上[[#All],[行ラベル]],0),MATCH($AV$2,状態像区分入院時住所地_1年以上[#Headers],0)),0)+IFERROR(INDEX(状態像区分入院時住所地_1年以上[#All],MATCH(6,状態像区分入院時住所地_1年以上[[#All],[行ラベル]],0),MATCH($AW$2,状態像区分入院時住所地_1年以上[#Headers],0)),0)</f>
        <v>29</v>
      </c>
      <c r="AQ31" s="460">
        <f>IFERROR(INDEX(状態像区分入院時住所地_1年以上[#All],MATCH(6,状態像区分入院時住所地_1年以上[[#All],[行ラベル]],0),MATCH($AX$2,状態像区分入院時住所地_1年以上[#Headers],0)),0)+IFERROR(INDEX(状態像区分入院時住所地_1年以上[#All],MATCH(6,状態像区分入院時住所地_1年以上[[#All],[行ラベル]],0),MATCH($AY$2,状態像区分入院時住所地_1年以上[#Headers],0)),0)+IFERROR(INDEX(状態像区分入院時住所地_1年以上[#All],MATCH(6,状態像区分入院時住所地_1年以上[[#All],[行ラベル]],0),MATCH($AZ$2,状態像区分入院時住所地_1年以上[#Headers],0)),0)</f>
        <v>45</v>
      </c>
      <c r="AR31" s="460">
        <f>IFERROR(INDEX(状態像区分入院時住所地_1年以上[#All],MATCH(6,状態像区分入院時住所地_1年以上[[#All],[行ラベル]],0),MATCH($BA$2,状態像区分入院時住所地_1年以上[#Headers],0)),0)</f>
        <v>62</v>
      </c>
      <c r="AS31" s="461">
        <f>IFERROR(INDEX(状態像区分入院時住所地_1年以上[#All],MATCH(6,状態像区分入院時住所地_1年以上[[#All],[行ラベル]],0),MATCH($BB$2,状態像区分入院時住所地_1年以上[#Headers],0)),0)</f>
        <v>12</v>
      </c>
      <c r="AT31" s="461">
        <f>IFERROR(INDEX(状態像区分入院時住所地_1年以上[#All],MATCH(6,状態像区分入院時住所地_1年以上[[#All],[行ラベル]],0),MATCH($BC$2,状態像区分入院時住所地_1年以上[#Headers],0)),0)+IFERROR(INDEX(状態像区分入院時住所地_1年以上[#All],MATCH(6,状態像区分入院時住所地_1年以上[[#All],[行ラベル]],0),MATCH($BD$2,状態像区分入院時住所地_1年以上[#Headers],0)),0)</f>
        <v>37</v>
      </c>
    </row>
    <row r="32" spans="1:46" x14ac:dyDescent="0.2">
      <c r="A32" s="620"/>
      <c r="B32" s="627">
        <f t="shared" ref="B32:J32" si="21">IFERROR(B31/B$37,"-")</f>
        <v>0.46666666666666667</v>
      </c>
      <c r="C32" s="627">
        <f t="shared" si="21"/>
        <v>0.41875000000000001</v>
      </c>
      <c r="D32" s="627">
        <f t="shared" si="21"/>
        <v>0.45098039215686275</v>
      </c>
      <c r="E32" s="627">
        <f t="shared" si="21"/>
        <v>0.45454545454545453</v>
      </c>
      <c r="F32" s="627">
        <f t="shared" si="21"/>
        <v>0.4134790528233151</v>
      </c>
      <c r="G32" s="627">
        <f t="shared" si="21"/>
        <v>0.45107526881720428</v>
      </c>
      <c r="H32" s="627">
        <f t="shared" si="21"/>
        <v>0.42602230483271375</v>
      </c>
      <c r="I32" s="627">
        <f t="shared" si="21"/>
        <v>0.4645776566757493</v>
      </c>
      <c r="J32" s="627">
        <f t="shared" si="21"/>
        <v>0.44006309148264983</v>
      </c>
      <c r="K32" s="627">
        <f>IFERROR(K31/K$37,"-")</f>
        <v>0.44288981568680208</v>
      </c>
    </row>
    <row r="33" spans="1:11" x14ac:dyDescent="0.2">
      <c r="A33" s="619" t="s">
        <v>32</v>
      </c>
      <c r="B33" s="624">
        <f>AL30</f>
        <v>178</v>
      </c>
      <c r="C33" s="624">
        <f t="shared" ref="C33:J33" si="22">AM30</f>
        <v>197</v>
      </c>
      <c r="D33" s="624">
        <f t="shared" si="22"/>
        <v>160</v>
      </c>
      <c r="E33" s="624">
        <f t="shared" si="22"/>
        <v>79</v>
      </c>
      <c r="F33" s="624">
        <f t="shared" si="22"/>
        <v>148</v>
      </c>
      <c r="G33" s="624">
        <f t="shared" si="22"/>
        <v>569</v>
      </c>
      <c r="H33" s="624">
        <f t="shared" si="22"/>
        <v>352</v>
      </c>
      <c r="I33" s="624">
        <f t="shared" si="22"/>
        <v>182</v>
      </c>
      <c r="J33" s="624">
        <f t="shared" si="22"/>
        <v>174</v>
      </c>
      <c r="K33" s="624">
        <f>SUM(B33:J33)</f>
        <v>2039</v>
      </c>
    </row>
    <row r="34" spans="1:11" x14ac:dyDescent="0.2">
      <c r="A34" s="620"/>
      <c r="B34" s="627">
        <f t="shared" ref="B34:J34" si="23">IFERROR(B33/B$37,"-")</f>
        <v>0.28943089430894309</v>
      </c>
      <c r="C34" s="627">
        <f t="shared" si="23"/>
        <v>0.30781249999999999</v>
      </c>
      <c r="D34" s="627">
        <f t="shared" si="23"/>
        <v>0.28520499108734404</v>
      </c>
      <c r="E34" s="627">
        <f t="shared" si="23"/>
        <v>0.1595959595959596</v>
      </c>
      <c r="F34" s="627">
        <f t="shared" si="23"/>
        <v>0.26958105646630237</v>
      </c>
      <c r="G34" s="627">
        <f t="shared" si="23"/>
        <v>0.30591397849462365</v>
      </c>
      <c r="H34" s="627">
        <f t="shared" si="23"/>
        <v>0.26171003717472119</v>
      </c>
      <c r="I34" s="627">
        <f t="shared" si="23"/>
        <v>0.24795640326975477</v>
      </c>
      <c r="J34" s="627">
        <f t="shared" si="23"/>
        <v>0.27444794952681389</v>
      </c>
      <c r="K34" s="627">
        <f>IFERROR(K33/K$37,"-")</f>
        <v>0.27431723395667967</v>
      </c>
    </row>
    <row r="35" spans="1:11" x14ac:dyDescent="0.2">
      <c r="A35" s="619" t="s">
        <v>33</v>
      </c>
      <c r="B35" s="624">
        <f>AL31</f>
        <v>27</v>
      </c>
      <c r="C35" s="624">
        <f t="shared" ref="C35:J35" si="24">AM31</f>
        <v>42</v>
      </c>
      <c r="D35" s="624">
        <f t="shared" si="24"/>
        <v>32</v>
      </c>
      <c r="E35" s="624">
        <f t="shared" si="24"/>
        <v>15</v>
      </c>
      <c r="F35" s="624">
        <f t="shared" si="24"/>
        <v>29</v>
      </c>
      <c r="G35" s="624">
        <f t="shared" si="24"/>
        <v>45</v>
      </c>
      <c r="H35" s="624">
        <f t="shared" si="24"/>
        <v>62</v>
      </c>
      <c r="I35" s="624">
        <f t="shared" si="24"/>
        <v>12</v>
      </c>
      <c r="J35" s="624">
        <f t="shared" si="24"/>
        <v>37</v>
      </c>
      <c r="K35" s="625">
        <f>SUM(B35:J35)</f>
        <v>301</v>
      </c>
    </row>
    <row r="36" spans="1:11" x14ac:dyDescent="0.2">
      <c r="A36" s="620"/>
      <c r="B36" s="627">
        <f t="shared" ref="B36:J36" si="25">IFERROR(B35/B$37,"-")</f>
        <v>4.3902439024390241E-2</v>
      </c>
      <c r="C36" s="627">
        <f t="shared" si="25"/>
        <v>6.5625000000000003E-2</v>
      </c>
      <c r="D36" s="627">
        <f t="shared" si="25"/>
        <v>5.7040998217468802E-2</v>
      </c>
      <c r="E36" s="627">
        <f t="shared" si="25"/>
        <v>3.0303030303030304E-2</v>
      </c>
      <c r="F36" s="627">
        <f t="shared" si="25"/>
        <v>5.2823315118397086E-2</v>
      </c>
      <c r="G36" s="627">
        <f t="shared" si="25"/>
        <v>2.4193548387096774E-2</v>
      </c>
      <c r="H36" s="627">
        <f t="shared" si="25"/>
        <v>4.6096654275092935E-2</v>
      </c>
      <c r="I36" s="627">
        <f t="shared" si="25"/>
        <v>1.6348773841961851E-2</v>
      </c>
      <c r="J36" s="627">
        <f t="shared" si="25"/>
        <v>5.8359621451104099E-2</v>
      </c>
      <c r="K36" s="627">
        <f>IFERROR(K35/K$37,"-")</f>
        <v>4.0495089465895334E-2</v>
      </c>
    </row>
    <row r="37" spans="1:11" x14ac:dyDescent="0.2">
      <c r="A37" s="631" t="s">
        <v>431</v>
      </c>
      <c r="B37" s="437">
        <f t="shared" ref="B37:J37" si="26">SUM(B25,B27,B29,B31,B33,B35)</f>
        <v>615</v>
      </c>
      <c r="C37" s="437">
        <f t="shared" si="26"/>
        <v>640</v>
      </c>
      <c r="D37" s="437">
        <f t="shared" si="26"/>
        <v>561</v>
      </c>
      <c r="E37" s="437">
        <f t="shared" si="26"/>
        <v>495</v>
      </c>
      <c r="F37" s="437">
        <f t="shared" si="26"/>
        <v>549</v>
      </c>
      <c r="G37" s="437">
        <f t="shared" si="26"/>
        <v>1860</v>
      </c>
      <c r="H37" s="437">
        <f t="shared" si="26"/>
        <v>1345</v>
      </c>
      <c r="I37" s="437">
        <f t="shared" si="26"/>
        <v>734</v>
      </c>
      <c r="J37" s="437">
        <f t="shared" si="26"/>
        <v>634</v>
      </c>
      <c r="K37" s="438">
        <f>SUM(K25,K27,K29,K31,K33,K35)</f>
        <v>7433</v>
      </c>
    </row>
    <row r="38" spans="1:11" x14ac:dyDescent="0.2">
      <c r="A38" s="632"/>
      <c r="B38" s="439">
        <f>IFERROR(B37/$K$37,"-")</f>
        <v>8.2739136284138301E-2</v>
      </c>
      <c r="C38" s="439">
        <f t="shared" ref="C38:J38" si="27">IFERROR(C37/$K$37,"-")</f>
        <v>8.6102515807883764E-2</v>
      </c>
      <c r="D38" s="439">
        <f t="shared" si="27"/>
        <v>7.5474236512848111E-2</v>
      </c>
      <c r="E38" s="439">
        <f t="shared" si="27"/>
        <v>6.6594914570160091E-2</v>
      </c>
      <c r="F38" s="439">
        <f t="shared" si="27"/>
        <v>7.3859814341450294E-2</v>
      </c>
      <c r="G38" s="439">
        <f t="shared" si="27"/>
        <v>0.25023543656666219</v>
      </c>
      <c r="H38" s="439">
        <f t="shared" si="27"/>
        <v>0.18094981837750571</v>
      </c>
      <c r="I38" s="439">
        <f t="shared" si="27"/>
        <v>9.8748822817166695E-2</v>
      </c>
      <c r="J38" s="439">
        <f t="shared" si="27"/>
        <v>8.5295304722184856E-2</v>
      </c>
      <c r="K38" s="439">
        <f>SUM(K26,K28,K30,K32,K34,K36)</f>
        <v>1</v>
      </c>
    </row>
  </sheetData>
  <phoneticPr fontId="2"/>
  <printOptions horizontalCentered="1"/>
  <pageMargins left="0.70866141732283472" right="0.70866141732283472" top="0.74803149606299213" bottom="0.74803149606299213"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4993" r:id="rId4" name="Button 1">
              <controlPr defaultSize="0" print="0" autoFill="0" autoPict="0" macro="[0]!データ削除_状態像区分入院時住所地">
                <anchor moveWithCells="1" sizeWithCells="1">
                  <from>
                    <xdr:col>12</xdr:col>
                    <xdr:colOff>45720</xdr:colOff>
                    <xdr:row>15</xdr:row>
                    <xdr:rowOff>22860</xdr:rowOff>
                  </from>
                  <to>
                    <xdr:col>15</xdr:col>
                    <xdr:colOff>274320</xdr:colOff>
                    <xdr:row>17</xdr:row>
                    <xdr:rowOff>160020</xdr:rowOff>
                  </to>
                </anchor>
              </controlPr>
            </control>
          </mc:Choice>
        </mc:AlternateContent>
      </controls>
    </mc:Choice>
  </mc:AlternateContent>
  <tableParts count="2">
    <tablePart r:id="rId5"/>
    <tablePart r:id="rId6"/>
  </tablePart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7A2D-299D-4A22-813E-6F50FFD654EB}">
  <sheetPr codeName="Sheet44">
    <tabColor theme="5" tint="0.39997558519241921"/>
    <pageSetUpPr fitToPage="1"/>
  </sheetPr>
  <dimension ref="A1:AJ66"/>
  <sheetViews>
    <sheetView showGridLines="0" view="pageBreakPreview" zoomScale="80" zoomScaleNormal="70" zoomScaleSheetLayoutView="80" workbookViewId="0"/>
  </sheetViews>
  <sheetFormatPr defaultColWidth="7.109375" defaultRowHeight="17.399999999999999" x14ac:dyDescent="0.2"/>
  <cols>
    <col min="1" max="1" width="31.77734375" style="676" customWidth="1"/>
    <col min="2" max="10" width="8.77734375" style="676" customWidth="1"/>
    <col min="11" max="11" width="11.21875" style="676" bestFit="1" customWidth="1"/>
    <col min="12" max="12" width="7.21875" style="676" hidden="1" customWidth="1"/>
    <col min="13" max="13" width="10.33203125" style="676" hidden="1" customWidth="1"/>
    <col min="14" max="14" width="10.77734375" style="676" hidden="1" customWidth="1"/>
    <col min="15" max="16" width="12.44140625" style="676" hidden="1" customWidth="1"/>
    <col min="17" max="17" width="8.88671875" style="676" hidden="1" customWidth="1"/>
    <col min="18" max="18" width="12.44140625" style="676" hidden="1" customWidth="1"/>
    <col min="19" max="19" width="14.21875" style="676" hidden="1" customWidth="1"/>
    <col min="20" max="20" width="16.109375" style="676" hidden="1" customWidth="1"/>
    <col min="21" max="22" width="12.44140625" style="676" hidden="1" customWidth="1"/>
    <col min="23" max="23" width="16.109375" style="676" hidden="1" customWidth="1"/>
    <col min="24" max="24" width="14.21875" style="676" hidden="1" customWidth="1"/>
    <col min="25" max="27" width="12.44140625" style="676" hidden="1" customWidth="1"/>
    <col min="28" max="31" width="10.77734375" style="676" hidden="1" customWidth="1"/>
    <col min="32" max="32" width="8.88671875" style="676" hidden="1" customWidth="1"/>
    <col min="33" max="33" width="10.77734375" style="676" hidden="1" customWidth="1"/>
    <col min="34" max="34" width="14.21875" style="676" hidden="1" customWidth="1"/>
    <col min="35" max="35" width="8.77734375" style="676" hidden="1" customWidth="1"/>
    <col min="36" max="36" width="7.109375" style="676" hidden="1" customWidth="1"/>
    <col min="37" max="37" width="0" style="676" hidden="1" customWidth="1"/>
    <col min="38" max="16384" width="7.109375" style="676"/>
  </cols>
  <sheetData>
    <row r="1" spans="1:35" s="677" customFormat="1" ht="19.2" x14ac:dyDescent="0.2">
      <c r="A1" s="2" t="s">
        <v>554</v>
      </c>
    </row>
    <row r="2" spans="1:35" ht="18" thickBot="1" x14ac:dyDescent="0.25">
      <c r="A2" s="4"/>
    </row>
    <row r="3" spans="1:35" ht="36" thickTop="1" thickBot="1" x14ac:dyDescent="0.25">
      <c r="A3" s="850" t="s">
        <v>224</v>
      </c>
      <c r="B3" s="850" t="s">
        <v>356</v>
      </c>
      <c r="C3" s="850" t="s">
        <v>357</v>
      </c>
      <c r="D3" s="850" t="s">
        <v>358</v>
      </c>
      <c r="E3" s="850" t="s">
        <v>359</v>
      </c>
      <c r="F3" s="850" t="s">
        <v>360</v>
      </c>
      <c r="G3" s="850" t="s">
        <v>361</v>
      </c>
      <c r="H3" s="850" t="s">
        <v>362</v>
      </c>
      <c r="I3" s="850" t="s">
        <v>363</v>
      </c>
      <c r="J3" s="851" t="s">
        <v>378</v>
      </c>
      <c r="K3" s="850" t="s">
        <v>61</v>
      </c>
      <c r="M3" s="844" t="s">
        <v>436</v>
      </c>
      <c r="N3" s="805" t="s">
        <v>364</v>
      </c>
      <c r="O3" s="805" t="s">
        <v>365</v>
      </c>
      <c r="P3" s="805" t="s">
        <v>366</v>
      </c>
      <c r="Q3" s="805" t="s">
        <v>367</v>
      </c>
      <c r="R3" s="805" t="s">
        <v>368</v>
      </c>
      <c r="S3" s="805" t="s">
        <v>369</v>
      </c>
      <c r="T3" s="805" t="s">
        <v>370</v>
      </c>
      <c r="U3" s="805" t="s">
        <v>371</v>
      </c>
      <c r="V3" s="805" t="s">
        <v>372</v>
      </c>
      <c r="W3" s="805" t="s">
        <v>373</v>
      </c>
      <c r="X3" s="805" t="s">
        <v>386</v>
      </c>
      <c r="Y3" s="805" t="s">
        <v>387</v>
      </c>
      <c r="Z3" s="805" t="s">
        <v>388</v>
      </c>
      <c r="AA3" s="805" t="s">
        <v>389</v>
      </c>
      <c r="AB3" s="805" t="s">
        <v>390</v>
      </c>
      <c r="AC3" s="805" t="s">
        <v>391</v>
      </c>
      <c r="AD3" s="805" t="s">
        <v>392</v>
      </c>
      <c r="AE3" s="805" t="s">
        <v>393</v>
      </c>
      <c r="AF3" s="805" t="s">
        <v>394</v>
      </c>
      <c r="AG3" s="805" t="s">
        <v>429</v>
      </c>
      <c r="AH3" s="805" t="s">
        <v>430</v>
      </c>
      <c r="AI3" s="805" t="s">
        <v>398</v>
      </c>
    </row>
    <row r="4" spans="1:35" ht="21" customHeight="1" thickTop="1" x14ac:dyDescent="0.2">
      <c r="A4" s="1097" t="s">
        <v>547</v>
      </c>
      <c r="B4" s="599">
        <f>SUM(N4:P4)</f>
        <v>199</v>
      </c>
      <c r="C4" s="599">
        <f>SUM(Q4:R4)</f>
        <v>190</v>
      </c>
      <c r="D4" s="599">
        <f>SUM(S4:V4)</f>
        <v>184</v>
      </c>
      <c r="E4" s="599">
        <f>SUM(W4:Y4)</f>
        <v>195</v>
      </c>
      <c r="F4" s="599">
        <f>SUM(Z4:AA4)</f>
        <v>139</v>
      </c>
      <c r="G4" s="599">
        <f>SUM(AB4:AD4)</f>
        <v>269</v>
      </c>
      <c r="H4" s="599">
        <f>AE4</f>
        <v>358</v>
      </c>
      <c r="I4" s="599">
        <f>AF4</f>
        <v>180</v>
      </c>
      <c r="J4" s="599">
        <f>SUM(AG4:AH4)</f>
        <v>136</v>
      </c>
      <c r="K4" s="599">
        <f>SUM(B4:J4)</f>
        <v>1850</v>
      </c>
      <c r="M4" s="805">
        <v>97</v>
      </c>
      <c r="N4" s="849">
        <v>60</v>
      </c>
      <c r="O4" s="849">
        <v>80</v>
      </c>
      <c r="P4" s="849">
        <v>59</v>
      </c>
      <c r="Q4" s="849">
        <v>91</v>
      </c>
      <c r="R4" s="849">
        <v>99</v>
      </c>
      <c r="S4" s="849">
        <v>69</v>
      </c>
      <c r="T4" s="849">
        <v>48</v>
      </c>
      <c r="U4" s="849">
        <v>37</v>
      </c>
      <c r="V4" s="849">
        <v>30</v>
      </c>
      <c r="W4" s="849">
        <v>118</v>
      </c>
      <c r="X4" s="849">
        <v>58</v>
      </c>
      <c r="Y4" s="849">
        <v>19</v>
      </c>
      <c r="Z4" s="849">
        <v>57</v>
      </c>
      <c r="AA4" s="849">
        <v>82</v>
      </c>
      <c r="AB4" s="849">
        <v>114</v>
      </c>
      <c r="AC4" s="849">
        <v>85</v>
      </c>
      <c r="AD4" s="849">
        <v>70</v>
      </c>
      <c r="AE4" s="849">
        <v>358</v>
      </c>
      <c r="AF4" s="849">
        <v>180</v>
      </c>
      <c r="AG4" s="849">
        <v>128</v>
      </c>
      <c r="AH4" s="805">
        <v>8</v>
      </c>
      <c r="AI4" s="849"/>
    </row>
    <row r="5" spans="1:35" ht="21" customHeight="1" x14ac:dyDescent="0.2">
      <c r="A5" s="1098"/>
      <c r="B5" s="845">
        <f t="shared" ref="B5:K5" si="0">B4/B$10</f>
        <v>0.17334494773519163</v>
      </c>
      <c r="C5" s="845">
        <f t="shared" si="0"/>
        <v>0.15650741350906094</v>
      </c>
      <c r="D5" s="845">
        <f t="shared" si="0"/>
        <v>0.1476725521669342</v>
      </c>
      <c r="E5" s="845">
        <f t="shared" si="0"/>
        <v>0.18553758325404376</v>
      </c>
      <c r="F5" s="845">
        <f t="shared" si="0"/>
        <v>0.13162878787878787</v>
      </c>
      <c r="G5" s="845">
        <f t="shared" si="0"/>
        <v>9.0177673483070736E-2</v>
      </c>
      <c r="H5" s="845">
        <f t="shared" si="0"/>
        <v>0.12708555200567981</v>
      </c>
      <c r="I5" s="845">
        <f t="shared" si="0"/>
        <v>0.13043478260869565</v>
      </c>
      <c r="J5" s="845">
        <f t="shared" si="0"/>
        <v>0.1223021582733813</v>
      </c>
      <c r="K5" s="598">
        <f t="shared" si="0"/>
        <v>0.13207681873349039</v>
      </c>
      <c r="M5" s="805">
        <v>98</v>
      </c>
      <c r="N5" s="849">
        <v>233</v>
      </c>
      <c r="O5" s="849">
        <v>306</v>
      </c>
      <c r="P5" s="849">
        <v>268</v>
      </c>
      <c r="Q5" s="849">
        <v>500</v>
      </c>
      <c r="R5" s="849">
        <v>378</v>
      </c>
      <c r="S5" s="849">
        <v>334</v>
      </c>
      <c r="T5" s="849">
        <v>165</v>
      </c>
      <c r="U5" s="849">
        <v>225</v>
      </c>
      <c r="V5" s="849">
        <v>181</v>
      </c>
      <c r="W5" s="849">
        <v>453</v>
      </c>
      <c r="X5" s="849">
        <v>196</v>
      </c>
      <c r="Y5" s="849">
        <v>54</v>
      </c>
      <c r="Z5" s="849">
        <v>346</v>
      </c>
      <c r="AA5" s="849">
        <v>463</v>
      </c>
      <c r="AB5" s="849">
        <v>682</v>
      </c>
      <c r="AC5" s="849">
        <v>1096</v>
      </c>
      <c r="AD5" s="849">
        <v>787</v>
      </c>
      <c r="AE5" s="849">
        <v>2045</v>
      </c>
      <c r="AF5" s="849">
        <v>1053</v>
      </c>
      <c r="AG5" s="849">
        <v>808</v>
      </c>
      <c r="AH5" s="805">
        <v>46</v>
      </c>
      <c r="AI5" s="849"/>
    </row>
    <row r="6" spans="1:35" ht="21" customHeight="1" x14ac:dyDescent="0.2">
      <c r="A6" s="1083" t="s">
        <v>316</v>
      </c>
      <c r="B6" s="599">
        <f>SUM(N5:P5)</f>
        <v>807</v>
      </c>
      <c r="C6" s="599">
        <f>SUM(Q5:R5)</f>
        <v>878</v>
      </c>
      <c r="D6" s="599">
        <f>SUM(S5:V5)</f>
        <v>905</v>
      </c>
      <c r="E6" s="599">
        <f>SUM(W5:Y5)</f>
        <v>703</v>
      </c>
      <c r="F6" s="599">
        <f>SUM(Z5:AA5)</f>
        <v>809</v>
      </c>
      <c r="G6" s="599">
        <f>SUM(AB5:AD5)</f>
        <v>2565</v>
      </c>
      <c r="H6" s="599">
        <f>AE5</f>
        <v>2045</v>
      </c>
      <c r="I6" s="599">
        <f>AF5</f>
        <v>1053</v>
      </c>
      <c r="J6" s="599">
        <f>SUM(AG5:AH5)</f>
        <v>854</v>
      </c>
      <c r="K6" s="599">
        <f>SUM(B6:J6)</f>
        <v>10619</v>
      </c>
      <c r="M6" s="805">
        <v>99</v>
      </c>
      <c r="N6" s="849">
        <v>30</v>
      </c>
      <c r="O6" s="849">
        <v>66</v>
      </c>
      <c r="P6" s="849">
        <v>46</v>
      </c>
      <c r="Q6" s="849">
        <v>71</v>
      </c>
      <c r="R6" s="849">
        <v>75</v>
      </c>
      <c r="S6" s="849">
        <v>33</v>
      </c>
      <c r="T6" s="849">
        <v>43</v>
      </c>
      <c r="U6" s="849">
        <v>41</v>
      </c>
      <c r="V6" s="849">
        <v>40</v>
      </c>
      <c r="W6" s="849">
        <v>84</v>
      </c>
      <c r="X6" s="849">
        <v>56</v>
      </c>
      <c r="Y6" s="849">
        <v>13</v>
      </c>
      <c r="Z6" s="849">
        <v>73</v>
      </c>
      <c r="AA6" s="849">
        <v>35</v>
      </c>
      <c r="AB6" s="849">
        <v>71</v>
      </c>
      <c r="AC6" s="849">
        <v>45</v>
      </c>
      <c r="AD6" s="849">
        <v>33</v>
      </c>
      <c r="AE6" s="849">
        <v>414</v>
      </c>
      <c r="AF6" s="849">
        <v>147</v>
      </c>
      <c r="AG6" s="849">
        <v>118</v>
      </c>
      <c r="AH6" s="805">
        <v>4</v>
      </c>
      <c r="AI6" s="849"/>
    </row>
    <row r="7" spans="1:35" ht="21" customHeight="1" x14ac:dyDescent="0.2">
      <c r="A7" s="1084"/>
      <c r="B7" s="845">
        <f t="shared" ref="B7:K7" si="1">B6/B$10</f>
        <v>0.70296167247386765</v>
      </c>
      <c r="C7" s="845">
        <f t="shared" si="1"/>
        <v>0.72322899505766058</v>
      </c>
      <c r="D7" s="845">
        <f t="shared" si="1"/>
        <v>0.7263242375601926</v>
      </c>
      <c r="E7" s="845">
        <f t="shared" si="1"/>
        <v>0.66888677450047573</v>
      </c>
      <c r="F7" s="845">
        <f t="shared" si="1"/>
        <v>0.76609848484848486</v>
      </c>
      <c r="G7" s="845">
        <f t="shared" si="1"/>
        <v>0.85987261146496818</v>
      </c>
      <c r="H7" s="845">
        <f t="shared" si="1"/>
        <v>0.7259495917642883</v>
      </c>
      <c r="I7" s="845">
        <f t="shared" si="1"/>
        <v>0.7630434782608696</v>
      </c>
      <c r="J7" s="845">
        <f t="shared" si="1"/>
        <v>0.76798561151079137</v>
      </c>
      <c r="K7" s="845">
        <f t="shared" si="1"/>
        <v>0.75812093953023485</v>
      </c>
      <c r="M7" s="688"/>
    </row>
    <row r="8" spans="1:35" x14ac:dyDescent="0.2">
      <c r="A8" s="1085" t="s">
        <v>36</v>
      </c>
      <c r="B8" s="599">
        <f>SUM(N6:P6)</f>
        <v>142</v>
      </c>
      <c r="C8" s="599">
        <f>SUM(Q6:R6)</f>
        <v>146</v>
      </c>
      <c r="D8" s="599">
        <f>SUM(S6:V6)</f>
        <v>157</v>
      </c>
      <c r="E8" s="599">
        <f>SUM(W6:Y6)</f>
        <v>153</v>
      </c>
      <c r="F8" s="599">
        <f>SUM(Z6:AA6)</f>
        <v>108</v>
      </c>
      <c r="G8" s="599">
        <f>SUM(AB6:AD6)</f>
        <v>149</v>
      </c>
      <c r="H8" s="599">
        <f>AE6</f>
        <v>414</v>
      </c>
      <c r="I8" s="599">
        <f>AF6</f>
        <v>147</v>
      </c>
      <c r="J8" s="599">
        <f>SUM(AG6:AH6)</f>
        <v>122</v>
      </c>
      <c r="K8" s="599">
        <f>SUM(B8:J8)</f>
        <v>1538</v>
      </c>
    </row>
    <row r="9" spans="1:35" x14ac:dyDescent="0.2">
      <c r="A9" s="1086"/>
      <c r="B9" s="845">
        <f>B8/B$10</f>
        <v>0.12369337979094076</v>
      </c>
      <c r="C9" s="845">
        <f t="shared" ref="C9:J9" si="2">C8/C$10</f>
        <v>0.12026359143327842</v>
      </c>
      <c r="D9" s="845">
        <f t="shared" si="2"/>
        <v>0.1260032102728732</v>
      </c>
      <c r="E9" s="845">
        <f t="shared" si="2"/>
        <v>0.1455756422454805</v>
      </c>
      <c r="F9" s="845">
        <f t="shared" si="2"/>
        <v>0.10227272727272728</v>
      </c>
      <c r="G9" s="845">
        <f t="shared" si="2"/>
        <v>4.9949715051961115E-2</v>
      </c>
      <c r="H9" s="845">
        <f t="shared" si="2"/>
        <v>0.14696485623003194</v>
      </c>
      <c r="I9" s="845">
        <f t="shared" si="2"/>
        <v>0.10652173913043478</v>
      </c>
      <c r="J9" s="845">
        <f t="shared" si="2"/>
        <v>0.10971223021582734</v>
      </c>
      <c r="K9" s="845">
        <f>K8/K$10</f>
        <v>0.10980224173627472</v>
      </c>
    </row>
    <row r="10" spans="1:35" x14ac:dyDescent="0.2">
      <c r="A10" s="870" t="s">
        <v>11</v>
      </c>
      <c r="B10" s="871">
        <f>SUM(B4,B6,B8)</f>
        <v>1148</v>
      </c>
      <c r="C10" s="871">
        <f t="shared" ref="C10:K11" si="3">SUM(C4,C6,C8)</f>
        <v>1214</v>
      </c>
      <c r="D10" s="871">
        <f t="shared" si="3"/>
        <v>1246</v>
      </c>
      <c r="E10" s="871">
        <f t="shared" si="3"/>
        <v>1051</v>
      </c>
      <c r="F10" s="871">
        <f t="shared" si="3"/>
        <v>1056</v>
      </c>
      <c r="G10" s="871">
        <f t="shared" si="3"/>
        <v>2983</v>
      </c>
      <c r="H10" s="871">
        <f t="shared" si="3"/>
        <v>2817</v>
      </c>
      <c r="I10" s="871">
        <f t="shared" si="3"/>
        <v>1380</v>
      </c>
      <c r="J10" s="871">
        <f t="shared" si="3"/>
        <v>1112</v>
      </c>
      <c r="K10" s="871">
        <f t="shared" si="3"/>
        <v>14007</v>
      </c>
    </row>
    <row r="11" spans="1:35" x14ac:dyDescent="0.2">
      <c r="A11" s="873"/>
      <c r="B11" s="874">
        <f>SUM(B5,B7,B9)</f>
        <v>1</v>
      </c>
      <c r="C11" s="874">
        <f t="shared" si="3"/>
        <v>1</v>
      </c>
      <c r="D11" s="874">
        <f t="shared" si="3"/>
        <v>1</v>
      </c>
      <c r="E11" s="874">
        <f t="shared" si="3"/>
        <v>1</v>
      </c>
      <c r="F11" s="874">
        <f t="shared" si="3"/>
        <v>1</v>
      </c>
      <c r="G11" s="874">
        <f t="shared" si="3"/>
        <v>1</v>
      </c>
      <c r="H11" s="874">
        <f t="shared" si="3"/>
        <v>1</v>
      </c>
      <c r="I11" s="874">
        <f t="shared" si="3"/>
        <v>1</v>
      </c>
      <c r="J11" s="874">
        <f t="shared" si="3"/>
        <v>1</v>
      </c>
      <c r="K11" s="874">
        <f t="shared" si="3"/>
        <v>1</v>
      </c>
    </row>
    <row r="12" spans="1:35" ht="18" thickBot="1" x14ac:dyDescent="0.25">
      <c r="A12" s="4"/>
    </row>
    <row r="13" spans="1:35" ht="36" thickTop="1" thickBot="1" x14ac:dyDescent="0.25">
      <c r="A13" s="850" t="s">
        <v>323</v>
      </c>
      <c r="B13" s="850" t="s">
        <v>356</v>
      </c>
      <c r="C13" s="850" t="s">
        <v>357</v>
      </c>
      <c r="D13" s="850" t="s">
        <v>358</v>
      </c>
      <c r="E13" s="850" t="s">
        <v>359</v>
      </c>
      <c r="F13" s="850" t="s">
        <v>360</v>
      </c>
      <c r="G13" s="850" t="s">
        <v>361</v>
      </c>
      <c r="H13" s="850" t="s">
        <v>362</v>
      </c>
      <c r="I13" s="850" t="s">
        <v>363</v>
      </c>
      <c r="J13" s="851" t="s">
        <v>378</v>
      </c>
      <c r="K13" s="850" t="s">
        <v>61</v>
      </c>
      <c r="M13" s="896" t="s">
        <v>436</v>
      </c>
      <c r="N13" s="897" t="s">
        <v>364</v>
      </c>
      <c r="O13" s="897" t="s">
        <v>365</v>
      </c>
      <c r="P13" s="897" t="s">
        <v>366</v>
      </c>
      <c r="Q13" s="897" t="s">
        <v>367</v>
      </c>
      <c r="R13" s="897" t="s">
        <v>368</v>
      </c>
      <c r="S13" s="897" t="s">
        <v>369</v>
      </c>
      <c r="T13" s="897" t="s">
        <v>370</v>
      </c>
      <c r="U13" s="897" t="s">
        <v>371</v>
      </c>
      <c r="V13" s="897" t="s">
        <v>372</v>
      </c>
      <c r="W13" s="897" t="s">
        <v>373</v>
      </c>
      <c r="X13" s="897" t="s">
        <v>386</v>
      </c>
      <c r="Y13" s="897" t="s">
        <v>387</v>
      </c>
      <c r="Z13" s="897" t="s">
        <v>388</v>
      </c>
      <c r="AA13" s="897" t="s">
        <v>389</v>
      </c>
      <c r="AB13" s="897" t="s">
        <v>390</v>
      </c>
      <c r="AC13" s="897" t="s">
        <v>391</v>
      </c>
      <c r="AD13" s="897" t="s">
        <v>392</v>
      </c>
      <c r="AE13" s="897" t="s">
        <v>393</v>
      </c>
      <c r="AF13" s="623" t="s">
        <v>394</v>
      </c>
      <c r="AG13" s="623" t="s">
        <v>429</v>
      </c>
      <c r="AH13" s="623" t="s">
        <v>430</v>
      </c>
      <c r="AI13" s="898" t="s">
        <v>398</v>
      </c>
    </row>
    <row r="14" spans="1:35" ht="18" thickTop="1" x14ac:dyDescent="0.2">
      <c r="A14" s="1085" t="s">
        <v>34</v>
      </c>
      <c r="B14" s="599">
        <f>SUM(N14:P14)</f>
        <v>172</v>
      </c>
      <c r="C14" s="599">
        <f>SUM(Q14:R14)</f>
        <v>145</v>
      </c>
      <c r="D14" s="599">
        <f>SUM(S14:V14)</f>
        <v>163</v>
      </c>
      <c r="E14" s="599">
        <f>SUM(W14:Y14)</f>
        <v>174</v>
      </c>
      <c r="F14" s="599">
        <f>SUM(Z14:AA14)</f>
        <v>127</v>
      </c>
      <c r="G14" s="599">
        <f>SUM(AB14:AD14)</f>
        <v>252</v>
      </c>
      <c r="H14" s="599">
        <f>AE14</f>
        <v>299</v>
      </c>
      <c r="I14" s="599">
        <f>AF14</f>
        <v>165</v>
      </c>
      <c r="J14" s="599">
        <f>SUM(AG14:AH14)</f>
        <v>121</v>
      </c>
      <c r="K14" s="599">
        <f>SUM(B14:J14)</f>
        <v>1618</v>
      </c>
      <c r="M14" s="887">
        <v>91</v>
      </c>
      <c r="N14" s="372">
        <v>51</v>
      </c>
      <c r="O14" s="372">
        <v>70</v>
      </c>
      <c r="P14" s="372">
        <v>51</v>
      </c>
      <c r="Q14" s="372">
        <v>68</v>
      </c>
      <c r="R14" s="372">
        <v>77</v>
      </c>
      <c r="S14" s="372">
        <v>67</v>
      </c>
      <c r="T14" s="372">
        <v>41</v>
      </c>
      <c r="U14" s="372">
        <v>28</v>
      </c>
      <c r="V14" s="372">
        <v>27</v>
      </c>
      <c r="W14" s="372">
        <v>107</v>
      </c>
      <c r="X14" s="372">
        <v>51</v>
      </c>
      <c r="Y14" s="372">
        <v>16</v>
      </c>
      <c r="Z14" s="372">
        <v>52</v>
      </c>
      <c r="AA14" s="372">
        <v>75</v>
      </c>
      <c r="AB14" s="372">
        <v>108</v>
      </c>
      <c r="AC14" s="372">
        <v>78</v>
      </c>
      <c r="AD14" s="372">
        <v>66</v>
      </c>
      <c r="AE14" s="372">
        <v>299</v>
      </c>
      <c r="AF14" s="372">
        <v>165</v>
      </c>
      <c r="AG14" s="372">
        <v>113</v>
      </c>
      <c r="AH14" s="373">
        <v>8</v>
      </c>
      <c r="AI14" s="899"/>
    </row>
    <row r="15" spans="1:35" x14ac:dyDescent="0.2">
      <c r="A15" s="1086"/>
      <c r="B15" s="845">
        <f t="shared" ref="B15:I15" si="4">B14/B$18</f>
        <v>0.86432160804020097</v>
      </c>
      <c r="C15" s="845">
        <f t="shared" si="4"/>
        <v>0.76315789473684215</v>
      </c>
      <c r="D15" s="845">
        <f t="shared" si="4"/>
        <v>0.88586956521739135</v>
      </c>
      <c r="E15" s="845">
        <f t="shared" si="4"/>
        <v>0.89230769230769236</v>
      </c>
      <c r="F15" s="845">
        <f t="shared" si="4"/>
        <v>0.91366906474820142</v>
      </c>
      <c r="G15" s="845">
        <f t="shared" si="4"/>
        <v>0.93680297397769519</v>
      </c>
      <c r="H15" s="845">
        <f t="shared" si="4"/>
        <v>0.83519553072625696</v>
      </c>
      <c r="I15" s="845">
        <f t="shared" si="4"/>
        <v>0.91666666666666663</v>
      </c>
      <c r="J15" s="845">
        <f t="shared" ref="J15:K15" si="5">J14/J18</f>
        <v>0.88970588235294112</v>
      </c>
      <c r="K15" s="845">
        <f t="shared" si="5"/>
        <v>0.87459459459459454</v>
      </c>
      <c r="M15" s="893">
        <v>90</v>
      </c>
      <c r="N15" s="894">
        <v>9</v>
      </c>
      <c r="O15" s="894">
        <v>10</v>
      </c>
      <c r="P15" s="894">
        <v>8</v>
      </c>
      <c r="Q15" s="894">
        <v>23</v>
      </c>
      <c r="R15" s="894">
        <v>22</v>
      </c>
      <c r="S15" s="894">
        <v>2</v>
      </c>
      <c r="T15" s="894">
        <v>7</v>
      </c>
      <c r="U15" s="894">
        <v>9</v>
      </c>
      <c r="V15" s="894">
        <v>3</v>
      </c>
      <c r="W15" s="894">
        <v>11</v>
      </c>
      <c r="X15" s="894">
        <v>7</v>
      </c>
      <c r="Y15" s="894">
        <v>3</v>
      </c>
      <c r="Z15" s="894">
        <v>5</v>
      </c>
      <c r="AA15" s="894">
        <v>7</v>
      </c>
      <c r="AB15" s="894">
        <v>6</v>
      </c>
      <c r="AC15" s="894">
        <v>7</v>
      </c>
      <c r="AD15" s="894">
        <v>4</v>
      </c>
      <c r="AE15" s="894">
        <v>59</v>
      </c>
      <c r="AF15" s="894">
        <v>15</v>
      </c>
      <c r="AG15" s="894">
        <v>15</v>
      </c>
      <c r="AH15" s="900"/>
      <c r="AI15" s="901"/>
    </row>
    <row r="16" spans="1:35" x14ac:dyDescent="0.2">
      <c r="A16" s="1085" t="s">
        <v>548</v>
      </c>
      <c r="B16" s="599">
        <f>SUM(N15:P15)</f>
        <v>27</v>
      </c>
      <c r="C16" s="599">
        <f>SUM(Q15:R15)</f>
        <v>45</v>
      </c>
      <c r="D16" s="599">
        <f>SUM(S15:V15)</f>
        <v>21</v>
      </c>
      <c r="E16" s="599">
        <f>SUM(W15:Y15)</f>
        <v>21</v>
      </c>
      <c r="F16" s="599">
        <f>SUM(Z15:AA15)</f>
        <v>12</v>
      </c>
      <c r="G16" s="599">
        <f>SUM(AB15:AD15)</f>
        <v>17</v>
      </c>
      <c r="H16" s="599">
        <f>AE15</f>
        <v>59</v>
      </c>
      <c r="I16" s="599">
        <f>AF15</f>
        <v>15</v>
      </c>
      <c r="J16" s="599">
        <f>SUM(AG15:AH15)</f>
        <v>15</v>
      </c>
      <c r="K16" s="599">
        <f>SUM(B16:J16)</f>
        <v>232</v>
      </c>
    </row>
    <row r="17" spans="1:35" x14ac:dyDescent="0.2">
      <c r="A17" s="1086"/>
      <c r="B17" s="845">
        <f t="shared" ref="B17:I17" si="6">B16/B$18</f>
        <v>0.135678391959799</v>
      </c>
      <c r="C17" s="845">
        <f t="shared" si="6"/>
        <v>0.23684210526315788</v>
      </c>
      <c r="D17" s="845">
        <f t="shared" si="6"/>
        <v>0.11413043478260869</v>
      </c>
      <c r="E17" s="845">
        <f t="shared" si="6"/>
        <v>0.1076923076923077</v>
      </c>
      <c r="F17" s="845">
        <f t="shared" si="6"/>
        <v>8.6330935251798566E-2</v>
      </c>
      <c r="G17" s="845">
        <f t="shared" si="6"/>
        <v>6.3197026022304828E-2</v>
      </c>
      <c r="H17" s="845">
        <f t="shared" si="6"/>
        <v>0.16480446927374301</v>
      </c>
      <c r="I17" s="845">
        <f t="shared" si="6"/>
        <v>8.3333333333333329E-2</v>
      </c>
      <c r="J17" s="845">
        <f t="shared" ref="J17:K17" si="7">J16/J18</f>
        <v>0.11029411764705882</v>
      </c>
      <c r="K17" s="845">
        <f t="shared" si="7"/>
        <v>0.1254054054054054</v>
      </c>
    </row>
    <row r="18" spans="1:35" x14ac:dyDescent="0.2">
      <c r="A18" s="870" t="s">
        <v>11</v>
      </c>
      <c r="B18" s="871">
        <f>SUM(B14,B16)</f>
        <v>199</v>
      </c>
      <c r="C18" s="871">
        <f t="shared" ref="C18:K19" si="8">SUM(C14,C16)</f>
        <v>190</v>
      </c>
      <c r="D18" s="871">
        <f t="shared" si="8"/>
        <v>184</v>
      </c>
      <c r="E18" s="871">
        <f t="shared" si="8"/>
        <v>195</v>
      </c>
      <c r="F18" s="871">
        <f t="shared" si="8"/>
        <v>139</v>
      </c>
      <c r="G18" s="871">
        <f t="shared" si="8"/>
        <v>269</v>
      </c>
      <c r="H18" s="871">
        <f t="shared" si="8"/>
        <v>358</v>
      </c>
      <c r="I18" s="871">
        <f t="shared" si="8"/>
        <v>180</v>
      </c>
      <c r="J18" s="871">
        <f t="shared" si="8"/>
        <v>136</v>
      </c>
      <c r="K18" s="871">
        <f t="shared" si="8"/>
        <v>1850</v>
      </c>
    </row>
    <row r="19" spans="1:35" x14ac:dyDescent="0.2">
      <c r="A19" s="873"/>
      <c r="B19" s="874">
        <f>SUM(B15,B17)</f>
        <v>1</v>
      </c>
      <c r="C19" s="874">
        <f t="shared" si="8"/>
        <v>1</v>
      </c>
      <c r="D19" s="874">
        <f t="shared" si="8"/>
        <v>1</v>
      </c>
      <c r="E19" s="874">
        <f t="shared" si="8"/>
        <v>1</v>
      </c>
      <c r="F19" s="874">
        <f t="shared" si="8"/>
        <v>1</v>
      </c>
      <c r="G19" s="874">
        <f t="shared" si="8"/>
        <v>1</v>
      </c>
      <c r="H19" s="874">
        <f t="shared" si="8"/>
        <v>1</v>
      </c>
      <c r="I19" s="874">
        <f t="shared" si="8"/>
        <v>1</v>
      </c>
      <c r="J19" s="874">
        <f t="shared" si="8"/>
        <v>1</v>
      </c>
      <c r="K19" s="874">
        <f>SUM(K15,K17)</f>
        <v>1</v>
      </c>
    </row>
    <row r="20" spans="1:35" x14ac:dyDescent="0.2">
      <c r="A20" s="4"/>
    </row>
    <row r="21" spans="1:35" s="677" customFormat="1" ht="19.2" x14ac:dyDescent="0.2">
      <c r="A21" s="2" t="s">
        <v>555</v>
      </c>
    </row>
    <row r="22" spans="1:35" ht="18" thickBot="1" x14ac:dyDescent="0.25">
      <c r="A22" s="4"/>
    </row>
    <row r="23" spans="1:35" ht="36" thickTop="1" thickBot="1" x14ac:dyDescent="0.25">
      <c r="A23" s="850"/>
      <c r="B23" s="850" t="s">
        <v>356</v>
      </c>
      <c r="C23" s="850" t="s">
        <v>357</v>
      </c>
      <c r="D23" s="850" t="s">
        <v>358</v>
      </c>
      <c r="E23" s="850" t="s">
        <v>359</v>
      </c>
      <c r="F23" s="850" t="s">
        <v>360</v>
      </c>
      <c r="G23" s="850" t="s">
        <v>361</v>
      </c>
      <c r="H23" s="850" t="s">
        <v>362</v>
      </c>
      <c r="I23" s="850" t="s">
        <v>363</v>
      </c>
      <c r="J23" s="851" t="s">
        <v>378</v>
      </c>
      <c r="K23" s="850" t="s">
        <v>61</v>
      </c>
      <c r="M23" s="896" t="s">
        <v>749</v>
      </c>
      <c r="N23" s="902" t="s">
        <v>364</v>
      </c>
      <c r="O23" s="902" t="s">
        <v>365</v>
      </c>
      <c r="P23" s="902" t="s">
        <v>366</v>
      </c>
      <c r="Q23" s="902" t="s">
        <v>367</v>
      </c>
      <c r="R23" s="902" t="s">
        <v>368</v>
      </c>
      <c r="S23" s="902" t="s">
        <v>369</v>
      </c>
      <c r="T23" s="902" t="s">
        <v>370</v>
      </c>
      <c r="U23" s="902" t="s">
        <v>371</v>
      </c>
      <c r="V23" s="902" t="s">
        <v>372</v>
      </c>
      <c r="W23" s="902" t="s">
        <v>373</v>
      </c>
      <c r="X23" s="902" t="s">
        <v>386</v>
      </c>
      <c r="Y23" s="902" t="s">
        <v>387</v>
      </c>
      <c r="Z23" s="902" t="s">
        <v>388</v>
      </c>
      <c r="AA23" s="902" t="s">
        <v>389</v>
      </c>
      <c r="AB23" s="902" t="s">
        <v>390</v>
      </c>
      <c r="AC23" s="902" t="s">
        <v>391</v>
      </c>
      <c r="AD23" s="902" t="s">
        <v>392</v>
      </c>
      <c r="AE23" s="902" t="s">
        <v>393</v>
      </c>
      <c r="AF23" s="902" t="s">
        <v>394</v>
      </c>
      <c r="AG23" s="902" t="s">
        <v>429</v>
      </c>
      <c r="AH23" s="902" t="s">
        <v>430</v>
      </c>
      <c r="AI23" s="902" t="s">
        <v>398</v>
      </c>
    </row>
    <row r="24" spans="1:35" ht="18.75" customHeight="1" thickTop="1" x14ac:dyDescent="0.2">
      <c r="A24" s="1101" t="s">
        <v>332</v>
      </c>
      <c r="B24" s="597">
        <f>SUM(N24:P24)</f>
        <v>58</v>
      </c>
      <c r="C24" s="597">
        <f>SUM(Q24:R24)</f>
        <v>29</v>
      </c>
      <c r="D24" s="597">
        <f>SUM(S24:V24)</f>
        <v>60</v>
      </c>
      <c r="E24" s="597">
        <f>SUM(W24:Y24)</f>
        <v>68</v>
      </c>
      <c r="F24" s="597">
        <f>SUM(Z24:AA24)</f>
        <v>40</v>
      </c>
      <c r="G24" s="597">
        <f>SUM(AB24:AD24)</f>
        <v>119</v>
      </c>
      <c r="H24" s="597">
        <f>AE24</f>
        <v>87</v>
      </c>
      <c r="I24" s="597">
        <f>AF24</f>
        <v>65</v>
      </c>
      <c r="J24" s="597">
        <f>SUM(AG24:AH24)</f>
        <v>29</v>
      </c>
      <c r="K24" s="599">
        <f>SUM(B24:J24)</f>
        <v>555</v>
      </c>
      <c r="M24" s="903" t="s">
        <v>286</v>
      </c>
      <c r="N24" s="904">
        <v>28</v>
      </c>
      <c r="O24" s="904">
        <v>17</v>
      </c>
      <c r="P24" s="904">
        <v>13</v>
      </c>
      <c r="Q24" s="904">
        <v>9</v>
      </c>
      <c r="R24" s="904">
        <v>20</v>
      </c>
      <c r="S24" s="904">
        <v>27</v>
      </c>
      <c r="T24" s="904">
        <v>18</v>
      </c>
      <c r="U24" s="904">
        <v>9</v>
      </c>
      <c r="V24" s="904">
        <v>6</v>
      </c>
      <c r="W24" s="904">
        <v>45</v>
      </c>
      <c r="X24" s="904">
        <v>13</v>
      </c>
      <c r="Y24" s="904">
        <v>10</v>
      </c>
      <c r="Z24" s="904">
        <v>12</v>
      </c>
      <c r="AA24" s="904">
        <v>28</v>
      </c>
      <c r="AB24" s="904">
        <v>42</v>
      </c>
      <c r="AC24" s="904">
        <v>39</v>
      </c>
      <c r="AD24" s="904">
        <v>38</v>
      </c>
      <c r="AE24" s="904">
        <v>87</v>
      </c>
      <c r="AF24" s="904">
        <v>65</v>
      </c>
      <c r="AG24" s="904">
        <v>23</v>
      </c>
      <c r="AH24" s="904">
        <v>6</v>
      </c>
      <c r="AI24" s="17"/>
    </row>
    <row r="25" spans="1:35" ht="22.5" customHeight="1" x14ac:dyDescent="0.2">
      <c r="A25" s="1102"/>
      <c r="B25" s="845">
        <f t="shared" ref="B25:K25" si="9">B24/B$14</f>
        <v>0.33720930232558138</v>
      </c>
      <c r="C25" s="845">
        <f t="shared" si="9"/>
        <v>0.2</v>
      </c>
      <c r="D25" s="845">
        <f t="shared" si="9"/>
        <v>0.36809815950920244</v>
      </c>
      <c r="E25" s="845">
        <f t="shared" si="9"/>
        <v>0.39080459770114945</v>
      </c>
      <c r="F25" s="845">
        <f t="shared" si="9"/>
        <v>0.31496062992125984</v>
      </c>
      <c r="G25" s="845">
        <f t="shared" si="9"/>
        <v>0.47222222222222221</v>
      </c>
      <c r="H25" s="845">
        <f t="shared" si="9"/>
        <v>0.29096989966555181</v>
      </c>
      <c r="I25" s="845">
        <f t="shared" si="9"/>
        <v>0.39393939393939392</v>
      </c>
      <c r="J25" s="845">
        <f t="shared" si="9"/>
        <v>0.23966942148760331</v>
      </c>
      <c r="K25" s="845">
        <f t="shared" si="9"/>
        <v>0.34301606922126082</v>
      </c>
      <c r="M25" s="905" t="s">
        <v>287</v>
      </c>
      <c r="N25" s="904">
        <v>16</v>
      </c>
      <c r="O25" s="904">
        <v>9</v>
      </c>
      <c r="P25" s="904">
        <v>9</v>
      </c>
      <c r="Q25" s="904">
        <v>14</v>
      </c>
      <c r="R25" s="904">
        <v>33</v>
      </c>
      <c r="S25" s="904">
        <v>14</v>
      </c>
      <c r="T25" s="904">
        <v>11</v>
      </c>
      <c r="U25" s="904">
        <v>7</v>
      </c>
      <c r="V25" s="904">
        <v>6</v>
      </c>
      <c r="W25" s="904">
        <v>33</v>
      </c>
      <c r="X25" s="904">
        <v>10</v>
      </c>
      <c r="Y25" s="904">
        <v>3</v>
      </c>
      <c r="Z25" s="904">
        <v>12</v>
      </c>
      <c r="AA25" s="904">
        <v>25</v>
      </c>
      <c r="AB25" s="904">
        <v>17</v>
      </c>
      <c r="AC25" s="904">
        <v>17</v>
      </c>
      <c r="AD25" s="904">
        <v>11</v>
      </c>
      <c r="AE25" s="904">
        <v>71</v>
      </c>
      <c r="AF25" s="904">
        <v>41</v>
      </c>
      <c r="AG25" s="904">
        <v>28</v>
      </c>
      <c r="AH25" s="904">
        <v>3</v>
      </c>
      <c r="AI25" s="17"/>
    </row>
    <row r="26" spans="1:35" ht="18.75" customHeight="1" x14ac:dyDescent="0.2">
      <c r="A26" s="1077" t="s">
        <v>212</v>
      </c>
      <c r="B26" s="597">
        <f>SUM(N25:P25)</f>
        <v>34</v>
      </c>
      <c r="C26" s="597">
        <f>SUM(Q25:R25)</f>
        <v>47</v>
      </c>
      <c r="D26" s="597">
        <f>SUM(S25:V25)</f>
        <v>38</v>
      </c>
      <c r="E26" s="597">
        <f>SUM(W25:Y25)</f>
        <v>46</v>
      </c>
      <c r="F26" s="597">
        <f>SUM(Z25:AA25)</f>
        <v>37</v>
      </c>
      <c r="G26" s="597">
        <f>SUM(AB25:AD25)</f>
        <v>45</v>
      </c>
      <c r="H26" s="597">
        <f>AE25</f>
        <v>71</v>
      </c>
      <c r="I26" s="597">
        <f>AF25</f>
        <v>41</v>
      </c>
      <c r="J26" s="597">
        <f>SUM(AG25:AH25)</f>
        <v>31</v>
      </c>
      <c r="K26" s="599">
        <f>SUM(B26:J26)</f>
        <v>390</v>
      </c>
      <c r="M26" s="905" t="s">
        <v>154</v>
      </c>
      <c r="N26" s="904">
        <v>2</v>
      </c>
      <c r="O26" s="904">
        <v>2</v>
      </c>
      <c r="P26" s="904">
        <v>2</v>
      </c>
      <c r="Q26" s="904">
        <v>0</v>
      </c>
      <c r="R26" s="904">
        <v>6</v>
      </c>
      <c r="S26" s="904">
        <v>2</v>
      </c>
      <c r="T26" s="904">
        <v>3</v>
      </c>
      <c r="U26" s="904">
        <v>1</v>
      </c>
      <c r="V26" s="904">
        <v>1</v>
      </c>
      <c r="W26" s="904">
        <v>7</v>
      </c>
      <c r="X26" s="904">
        <v>2</v>
      </c>
      <c r="Y26" s="904">
        <v>0</v>
      </c>
      <c r="Z26" s="904">
        <v>1</v>
      </c>
      <c r="AA26" s="904">
        <v>2</v>
      </c>
      <c r="AB26" s="904">
        <v>5</v>
      </c>
      <c r="AC26" s="904">
        <v>0</v>
      </c>
      <c r="AD26" s="904">
        <v>1</v>
      </c>
      <c r="AE26" s="904">
        <v>21</v>
      </c>
      <c r="AF26" s="904">
        <v>4</v>
      </c>
      <c r="AG26" s="904">
        <v>3</v>
      </c>
      <c r="AH26" s="904">
        <v>1</v>
      </c>
      <c r="AI26" s="17"/>
    </row>
    <row r="27" spans="1:35" ht="18.75" customHeight="1" x14ac:dyDescent="0.2">
      <c r="A27" s="1078"/>
      <c r="B27" s="845">
        <f t="shared" ref="B27:K27" si="10">B26/B$14</f>
        <v>0.19767441860465115</v>
      </c>
      <c r="C27" s="845">
        <f t="shared" si="10"/>
        <v>0.32413793103448274</v>
      </c>
      <c r="D27" s="845">
        <f t="shared" si="10"/>
        <v>0.23312883435582821</v>
      </c>
      <c r="E27" s="845">
        <f t="shared" si="10"/>
        <v>0.26436781609195403</v>
      </c>
      <c r="F27" s="845">
        <f t="shared" si="10"/>
        <v>0.29133858267716534</v>
      </c>
      <c r="G27" s="845">
        <f t="shared" si="10"/>
        <v>0.17857142857142858</v>
      </c>
      <c r="H27" s="845">
        <f t="shared" si="10"/>
        <v>0.23745819397993312</v>
      </c>
      <c r="I27" s="845">
        <f t="shared" si="10"/>
        <v>0.24848484848484848</v>
      </c>
      <c r="J27" s="845">
        <f t="shared" si="10"/>
        <v>0.256198347107438</v>
      </c>
      <c r="K27" s="845">
        <f t="shared" si="10"/>
        <v>0.24103831891223734</v>
      </c>
      <c r="M27" s="905" t="s">
        <v>155</v>
      </c>
      <c r="N27" s="904">
        <v>17</v>
      </c>
      <c r="O27" s="904">
        <v>17</v>
      </c>
      <c r="P27" s="904">
        <v>19</v>
      </c>
      <c r="Q27" s="904">
        <v>19</v>
      </c>
      <c r="R27" s="904">
        <v>35</v>
      </c>
      <c r="S27" s="904">
        <v>33</v>
      </c>
      <c r="T27" s="904">
        <v>22</v>
      </c>
      <c r="U27" s="904">
        <v>11</v>
      </c>
      <c r="V27" s="904">
        <v>6</v>
      </c>
      <c r="W27" s="904">
        <v>40</v>
      </c>
      <c r="X27" s="904">
        <v>18</v>
      </c>
      <c r="Y27" s="904">
        <v>9</v>
      </c>
      <c r="Z27" s="904">
        <v>22</v>
      </c>
      <c r="AA27" s="904">
        <v>25</v>
      </c>
      <c r="AB27" s="904">
        <v>40</v>
      </c>
      <c r="AC27" s="904">
        <v>42</v>
      </c>
      <c r="AD27" s="904">
        <v>31</v>
      </c>
      <c r="AE27" s="904">
        <v>108</v>
      </c>
      <c r="AF27" s="904">
        <v>68</v>
      </c>
      <c r="AG27" s="904">
        <v>44</v>
      </c>
      <c r="AH27" s="904">
        <v>6</v>
      </c>
      <c r="AI27" s="17"/>
    </row>
    <row r="28" spans="1:35" ht="18.75" customHeight="1" x14ac:dyDescent="0.2">
      <c r="A28" s="1077" t="s">
        <v>37</v>
      </c>
      <c r="B28" s="597">
        <f>SUM(N26:P26)</f>
        <v>6</v>
      </c>
      <c r="C28" s="597">
        <f>SUM(Q26:R26)</f>
        <v>6</v>
      </c>
      <c r="D28" s="597">
        <f>SUM(S26:V26)</f>
        <v>7</v>
      </c>
      <c r="E28" s="597">
        <f>SUM(W26:Y26)</f>
        <v>9</v>
      </c>
      <c r="F28" s="597">
        <f>SUM(Z26:AA26)</f>
        <v>3</v>
      </c>
      <c r="G28" s="597">
        <f>SUM(AB26:AD26)</f>
        <v>6</v>
      </c>
      <c r="H28" s="597">
        <f>AE26</f>
        <v>21</v>
      </c>
      <c r="I28" s="597">
        <f>AF26</f>
        <v>4</v>
      </c>
      <c r="J28" s="597">
        <f>SUM(AG26:AH26)</f>
        <v>4</v>
      </c>
      <c r="K28" s="599">
        <f>SUM(B28:J28)</f>
        <v>66</v>
      </c>
      <c r="M28" s="905" t="s">
        <v>156</v>
      </c>
      <c r="N28" s="904">
        <v>24</v>
      </c>
      <c r="O28" s="904">
        <v>20</v>
      </c>
      <c r="P28" s="904">
        <v>20</v>
      </c>
      <c r="Q28" s="904">
        <v>17</v>
      </c>
      <c r="R28" s="904">
        <v>47</v>
      </c>
      <c r="S28" s="904">
        <v>38</v>
      </c>
      <c r="T28" s="904">
        <v>21</v>
      </c>
      <c r="U28" s="904">
        <v>11</v>
      </c>
      <c r="V28" s="904">
        <v>9</v>
      </c>
      <c r="W28" s="904">
        <v>37</v>
      </c>
      <c r="X28" s="904">
        <v>17</v>
      </c>
      <c r="Y28" s="904">
        <v>5</v>
      </c>
      <c r="Z28" s="904">
        <v>24</v>
      </c>
      <c r="AA28" s="904">
        <v>27</v>
      </c>
      <c r="AB28" s="904">
        <v>66</v>
      </c>
      <c r="AC28" s="904">
        <v>22</v>
      </c>
      <c r="AD28" s="904">
        <v>25</v>
      </c>
      <c r="AE28" s="904">
        <v>101</v>
      </c>
      <c r="AF28" s="904">
        <v>72</v>
      </c>
      <c r="AG28" s="904">
        <v>49</v>
      </c>
      <c r="AH28" s="904">
        <v>5</v>
      </c>
      <c r="AI28" s="17"/>
    </row>
    <row r="29" spans="1:35" ht="18.75" customHeight="1" x14ac:dyDescent="0.2">
      <c r="A29" s="1078"/>
      <c r="B29" s="845">
        <f t="shared" ref="B29:K29" si="11">B28/B$14</f>
        <v>3.4883720930232558E-2</v>
      </c>
      <c r="C29" s="845">
        <f t="shared" si="11"/>
        <v>4.1379310344827586E-2</v>
      </c>
      <c r="D29" s="845">
        <f t="shared" si="11"/>
        <v>4.2944785276073622E-2</v>
      </c>
      <c r="E29" s="845">
        <f t="shared" si="11"/>
        <v>5.1724137931034482E-2</v>
      </c>
      <c r="F29" s="845">
        <f t="shared" si="11"/>
        <v>2.3622047244094488E-2</v>
      </c>
      <c r="G29" s="845">
        <f t="shared" si="11"/>
        <v>2.3809523809523808E-2</v>
      </c>
      <c r="H29" s="845">
        <f t="shared" si="11"/>
        <v>7.0234113712374577E-2</v>
      </c>
      <c r="I29" s="845">
        <f t="shared" si="11"/>
        <v>2.4242424242424242E-2</v>
      </c>
      <c r="J29" s="845">
        <f t="shared" si="11"/>
        <v>3.3057851239669422E-2</v>
      </c>
      <c r="K29" s="845">
        <f t="shared" si="11"/>
        <v>4.0791100123609397E-2</v>
      </c>
      <c r="M29" s="905" t="s">
        <v>157</v>
      </c>
      <c r="N29" s="904">
        <v>16</v>
      </c>
      <c r="O29" s="904">
        <v>23</v>
      </c>
      <c r="P29" s="904">
        <v>6</v>
      </c>
      <c r="Q29" s="904">
        <v>14</v>
      </c>
      <c r="R29" s="904">
        <v>34</v>
      </c>
      <c r="S29" s="904">
        <v>20</v>
      </c>
      <c r="T29" s="904">
        <v>10</v>
      </c>
      <c r="U29" s="904">
        <v>5</v>
      </c>
      <c r="V29" s="904">
        <v>7</v>
      </c>
      <c r="W29" s="904">
        <v>40</v>
      </c>
      <c r="X29" s="904">
        <v>18</v>
      </c>
      <c r="Y29" s="904">
        <v>8</v>
      </c>
      <c r="Z29" s="904">
        <v>11</v>
      </c>
      <c r="AA29" s="904">
        <v>29</v>
      </c>
      <c r="AB29" s="904">
        <v>53</v>
      </c>
      <c r="AC29" s="904">
        <v>22</v>
      </c>
      <c r="AD29" s="904">
        <v>11</v>
      </c>
      <c r="AE29" s="904">
        <v>75</v>
      </c>
      <c r="AF29" s="904">
        <v>55</v>
      </c>
      <c r="AG29" s="904">
        <v>28</v>
      </c>
      <c r="AH29" s="904">
        <v>3</v>
      </c>
      <c r="AI29" s="17"/>
    </row>
    <row r="30" spans="1:35" ht="18.75" customHeight="1" x14ac:dyDescent="0.2">
      <c r="A30" s="1077" t="s">
        <v>38</v>
      </c>
      <c r="B30" s="597">
        <f>SUM(N27:P27)</f>
        <v>53</v>
      </c>
      <c r="C30" s="597">
        <f>SUM(Q27:R27)</f>
        <v>54</v>
      </c>
      <c r="D30" s="597">
        <f>SUM(S27:V27)</f>
        <v>72</v>
      </c>
      <c r="E30" s="597">
        <f>SUM(W27:Y27)</f>
        <v>67</v>
      </c>
      <c r="F30" s="597">
        <f>SUM(Z27:AA27)</f>
        <v>47</v>
      </c>
      <c r="G30" s="597">
        <f>SUM(AB27:AD27)</f>
        <v>113</v>
      </c>
      <c r="H30" s="597">
        <f>AE27</f>
        <v>108</v>
      </c>
      <c r="I30" s="597">
        <f>AF27</f>
        <v>68</v>
      </c>
      <c r="J30" s="597">
        <f>SUM(AG27:AH27)</f>
        <v>50</v>
      </c>
      <c r="K30" s="599">
        <f>SUM(B30:J30)</f>
        <v>632</v>
      </c>
      <c r="M30" s="905" t="s">
        <v>158</v>
      </c>
      <c r="N30" s="904">
        <v>3</v>
      </c>
      <c r="O30" s="904">
        <v>4</v>
      </c>
      <c r="P30" s="904">
        <v>2</v>
      </c>
      <c r="Q30" s="904">
        <v>3</v>
      </c>
      <c r="R30" s="904">
        <v>10</v>
      </c>
      <c r="S30" s="904">
        <v>6</v>
      </c>
      <c r="T30" s="904">
        <v>6</v>
      </c>
      <c r="U30" s="904">
        <v>2</v>
      </c>
      <c r="V30" s="904">
        <v>2</v>
      </c>
      <c r="W30" s="904">
        <v>10</v>
      </c>
      <c r="X30" s="904">
        <v>2</v>
      </c>
      <c r="Y30" s="904">
        <v>0</v>
      </c>
      <c r="Z30" s="904">
        <v>4</v>
      </c>
      <c r="AA30" s="904">
        <v>14</v>
      </c>
      <c r="AB30" s="904">
        <v>9</v>
      </c>
      <c r="AC30" s="904">
        <v>11</v>
      </c>
      <c r="AD30" s="904">
        <v>4</v>
      </c>
      <c r="AE30" s="904">
        <v>21</v>
      </c>
      <c r="AF30" s="904">
        <v>16</v>
      </c>
      <c r="AG30" s="904">
        <v>5</v>
      </c>
      <c r="AH30" s="904">
        <v>2</v>
      </c>
      <c r="AI30" s="17"/>
    </row>
    <row r="31" spans="1:35" ht="18.75" customHeight="1" x14ac:dyDescent="0.2">
      <c r="A31" s="1078"/>
      <c r="B31" s="845">
        <f t="shared" ref="B31:K31" si="12">B30/B$14</f>
        <v>0.30813953488372092</v>
      </c>
      <c r="C31" s="845">
        <f t="shared" si="12"/>
        <v>0.3724137931034483</v>
      </c>
      <c r="D31" s="845">
        <f t="shared" si="12"/>
        <v>0.44171779141104295</v>
      </c>
      <c r="E31" s="845">
        <f t="shared" si="12"/>
        <v>0.38505747126436779</v>
      </c>
      <c r="F31" s="845">
        <f t="shared" si="12"/>
        <v>0.37007874015748032</v>
      </c>
      <c r="G31" s="845">
        <f t="shared" si="12"/>
        <v>0.44841269841269843</v>
      </c>
      <c r="H31" s="845">
        <f t="shared" si="12"/>
        <v>0.3612040133779264</v>
      </c>
      <c r="I31" s="845">
        <f t="shared" si="12"/>
        <v>0.41212121212121211</v>
      </c>
      <c r="J31" s="845">
        <f t="shared" si="12"/>
        <v>0.41322314049586778</v>
      </c>
      <c r="K31" s="845">
        <f t="shared" si="12"/>
        <v>0.39060568603213847</v>
      </c>
      <c r="M31" s="905" t="s">
        <v>159</v>
      </c>
      <c r="N31" s="904">
        <v>9</v>
      </c>
      <c r="O31" s="904">
        <v>12</v>
      </c>
      <c r="P31" s="904">
        <v>11</v>
      </c>
      <c r="Q31" s="904">
        <v>16</v>
      </c>
      <c r="R31" s="904">
        <v>40</v>
      </c>
      <c r="S31" s="904">
        <v>30</v>
      </c>
      <c r="T31" s="904">
        <v>17</v>
      </c>
      <c r="U31" s="904">
        <v>12</v>
      </c>
      <c r="V31" s="904">
        <v>10</v>
      </c>
      <c r="W31" s="904">
        <v>43</v>
      </c>
      <c r="X31" s="904">
        <v>16</v>
      </c>
      <c r="Y31" s="904">
        <v>5</v>
      </c>
      <c r="Z31" s="904">
        <v>18</v>
      </c>
      <c r="AA31" s="904">
        <v>27</v>
      </c>
      <c r="AB31" s="904">
        <v>63</v>
      </c>
      <c r="AC31" s="904">
        <v>21</v>
      </c>
      <c r="AD31" s="904">
        <v>14</v>
      </c>
      <c r="AE31" s="904">
        <v>82</v>
      </c>
      <c r="AF31" s="904">
        <v>48</v>
      </c>
      <c r="AG31" s="904">
        <v>33</v>
      </c>
      <c r="AH31" s="904">
        <v>3</v>
      </c>
      <c r="AI31" s="17"/>
    </row>
    <row r="32" spans="1:35" ht="18.75" customHeight="1" x14ac:dyDescent="0.2">
      <c r="A32" s="1077" t="s">
        <v>39</v>
      </c>
      <c r="B32" s="597">
        <f>SUM(N28:P28)</f>
        <v>64</v>
      </c>
      <c r="C32" s="597">
        <f>SUM(Q28:R28)</f>
        <v>64</v>
      </c>
      <c r="D32" s="597">
        <f>SUM(S28:V28)</f>
        <v>79</v>
      </c>
      <c r="E32" s="597">
        <f>SUM(W28:Y28)</f>
        <v>59</v>
      </c>
      <c r="F32" s="597">
        <f>SUM(Z28:AA28)</f>
        <v>51</v>
      </c>
      <c r="G32" s="597">
        <f>SUM(AB28:AD28)</f>
        <v>113</v>
      </c>
      <c r="H32" s="597">
        <f>AE28</f>
        <v>101</v>
      </c>
      <c r="I32" s="597">
        <f>AF28</f>
        <v>72</v>
      </c>
      <c r="J32" s="597">
        <f>SUM(AG28:AH28)</f>
        <v>54</v>
      </c>
      <c r="K32" s="599">
        <f>SUM(B32:J32)</f>
        <v>657</v>
      </c>
      <c r="M32" s="905" t="s">
        <v>160</v>
      </c>
      <c r="N32" s="904">
        <v>11</v>
      </c>
      <c r="O32" s="904">
        <v>15</v>
      </c>
      <c r="P32" s="904">
        <v>9</v>
      </c>
      <c r="Q32" s="904">
        <v>9</v>
      </c>
      <c r="R32" s="904">
        <v>11</v>
      </c>
      <c r="S32" s="904">
        <v>13</v>
      </c>
      <c r="T32" s="904">
        <v>13</v>
      </c>
      <c r="U32" s="904">
        <v>6</v>
      </c>
      <c r="V32" s="904">
        <v>11</v>
      </c>
      <c r="W32" s="904">
        <v>18</v>
      </c>
      <c r="X32" s="904">
        <v>9</v>
      </c>
      <c r="Y32" s="904">
        <v>2</v>
      </c>
      <c r="Z32" s="904">
        <v>8</v>
      </c>
      <c r="AA32" s="904">
        <v>9</v>
      </c>
      <c r="AB32" s="904">
        <v>21</v>
      </c>
      <c r="AC32" s="904">
        <v>10</v>
      </c>
      <c r="AD32" s="904">
        <v>16</v>
      </c>
      <c r="AE32" s="904">
        <v>44</v>
      </c>
      <c r="AF32" s="904">
        <v>30</v>
      </c>
      <c r="AG32" s="904">
        <v>20</v>
      </c>
      <c r="AH32" s="904">
        <v>3</v>
      </c>
      <c r="AI32" s="17"/>
    </row>
    <row r="33" spans="1:35" ht="18.75" customHeight="1" x14ac:dyDescent="0.2">
      <c r="A33" s="1078"/>
      <c r="B33" s="845">
        <f t="shared" ref="B33:K33" si="13">B32/B$14</f>
        <v>0.37209302325581395</v>
      </c>
      <c r="C33" s="845">
        <f t="shared" si="13"/>
        <v>0.44137931034482758</v>
      </c>
      <c r="D33" s="845">
        <f t="shared" si="13"/>
        <v>0.48466257668711654</v>
      </c>
      <c r="E33" s="845">
        <f t="shared" si="13"/>
        <v>0.33908045977011492</v>
      </c>
      <c r="F33" s="845">
        <f t="shared" si="13"/>
        <v>0.40157480314960631</v>
      </c>
      <c r="G33" s="845">
        <f t="shared" si="13"/>
        <v>0.44841269841269843</v>
      </c>
      <c r="H33" s="845">
        <f t="shared" si="13"/>
        <v>0.33779264214046822</v>
      </c>
      <c r="I33" s="845">
        <f t="shared" si="13"/>
        <v>0.43636363636363634</v>
      </c>
      <c r="J33" s="845">
        <f t="shared" si="13"/>
        <v>0.4462809917355372</v>
      </c>
      <c r="K33" s="845">
        <f t="shared" si="13"/>
        <v>0.40605686032138444</v>
      </c>
      <c r="M33" s="905" t="s">
        <v>161</v>
      </c>
      <c r="N33" s="904">
        <v>5</v>
      </c>
      <c r="O33" s="904">
        <v>17</v>
      </c>
      <c r="P33" s="904">
        <v>7</v>
      </c>
      <c r="Q33" s="904">
        <v>6</v>
      </c>
      <c r="R33" s="904">
        <v>7</v>
      </c>
      <c r="S33" s="904">
        <v>14</v>
      </c>
      <c r="T33" s="904">
        <v>4</v>
      </c>
      <c r="U33" s="904">
        <v>7</v>
      </c>
      <c r="V33" s="904">
        <v>2</v>
      </c>
      <c r="W33" s="904">
        <v>13</v>
      </c>
      <c r="X33" s="904">
        <v>8</v>
      </c>
      <c r="Y33" s="904">
        <v>1</v>
      </c>
      <c r="Z33" s="904">
        <v>10</v>
      </c>
      <c r="AA33" s="904">
        <v>22</v>
      </c>
      <c r="AB33" s="904">
        <v>11</v>
      </c>
      <c r="AC33" s="904">
        <v>15</v>
      </c>
      <c r="AD33" s="904">
        <v>19</v>
      </c>
      <c r="AE33" s="904">
        <v>46</v>
      </c>
      <c r="AF33" s="904">
        <v>22</v>
      </c>
      <c r="AG33" s="904">
        <v>32</v>
      </c>
      <c r="AH33" s="904">
        <v>0</v>
      </c>
      <c r="AI33" s="17"/>
    </row>
    <row r="34" spans="1:35" ht="18.75" customHeight="1" x14ac:dyDescent="0.2">
      <c r="A34" s="1077" t="s">
        <v>40</v>
      </c>
      <c r="B34" s="597">
        <f>SUM(N29:P29)</f>
        <v>45</v>
      </c>
      <c r="C34" s="597">
        <f>SUM(Q29:R29)</f>
        <v>48</v>
      </c>
      <c r="D34" s="597">
        <f>SUM(S29:V29)</f>
        <v>42</v>
      </c>
      <c r="E34" s="597">
        <f>SUM(W29:Y29)</f>
        <v>66</v>
      </c>
      <c r="F34" s="597">
        <f>SUM(Z29:AA29)</f>
        <v>40</v>
      </c>
      <c r="G34" s="597">
        <f>SUM(AB29:AD29)</f>
        <v>86</v>
      </c>
      <c r="H34" s="597">
        <f>AE29</f>
        <v>75</v>
      </c>
      <c r="I34" s="597">
        <f>AF29</f>
        <v>55</v>
      </c>
      <c r="J34" s="597">
        <f>SUM(AG29:AH29)</f>
        <v>31</v>
      </c>
      <c r="K34" s="599">
        <f>SUM(B34:J34)</f>
        <v>488</v>
      </c>
      <c r="M34" s="905" t="s">
        <v>162</v>
      </c>
      <c r="N34" s="904">
        <v>15</v>
      </c>
      <c r="O34" s="904">
        <v>27</v>
      </c>
      <c r="P34" s="904">
        <v>19</v>
      </c>
      <c r="Q34" s="904">
        <v>29</v>
      </c>
      <c r="R34" s="904">
        <v>36</v>
      </c>
      <c r="S34" s="904">
        <v>35</v>
      </c>
      <c r="T34" s="904">
        <v>20</v>
      </c>
      <c r="U34" s="904">
        <v>16</v>
      </c>
      <c r="V34" s="904">
        <v>10</v>
      </c>
      <c r="W34" s="904">
        <v>33</v>
      </c>
      <c r="X34" s="904">
        <v>16</v>
      </c>
      <c r="Y34" s="904">
        <v>4</v>
      </c>
      <c r="Z34" s="904">
        <v>3</v>
      </c>
      <c r="AA34" s="904">
        <v>10</v>
      </c>
      <c r="AB34" s="904">
        <v>45</v>
      </c>
      <c r="AC34" s="904">
        <v>18</v>
      </c>
      <c r="AD34" s="904">
        <v>21</v>
      </c>
      <c r="AE34" s="904">
        <v>108</v>
      </c>
      <c r="AF34" s="904">
        <v>36</v>
      </c>
      <c r="AG34" s="904">
        <v>45</v>
      </c>
      <c r="AH34" s="904">
        <v>2</v>
      </c>
      <c r="AI34" s="17"/>
    </row>
    <row r="35" spans="1:35" ht="18.75" customHeight="1" x14ac:dyDescent="0.2">
      <c r="A35" s="1078"/>
      <c r="B35" s="845">
        <f t="shared" ref="B35:K35" si="14">B34/B$14</f>
        <v>0.26162790697674421</v>
      </c>
      <c r="C35" s="845">
        <f t="shared" si="14"/>
        <v>0.33103448275862069</v>
      </c>
      <c r="D35" s="845">
        <f t="shared" si="14"/>
        <v>0.25766871165644173</v>
      </c>
      <c r="E35" s="845">
        <f t="shared" si="14"/>
        <v>0.37931034482758619</v>
      </c>
      <c r="F35" s="845">
        <f t="shared" si="14"/>
        <v>0.31496062992125984</v>
      </c>
      <c r="G35" s="845">
        <f t="shared" si="14"/>
        <v>0.34126984126984128</v>
      </c>
      <c r="H35" s="845">
        <f t="shared" si="14"/>
        <v>0.25083612040133779</v>
      </c>
      <c r="I35" s="845">
        <f t="shared" si="14"/>
        <v>0.33333333333333331</v>
      </c>
      <c r="J35" s="845">
        <f t="shared" si="14"/>
        <v>0.256198347107438</v>
      </c>
      <c r="K35" s="845">
        <f t="shared" si="14"/>
        <v>0.30160692212608159</v>
      </c>
      <c r="M35" s="905" t="s">
        <v>163</v>
      </c>
      <c r="N35" s="904">
        <v>0</v>
      </c>
      <c r="O35" s="904">
        <v>5</v>
      </c>
      <c r="P35" s="904">
        <v>1</v>
      </c>
      <c r="Q35" s="904">
        <v>2</v>
      </c>
      <c r="R35" s="904">
        <v>1</v>
      </c>
      <c r="S35" s="904">
        <v>13</v>
      </c>
      <c r="T35" s="904">
        <v>7</v>
      </c>
      <c r="U35" s="904">
        <v>2</v>
      </c>
      <c r="V35" s="904">
        <v>1</v>
      </c>
      <c r="W35" s="904">
        <v>5</v>
      </c>
      <c r="X35" s="904">
        <v>1</v>
      </c>
      <c r="Y35" s="904">
        <v>0</v>
      </c>
      <c r="Z35" s="904">
        <v>1</v>
      </c>
      <c r="AA35" s="904">
        <v>3</v>
      </c>
      <c r="AB35" s="904">
        <v>15</v>
      </c>
      <c r="AC35" s="904">
        <v>9</v>
      </c>
      <c r="AD35" s="904">
        <v>10</v>
      </c>
      <c r="AE35" s="904">
        <v>13</v>
      </c>
      <c r="AF35" s="904">
        <v>8</v>
      </c>
      <c r="AG35" s="904">
        <v>9</v>
      </c>
      <c r="AH35" s="904">
        <v>1</v>
      </c>
      <c r="AI35" s="17"/>
    </row>
    <row r="36" spans="1:35" ht="18.75" customHeight="1" x14ac:dyDescent="0.2">
      <c r="A36" s="1077" t="s">
        <v>41</v>
      </c>
      <c r="B36" s="597">
        <f>SUM(N30:P30)</f>
        <v>9</v>
      </c>
      <c r="C36" s="597">
        <f>SUM(Q30:R30)</f>
        <v>13</v>
      </c>
      <c r="D36" s="597">
        <f>SUM(S30:V30)</f>
        <v>16</v>
      </c>
      <c r="E36" s="597">
        <f>SUM(W30:Y30)</f>
        <v>12</v>
      </c>
      <c r="F36" s="597">
        <f>SUM(Z30:AA30)</f>
        <v>18</v>
      </c>
      <c r="G36" s="597">
        <f>SUM(AB30:AD30)</f>
        <v>24</v>
      </c>
      <c r="H36" s="597">
        <f>AE30</f>
        <v>21</v>
      </c>
      <c r="I36" s="597">
        <f>AF30</f>
        <v>16</v>
      </c>
      <c r="J36" s="597">
        <f>SUM(AG30:AH30)</f>
        <v>7</v>
      </c>
      <c r="K36" s="599">
        <f>SUM(B36:J36)</f>
        <v>136</v>
      </c>
      <c r="M36" s="905" t="s">
        <v>164</v>
      </c>
      <c r="N36" s="904">
        <v>5</v>
      </c>
      <c r="O36" s="904">
        <v>5</v>
      </c>
      <c r="P36" s="904">
        <v>2</v>
      </c>
      <c r="Q36" s="904">
        <v>4</v>
      </c>
      <c r="R36" s="904">
        <v>4</v>
      </c>
      <c r="S36" s="904">
        <v>11</v>
      </c>
      <c r="T36" s="904">
        <v>3</v>
      </c>
      <c r="U36" s="904">
        <v>2</v>
      </c>
      <c r="V36" s="904">
        <v>1</v>
      </c>
      <c r="W36" s="904">
        <v>4</v>
      </c>
      <c r="X36" s="904">
        <v>3</v>
      </c>
      <c r="Y36" s="904">
        <v>1</v>
      </c>
      <c r="Z36" s="904">
        <v>1</v>
      </c>
      <c r="AA36" s="904">
        <v>1</v>
      </c>
      <c r="AB36" s="904">
        <v>7</v>
      </c>
      <c r="AC36" s="904">
        <v>2</v>
      </c>
      <c r="AD36" s="904">
        <v>1</v>
      </c>
      <c r="AE36" s="904">
        <v>11</v>
      </c>
      <c r="AF36" s="904">
        <v>0</v>
      </c>
      <c r="AG36" s="904">
        <v>12</v>
      </c>
      <c r="AH36" s="904">
        <v>0</v>
      </c>
      <c r="AI36" s="17"/>
    </row>
    <row r="37" spans="1:35" ht="18.75" customHeight="1" x14ac:dyDescent="0.2">
      <c r="A37" s="1078"/>
      <c r="B37" s="845">
        <f t="shared" ref="B37:K37" si="15">B36/B$14</f>
        <v>5.232558139534884E-2</v>
      </c>
      <c r="C37" s="845">
        <f t="shared" si="15"/>
        <v>8.9655172413793102E-2</v>
      </c>
      <c r="D37" s="845">
        <f t="shared" si="15"/>
        <v>9.815950920245399E-2</v>
      </c>
      <c r="E37" s="845">
        <f t="shared" si="15"/>
        <v>6.8965517241379309E-2</v>
      </c>
      <c r="F37" s="845">
        <f t="shared" si="15"/>
        <v>0.14173228346456693</v>
      </c>
      <c r="G37" s="845">
        <f t="shared" si="15"/>
        <v>9.5238095238095233E-2</v>
      </c>
      <c r="H37" s="845">
        <f t="shared" si="15"/>
        <v>7.0234113712374577E-2</v>
      </c>
      <c r="I37" s="845">
        <f t="shared" si="15"/>
        <v>9.696969696969697E-2</v>
      </c>
      <c r="J37" s="845">
        <f t="shared" si="15"/>
        <v>5.7851239669421489E-2</v>
      </c>
      <c r="K37" s="845">
        <f t="shared" si="15"/>
        <v>8.4054388133498151E-2</v>
      </c>
      <c r="M37" s="905" t="s">
        <v>165</v>
      </c>
      <c r="N37" s="904">
        <v>0</v>
      </c>
      <c r="O37" s="904">
        <v>0</v>
      </c>
      <c r="P37" s="904">
        <v>0</v>
      </c>
      <c r="Q37" s="904">
        <v>1</v>
      </c>
      <c r="R37" s="904">
        <v>0</v>
      </c>
      <c r="S37" s="904">
        <v>9</v>
      </c>
      <c r="T37" s="904">
        <v>3</v>
      </c>
      <c r="U37" s="904">
        <v>2</v>
      </c>
      <c r="V37" s="904">
        <v>0</v>
      </c>
      <c r="W37" s="904">
        <v>0</v>
      </c>
      <c r="X37" s="904">
        <v>0</v>
      </c>
      <c r="Y37" s="904">
        <v>0</v>
      </c>
      <c r="Z37" s="904">
        <v>0</v>
      </c>
      <c r="AA37" s="904">
        <v>0</v>
      </c>
      <c r="AB37" s="904">
        <v>2</v>
      </c>
      <c r="AC37" s="904">
        <v>0</v>
      </c>
      <c r="AD37" s="904">
        <v>0</v>
      </c>
      <c r="AE37" s="904">
        <v>1</v>
      </c>
      <c r="AF37" s="904">
        <v>0</v>
      </c>
      <c r="AG37" s="904">
        <v>0</v>
      </c>
      <c r="AH37" s="904">
        <v>0</v>
      </c>
      <c r="AI37" s="17"/>
    </row>
    <row r="38" spans="1:35" ht="18.75" customHeight="1" x14ac:dyDescent="0.2">
      <c r="A38" s="1097" t="s">
        <v>42</v>
      </c>
      <c r="B38" s="597">
        <f>SUM(N31:P31)</f>
        <v>32</v>
      </c>
      <c r="C38" s="597">
        <f>SUM(Q31:R31)</f>
        <v>56</v>
      </c>
      <c r="D38" s="597">
        <f>SUM(S31:V31)</f>
        <v>69</v>
      </c>
      <c r="E38" s="597">
        <f>SUM(W31:Y31)</f>
        <v>64</v>
      </c>
      <c r="F38" s="597">
        <f>SUM(Z31:AA31)</f>
        <v>45</v>
      </c>
      <c r="G38" s="597">
        <f>SUM(AB31:AD31)</f>
        <v>98</v>
      </c>
      <c r="H38" s="597">
        <f>AE31</f>
        <v>82</v>
      </c>
      <c r="I38" s="597">
        <f>AF31</f>
        <v>48</v>
      </c>
      <c r="J38" s="597">
        <f>SUM(AG31:AH31)</f>
        <v>36</v>
      </c>
      <c r="K38" s="599">
        <f>SUM(B38:J38)</f>
        <v>530</v>
      </c>
      <c r="M38" s="905" t="s">
        <v>166</v>
      </c>
      <c r="N38" s="904">
        <v>3</v>
      </c>
      <c r="O38" s="904">
        <v>3</v>
      </c>
      <c r="P38" s="904">
        <v>5</v>
      </c>
      <c r="Q38" s="904">
        <v>1</v>
      </c>
      <c r="R38" s="904">
        <v>1</v>
      </c>
      <c r="S38" s="904">
        <v>13</v>
      </c>
      <c r="T38" s="904">
        <v>14</v>
      </c>
      <c r="U38" s="904">
        <v>5</v>
      </c>
      <c r="V38" s="904">
        <v>5</v>
      </c>
      <c r="W38" s="904">
        <v>10</v>
      </c>
      <c r="X38" s="904">
        <v>4</v>
      </c>
      <c r="Y38" s="904">
        <v>2</v>
      </c>
      <c r="Z38" s="904">
        <v>4</v>
      </c>
      <c r="AA38" s="904">
        <v>5</v>
      </c>
      <c r="AB38" s="904">
        <v>4</v>
      </c>
      <c r="AC38" s="904">
        <v>1</v>
      </c>
      <c r="AD38" s="904">
        <v>4</v>
      </c>
      <c r="AE38" s="904">
        <v>29</v>
      </c>
      <c r="AF38" s="904">
        <v>15</v>
      </c>
      <c r="AG38" s="904">
        <v>14</v>
      </c>
      <c r="AH38" s="904">
        <v>1</v>
      </c>
      <c r="AI38" s="17"/>
    </row>
    <row r="39" spans="1:35" ht="18.75" customHeight="1" x14ac:dyDescent="0.2">
      <c r="A39" s="1098"/>
      <c r="B39" s="845">
        <f t="shared" ref="B39:K39" si="16">B38/B$14</f>
        <v>0.18604651162790697</v>
      </c>
      <c r="C39" s="845">
        <f t="shared" si="16"/>
        <v>0.38620689655172413</v>
      </c>
      <c r="D39" s="845">
        <f t="shared" si="16"/>
        <v>0.42331288343558282</v>
      </c>
      <c r="E39" s="845">
        <f t="shared" si="16"/>
        <v>0.36781609195402298</v>
      </c>
      <c r="F39" s="845">
        <f t="shared" si="16"/>
        <v>0.3543307086614173</v>
      </c>
      <c r="G39" s="845">
        <f t="shared" si="16"/>
        <v>0.3888888888888889</v>
      </c>
      <c r="H39" s="845">
        <f t="shared" si="16"/>
        <v>0.27424749163879597</v>
      </c>
      <c r="I39" s="845">
        <f t="shared" si="16"/>
        <v>0.29090909090909089</v>
      </c>
      <c r="J39" s="845">
        <f t="shared" si="16"/>
        <v>0.2975206611570248</v>
      </c>
      <c r="K39" s="845">
        <f t="shared" si="16"/>
        <v>0.32756489493201485</v>
      </c>
      <c r="M39" s="905" t="s">
        <v>167</v>
      </c>
      <c r="N39" s="904">
        <v>12</v>
      </c>
      <c r="O39" s="904">
        <v>6</v>
      </c>
      <c r="P39" s="904">
        <v>4</v>
      </c>
      <c r="Q39" s="904">
        <v>4</v>
      </c>
      <c r="R39" s="904">
        <v>3</v>
      </c>
      <c r="S39" s="904">
        <v>12</v>
      </c>
      <c r="T39" s="904">
        <v>13</v>
      </c>
      <c r="U39" s="904">
        <v>4</v>
      </c>
      <c r="V39" s="904">
        <v>2</v>
      </c>
      <c r="W39" s="904">
        <v>13</v>
      </c>
      <c r="X39" s="904">
        <v>3</v>
      </c>
      <c r="Y39" s="904">
        <v>2</v>
      </c>
      <c r="Z39" s="904">
        <v>4</v>
      </c>
      <c r="AA39" s="904">
        <v>4</v>
      </c>
      <c r="AB39" s="904">
        <v>4</v>
      </c>
      <c r="AC39" s="904">
        <v>1</v>
      </c>
      <c r="AD39" s="904">
        <v>1</v>
      </c>
      <c r="AE39" s="904">
        <v>19</v>
      </c>
      <c r="AF39" s="904">
        <v>11</v>
      </c>
      <c r="AG39" s="904">
        <v>15</v>
      </c>
      <c r="AH39" s="904">
        <v>1</v>
      </c>
      <c r="AI39" s="17"/>
    </row>
    <row r="40" spans="1:35" ht="18.75" customHeight="1" x14ac:dyDescent="0.2">
      <c r="A40" s="1097" t="s">
        <v>43</v>
      </c>
      <c r="B40" s="597">
        <f>SUM(N32:P32)</f>
        <v>35</v>
      </c>
      <c r="C40" s="597">
        <f>SUM(Q32:R32)</f>
        <v>20</v>
      </c>
      <c r="D40" s="597">
        <f>SUM(S32:V32)</f>
        <v>43</v>
      </c>
      <c r="E40" s="597">
        <f>SUM(W32:Y32)</f>
        <v>29</v>
      </c>
      <c r="F40" s="597">
        <f>SUM(Z32:AA32)</f>
        <v>17</v>
      </c>
      <c r="G40" s="597">
        <f>SUM(AB32:AD32)</f>
        <v>47</v>
      </c>
      <c r="H40" s="597">
        <f>AE32</f>
        <v>44</v>
      </c>
      <c r="I40" s="597">
        <f>AF32</f>
        <v>30</v>
      </c>
      <c r="J40" s="597">
        <f>SUM(AG32:AH32)</f>
        <v>23</v>
      </c>
      <c r="K40" s="599">
        <f>SUM(B40:J40)</f>
        <v>288</v>
      </c>
      <c r="M40" s="905" t="s">
        <v>168</v>
      </c>
      <c r="N40" s="904">
        <v>1</v>
      </c>
      <c r="O40" s="904">
        <v>0</v>
      </c>
      <c r="P40" s="904">
        <v>0</v>
      </c>
      <c r="Q40" s="904">
        <v>1</v>
      </c>
      <c r="R40" s="904">
        <v>0</v>
      </c>
      <c r="S40" s="904">
        <v>0</v>
      </c>
      <c r="T40" s="904">
        <v>0</v>
      </c>
      <c r="U40" s="904">
        <v>0</v>
      </c>
      <c r="V40" s="904">
        <v>0</v>
      </c>
      <c r="W40" s="904">
        <v>1</v>
      </c>
      <c r="X40" s="904">
        <v>0</v>
      </c>
      <c r="Y40" s="904">
        <v>0</v>
      </c>
      <c r="Z40" s="904">
        <v>1</v>
      </c>
      <c r="AA40" s="904">
        <v>0</v>
      </c>
      <c r="AB40" s="904">
        <v>1</v>
      </c>
      <c r="AC40" s="904">
        <v>0</v>
      </c>
      <c r="AD40" s="904">
        <v>1</v>
      </c>
      <c r="AE40" s="904">
        <v>5</v>
      </c>
      <c r="AF40" s="904">
        <v>0</v>
      </c>
      <c r="AG40" s="904">
        <v>9</v>
      </c>
      <c r="AH40" s="904">
        <v>0</v>
      </c>
      <c r="AI40" s="17"/>
    </row>
    <row r="41" spans="1:35" ht="18.75" customHeight="1" x14ac:dyDescent="0.2">
      <c r="A41" s="1098"/>
      <c r="B41" s="845">
        <f t="shared" ref="B41:K41" si="17">B40/B$14</f>
        <v>0.20348837209302326</v>
      </c>
      <c r="C41" s="845">
        <f t="shared" si="17"/>
        <v>0.13793103448275862</v>
      </c>
      <c r="D41" s="845">
        <f t="shared" si="17"/>
        <v>0.26380368098159507</v>
      </c>
      <c r="E41" s="845">
        <f t="shared" si="17"/>
        <v>0.16666666666666666</v>
      </c>
      <c r="F41" s="845">
        <f t="shared" si="17"/>
        <v>0.13385826771653545</v>
      </c>
      <c r="G41" s="845">
        <f t="shared" si="17"/>
        <v>0.18650793650793651</v>
      </c>
      <c r="H41" s="845">
        <f t="shared" si="17"/>
        <v>0.14715719063545152</v>
      </c>
      <c r="I41" s="845">
        <f t="shared" si="17"/>
        <v>0.18181818181818182</v>
      </c>
      <c r="J41" s="845">
        <f t="shared" si="17"/>
        <v>0.19008264462809918</v>
      </c>
      <c r="K41" s="845">
        <f t="shared" si="17"/>
        <v>0.17799752781211373</v>
      </c>
      <c r="M41" s="905" t="s">
        <v>354</v>
      </c>
      <c r="N41" s="904">
        <v>9</v>
      </c>
      <c r="O41" s="904">
        <v>18</v>
      </c>
      <c r="P41" s="904">
        <v>9</v>
      </c>
      <c r="Q41" s="904">
        <v>14</v>
      </c>
      <c r="R41" s="904">
        <v>24</v>
      </c>
      <c r="S41" s="904">
        <v>15</v>
      </c>
      <c r="T41" s="904">
        <v>6</v>
      </c>
      <c r="U41" s="904">
        <v>5</v>
      </c>
      <c r="V41" s="904">
        <v>6</v>
      </c>
      <c r="W41" s="904">
        <v>19</v>
      </c>
      <c r="X41" s="904">
        <v>10</v>
      </c>
      <c r="Y41" s="904">
        <v>6</v>
      </c>
      <c r="Z41" s="904">
        <v>6</v>
      </c>
      <c r="AA41" s="904">
        <v>10</v>
      </c>
      <c r="AB41" s="904">
        <v>37</v>
      </c>
      <c r="AC41" s="904">
        <v>5</v>
      </c>
      <c r="AD41" s="904">
        <v>15</v>
      </c>
      <c r="AE41" s="904">
        <v>36</v>
      </c>
      <c r="AF41" s="904">
        <v>41</v>
      </c>
      <c r="AG41" s="904">
        <v>20</v>
      </c>
      <c r="AH41" s="904">
        <v>0</v>
      </c>
      <c r="AI41" s="17"/>
    </row>
    <row r="42" spans="1:35" ht="18.75" customHeight="1" x14ac:dyDescent="0.2">
      <c r="A42" s="1077" t="s">
        <v>333</v>
      </c>
      <c r="B42" s="597">
        <f>SUM(N33:P33)</f>
        <v>29</v>
      </c>
      <c r="C42" s="597">
        <f>SUM(Q33:R33)</f>
        <v>13</v>
      </c>
      <c r="D42" s="597">
        <f>SUM(S33:V33)</f>
        <v>27</v>
      </c>
      <c r="E42" s="597">
        <f>SUM(W33:Y33)</f>
        <v>22</v>
      </c>
      <c r="F42" s="597">
        <f>SUM(Z33:AA33)</f>
        <v>32</v>
      </c>
      <c r="G42" s="597">
        <f>SUM(AB33:AD33)</f>
        <v>45</v>
      </c>
      <c r="H42" s="597">
        <f>AE33</f>
        <v>46</v>
      </c>
      <c r="I42" s="597">
        <f>AF33</f>
        <v>22</v>
      </c>
      <c r="J42" s="597">
        <f>SUM(AG33:AH33)</f>
        <v>32</v>
      </c>
      <c r="K42" s="599">
        <f>SUM(B42:J42)</f>
        <v>268</v>
      </c>
      <c r="M42" s="905" t="s">
        <v>355</v>
      </c>
      <c r="N42" s="904">
        <v>7</v>
      </c>
      <c r="O42" s="904">
        <v>8</v>
      </c>
      <c r="P42" s="904">
        <v>2</v>
      </c>
      <c r="Q42" s="904">
        <v>8</v>
      </c>
      <c r="R42" s="904">
        <v>9</v>
      </c>
      <c r="S42" s="904">
        <v>4</v>
      </c>
      <c r="T42" s="904">
        <v>3</v>
      </c>
      <c r="U42" s="904">
        <v>1</v>
      </c>
      <c r="V42" s="904">
        <v>2</v>
      </c>
      <c r="W42" s="904">
        <v>10</v>
      </c>
      <c r="X42" s="904">
        <v>6</v>
      </c>
      <c r="Y42" s="904">
        <v>2</v>
      </c>
      <c r="Z42" s="904">
        <v>2</v>
      </c>
      <c r="AA42" s="904">
        <v>2</v>
      </c>
      <c r="AB42" s="904">
        <v>5</v>
      </c>
      <c r="AC42" s="904">
        <v>3</v>
      </c>
      <c r="AD42" s="904">
        <v>6</v>
      </c>
      <c r="AE42" s="904">
        <v>17</v>
      </c>
      <c r="AF42" s="904">
        <v>18</v>
      </c>
      <c r="AG42" s="904">
        <v>8</v>
      </c>
      <c r="AH42" s="904">
        <v>0</v>
      </c>
      <c r="AI42" s="17"/>
    </row>
    <row r="43" spans="1:35" ht="18.75" customHeight="1" x14ac:dyDescent="0.2">
      <c r="A43" s="1078"/>
      <c r="B43" s="845">
        <f t="shared" ref="B43:K43" si="18">B42/B$14</f>
        <v>0.16860465116279069</v>
      </c>
      <c r="C43" s="845">
        <f t="shared" si="18"/>
        <v>8.9655172413793102E-2</v>
      </c>
      <c r="D43" s="845">
        <f t="shared" si="18"/>
        <v>0.16564417177914109</v>
      </c>
      <c r="E43" s="845">
        <f t="shared" si="18"/>
        <v>0.12643678160919541</v>
      </c>
      <c r="F43" s="845">
        <f t="shared" si="18"/>
        <v>0.25196850393700787</v>
      </c>
      <c r="G43" s="845">
        <f t="shared" si="18"/>
        <v>0.17857142857142858</v>
      </c>
      <c r="H43" s="845">
        <f t="shared" si="18"/>
        <v>0.15384615384615385</v>
      </c>
      <c r="I43" s="845">
        <f t="shared" si="18"/>
        <v>0.13333333333333333</v>
      </c>
      <c r="J43" s="845">
        <f t="shared" si="18"/>
        <v>0.26446280991735538</v>
      </c>
      <c r="K43" s="845">
        <f t="shared" si="18"/>
        <v>0.16563658838071693</v>
      </c>
      <c r="M43" s="905" t="s">
        <v>169</v>
      </c>
      <c r="N43" s="904">
        <v>1</v>
      </c>
      <c r="O43" s="904">
        <v>0</v>
      </c>
      <c r="P43" s="904">
        <v>0</v>
      </c>
      <c r="Q43" s="904">
        <v>1</v>
      </c>
      <c r="R43" s="904">
        <v>0</v>
      </c>
      <c r="S43" s="904">
        <v>2</v>
      </c>
      <c r="T43" s="904">
        <v>2</v>
      </c>
      <c r="U43" s="904">
        <v>1</v>
      </c>
      <c r="V43" s="904">
        <v>0</v>
      </c>
      <c r="W43" s="904">
        <v>5</v>
      </c>
      <c r="X43" s="904">
        <v>0</v>
      </c>
      <c r="Y43" s="904">
        <v>1</v>
      </c>
      <c r="Z43" s="904">
        <v>2</v>
      </c>
      <c r="AA43" s="904">
        <v>1</v>
      </c>
      <c r="AB43" s="904">
        <v>3</v>
      </c>
      <c r="AC43" s="904">
        <v>3</v>
      </c>
      <c r="AD43" s="904">
        <v>3</v>
      </c>
      <c r="AE43" s="904">
        <v>12</v>
      </c>
      <c r="AF43" s="904">
        <v>1</v>
      </c>
      <c r="AG43" s="904">
        <v>1</v>
      </c>
      <c r="AH43" s="904">
        <v>0</v>
      </c>
      <c r="AI43" s="17"/>
    </row>
    <row r="44" spans="1:35" ht="18.75" customHeight="1" x14ac:dyDescent="0.2">
      <c r="A44" s="1077" t="s">
        <v>45</v>
      </c>
      <c r="B44" s="597">
        <f>SUM(N34:P34)</f>
        <v>61</v>
      </c>
      <c r="C44" s="597">
        <f>SUM(Q34:R34)</f>
        <v>65</v>
      </c>
      <c r="D44" s="597">
        <f>SUM(S34:V34)</f>
        <v>81</v>
      </c>
      <c r="E44" s="597">
        <f>SUM(W34:Y34)</f>
        <v>53</v>
      </c>
      <c r="F44" s="597">
        <f>SUM(Z34:AA34)</f>
        <v>13</v>
      </c>
      <c r="G44" s="597">
        <f>SUM(AB34:AD34)</f>
        <v>84</v>
      </c>
      <c r="H44" s="597">
        <f>AE34</f>
        <v>108</v>
      </c>
      <c r="I44" s="597">
        <f>AF34</f>
        <v>36</v>
      </c>
      <c r="J44" s="597">
        <f>SUM(AG34:AH34)</f>
        <v>47</v>
      </c>
      <c r="K44" s="599">
        <f>SUM(B44:J44)</f>
        <v>548</v>
      </c>
    </row>
    <row r="45" spans="1:35" ht="18.75" customHeight="1" x14ac:dyDescent="0.2">
      <c r="A45" s="1078"/>
      <c r="B45" s="845">
        <f t="shared" ref="B45:K45" si="19">B44/B$14</f>
        <v>0.35465116279069769</v>
      </c>
      <c r="C45" s="845">
        <f t="shared" si="19"/>
        <v>0.44827586206896552</v>
      </c>
      <c r="D45" s="845">
        <f t="shared" si="19"/>
        <v>0.49693251533742333</v>
      </c>
      <c r="E45" s="845">
        <f t="shared" si="19"/>
        <v>0.3045977011494253</v>
      </c>
      <c r="F45" s="845">
        <f t="shared" si="19"/>
        <v>0.10236220472440945</v>
      </c>
      <c r="G45" s="845">
        <f t="shared" si="19"/>
        <v>0.33333333333333331</v>
      </c>
      <c r="H45" s="845">
        <f t="shared" si="19"/>
        <v>0.3612040133779264</v>
      </c>
      <c r="I45" s="845">
        <f t="shared" si="19"/>
        <v>0.21818181818181817</v>
      </c>
      <c r="J45" s="845">
        <f t="shared" si="19"/>
        <v>0.38842975206611569</v>
      </c>
      <c r="K45" s="845">
        <f t="shared" si="19"/>
        <v>0.33868974042027195</v>
      </c>
    </row>
    <row r="46" spans="1:35" ht="18.75" customHeight="1" x14ac:dyDescent="0.2">
      <c r="A46" s="1077" t="s">
        <v>46</v>
      </c>
      <c r="B46" s="597">
        <f>SUM(N35:P35)</f>
        <v>6</v>
      </c>
      <c r="C46" s="597">
        <f>SUM(Q35:R35)</f>
        <v>3</v>
      </c>
      <c r="D46" s="597">
        <f>SUM(S35:V35)</f>
        <v>23</v>
      </c>
      <c r="E46" s="597">
        <f>SUM(W35:Y35)</f>
        <v>6</v>
      </c>
      <c r="F46" s="597">
        <f>SUM(Z35:AA35)</f>
        <v>4</v>
      </c>
      <c r="G46" s="597">
        <f>SUM(AB35:AD35)</f>
        <v>34</v>
      </c>
      <c r="H46" s="597">
        <f>AE35</f>
        <v>13</v>
      </c>
      <c r="I46" s="597">
        <f>AF35</f>
        <v>8</v>
      </c>
      <c r="J46" s="597">
        <f>SUM(AG35:AH35)</f>
        <v>10</v>
      </c>
      <c r="K46" s="599">
        <f>SUM(B46:J46)</f>
        <v>107</v>
      </c>
    </row>
    <row r="47" spans="1:35" ht="18.75" customHeight="1" x14ac:dyDescent="0.2">
      <c r="A47" s="1078"/>
      <c r="B47" s="845">
        <f t="shared" ref="B47:K47" si="20">B46/B$14</f>
        <v>3.4883720930232558E-2</v>
      </c>
      <c r="C47" s="845">
        <f t="shared" si="20"/>
        <v>2.0689655172413793E-2</v>
      </c>
      <c r="D47" s="845">
        <f t="shared" si="20"/>
        <v>0.1411042944785276</v>
      </c>
      <c r="E47" s="845">
        <f t="shared" si="20"/>
        <v>3.4482758620689655E-2</v>
      </c>
      <c r="F47" s="845">
        <f t="shared" si="20"/>
        <v>3.1496062992125984E-2</v>
      </c>
      <c r="G47" s="845">
        <f t="shared" si="20"/>
        <v>0.13492063492063491</v>
      </c>
      <c r="H47" s="845">
        <f t="shared" si="20"/>
        <v>4.3478260869565216E-2</v>
      </c>
      <c r="I47" s="845">
        <f t="shared" si="20"/>
        <v>4.8484848484848485E-2</v>
      </c>
      <c r="J47" s="845">
        <f t="shared" si="20"/>
        <v>8.2644628099173556E-2</v>
      </c>
      <c r="K47" s="845">
        <f t="shared" si="20"/>
        <v>6.6131025957972808E-2</v>
      </c>
    </row>
    <row r="48" spans="1:35" ht="18.75" customHeight="1" x14ac:dyDescent="0.2">
      <c r="A48" s="1077" t="s">
        <v>47</v>
      </c>
      <c r="B48" s="597">
        <f>SUM(N36:P36)</f>
        <v>12</v>
      </c>
      <c r="C48" s="597">
        <f>SUM(Q36:R36)</f>
        <v>8</v>
      </c>
      <c r="D48" s="597">
        <f>SUM(S36:V36)</f>
        <v>17</v>
      </c>
      <c r="E48" s="597">
        <f>SUM(W36:Y36)</f>
        <v>8</v>
      </c>
      <c r="F48" s="597">
        <f>SUM(Z36:AA36)</f>
        <v>2</v>
      </c>
      <c r="G48" s="597">
        <f>SUM(AB36:AD36)</f>
        <v>10</v>
      </c>
      <c r="H48" s="597">
        <f>AE36</f>
        <v>11</v>
      </c>
      <c r="I48" s="597">
        <f>AF36</f>
        <v>0</v>
      </c>
      <c r="J48" s="597">
        <f>SUM(AG36:AH36)</f>
        <v>12</v>
      </c>
      <c r="K48" s="599">
        <f>SUM(B48:J48)</f>
        <v>80</v>
      </c>
    </row>
    <row r="49" spans="1:11" ht="18.75" customHeight="1" x14ac:dyDescent="0.2">
      <c r="A49" s="1078"/>
      <c r="B49" s="845">
        <f t="shared" ref="B49:K49" si="21">B48/B$14</f>
        <v>6.9767441860465115E-2</v>
      </c>
      <c r="C49" s="845">
        <f t="shared" si="21"/>
        <v>5.5172413793103448E-2</v>
      </c>
      <c r="D49" s="845">
        <f t="shared" si="21"/>
        <v>0.10429447852760736</v>
      </c>
      <c r="E49" s="845">
        <f t="shared" si="21"/>
        <v>4.5977011494252873E-2</v>
      </c>
      <c r="F49" s="845">
        <f t="shared" si="21"/>
        <v>1.5748031496062992E-2</v>
      </c>
      <c r="G49" s="845">
        <f t="shared" si="21"/>
        <v>3.968253968253968E-2</v>
      </c>
      <c r="H49" s="845">
        <f t="shared" si="21"/>
        <v>3.678929765886288E-2</v>
      </c>
      <c r="I49" s="845">
        <f t="shared" si="21"/>
        <v>0</v>
      </c>
      <c r="J49" s="845">
        <f t="shared" si="21"/>
        <v>9.9173553719008267E-2</v>
      </c>
      <c r="K49" s="845">
        <f t="shared" si="21"/>
        <v>4.9443757725587144E-2</v>
      </c>
    </row>
    <row r="50" spans="1:11" ht="18.75" customHeight="1" x14ac:dyDescent="0.2">
      <c r="A50" s="1096" t="s">
        <v>48</v>
      </c>
      <c r="B50" s="597">
        <f>SUM(N37:P37)</f>
        <v>0</v>
      </c>
      <c r="C50" s="597">
        <f>SUM(Q37:R37)</f>
        <v>1</v>
      </c>
      <c r="D50" s="597">
        <f>SUM(S37:V37)</f>
        <v>14</v>
      </c>
      <c r="E50" s="597">
        <f>SUM(W37:Y37)</f>
        <v>0</v>
      </c>
      <c r="F50" s="597">
        <f>SUM(Z37:AA37)</f>
        <v>0</v>
      </c>
      <c r="G50" s="597">
        <f>SUM(AB37:AD37)</f>
        <v>2</v>
      </c>
      <c r="H50" s="597">
        <f>AE37</f>
        <v>1</v>
      </c>
      <c r="I50" s="597">
        <f>AF37</f>
        <v>0</v>
      </c>
      <c r="J50" s="597">
        <f>SUM(AG37:AH37)</f>
        <v>0</v>
      </c>
      <c r="K50" s="599">
        <f>SUM(B50:J50)</f>
        <v>18</v>
      </c>
    </row>
    <row r="51" spans="1:11" ht="18.75" customHeight="1" x14ac:dyDescent="0.2">
      <c r="A51" s="1078"/>
      <c r="B51" s="845">
        <f t="shared" ref="B51:K51" si="22">B50/B$14</f>
        <v>0</v>
      </c>
      <c r="C51" s="845">
        <f t="shared" si="22"/>
        <v>6.8965517241379309E-3</v>
      </c>
      <c r="D51" s="845">
        <f t="shared" si="22"/>
        <v>8.5889570552147243E-2</v>
      </c>
      <c r="E51" s="845">
        <f t="shared" si="22"/>
        <v>0</v>
      </c>
      <c r="F51" s="845">
        <f t="shared" si="22"/>
        <v>0</v>
      </c>
      <c r="G51" s="845">
        <f t="shared" si="22"/>
        <v>7.9365079365079361E-3</v>
      </c>
      <c r="H51" s="845">
        <f t="shared" si="22"/>
        <v>3.3444816053511705E-3</v>
      </c>
      <c r="I51" s="845">
        <f t="shared" si="22"/>
        <v>0</v>
      </c>
      <c r="J51" s="845">
        <f t="shared" si="22"/>
        <v>0</v>
      </c>
      <c r="K51" s="845">
        <f t="shared" si="22"/>
        <v>1.1124845488257108E-2</v>
      </c>
    </row>
    <row r="52" spans="1:11" ht="18.75" customHeight="1" x14ac:dyDescent="0.2">
      <c r="A52" s="1097" t="s">
        <v>49</v>
      </c>
      <c r="B52" s="597">
        <f>SUM(N38:P38)</f>
        <v>11</v>
      </c>
      <c r="C52" s="597">
        <f>SUM(Q38:R38)</f>
        <v>2</v>
      </c>
      <c r="D52" s="597">
        <f>SUM(S38:V38)</f>
        <v>37</v>
      </c>
      <c r="E52" s="597">
        <f>SUM(W38:Y38)</f>
        <v>16</v>
      </c>
      <c r="F52" s="597">
        <f>SUM(Z38:AA38)</f>
        <v>9</v>
      </c>
      <c r="G52" s="597">
        <f>SUM(AB38:AD38)</f>
        <v>9</v>
      </c>
      <c r="H52" s="597">
        <f>AE38</f>
        <v>29</v>
      </c>
      <c r="I52" s="597">
        <f>AF38</f>
        <v>15</v>
      </c>
      <c r="J52" s="597">
        <f>SUM(AG38:AH38)</f>
        <v>15</v>
      </c>
      <c r="K52" s="599">
        <f>SUM(B52:J52)</f>
        <v>143</v>
      </c>
    </row>
    <row r="53" spans="1:11" ht="18.75" customHeight="1" x14ac:dyDescent="0.2">
      <c r="A53" s="1098"/>
      <c r="B53" s="845">
        <f t="shared" ref="B53:K53" si="23">B52/B$14</f>
        <v>6.3953488372093026E-2</v>
      </c>
      <c r="C53" s="845">
        <f t="shared" si="23"/>
        <v>1.3793103448275862E-2</v>
      </c>
      <c r="D53" s="845">
        <f t="shared" si="23"/>
        <v>0.22699386503067484</v>
      </c>
      <c r="E53" s="845">
        <f t="shared" si="23"/>
        <v>9.1954022988505746E-2</v>
      </c>
      <c r="F53" s="845">
        <f t="shared" si="23"/>
        <v>7.0866141732283464E-2</v>
      </c>
      <c r="G53" s="845">
        <f t="shared" si="23"/>
        <v>3.5714285714285712E-2</v>
      </c>
      <c r="H53" s="845">
        <f t="shared" si="23"/>
        <v>9.6989966555183951E-2</v>
      </c>
      <c r="I53" s="845">
        <f t="shared" si="23"/>
        <v>9.0909090909090912E-2</v>
      </c>
      <c r="J53" s="845">
        <f t="shared" si="23"/>
        <v>0.12396694214876033</v>
      </c>
      <c r="K53" s="845">
        <f t="shared" si="23"/>
        <v>8.8380716934487027E-2</v>
      </c>
    </row>
    <row r="54" spans="1:11" ht="18.75" customHeight="1" x14ac:dyDescent="0.2">
      <c r="A54" s="1097" t="s">
        <v>50</v>
      </c>
      <c r="B54" s="597">
        <f>SUM(N39:P39)</f>
        <v>22</v>
      </c>
      <c r="C54" s="597">
        <f>SUM(Q39:R39)</f>
        <v>7</v>
      </c>
      <c r="D54" s="597">
        <f>SUM(S39:V39)</f>
        <v>31</v>
      </c>
      <c r="E54" s="597">
        <f>SUM(W39:Y39)</f>
        <v>18</v>
      </c>
      <c r="F54" s="597">
        <f>SUM(Z39:AA39)</f>
        <v>8</v>
      </c>
      <c r="G54" s="597">
        <f>SUM(AB39:AD39)</f>
        <v>6</v>
      </c>
      <c r="H54" s="597">
        <f>AE39</f>
        <v>19</v>
      </c>
      <c r="I54" s="597">
        <f>AF39</f>
        <v>11</v>
      </c>
      <c r="J54" s="597">
        <f>SUM(AG39:AH39)</f>
        <v>16</v>
      </c>
      <c r="K54" s="599">
        <f>SUM(B54:J54)</f>
        <v>138</v>
      </c>
    </row>
    <row r="55" spans="1:11" ht="18.75" customHeight="1" x14ac:dyDescent="0.2">
      <c r="A55" s="1098"/>
      <c r="B55" s="845">
        <f t="shared" ref="B55:K55" si="24">B54/B$14</f>
        <v>0.12790697674418605</v>
      </c>
      <c r="C55" s="845">
        <f t="shared" si="24"/>
        <v>4.8275862068965517E-2</v>
      </c>
      <c r="D55" s="845">
        <f t="shared" si="24"/>
        <v>0.19018404907975461</v>
      </c>
      <c r="E55" s="845">
        <f t="shared" si="24"/>
        <v>0.10344827586206896</v>
      </c>
      <c r="F55" s="845">
        <f t="shared" si="24"/>
        <v>6.2992125984251968E-2</v>
      </c>
      <c r="G55" s="845">
        <f t="shared" si="24"/>
        <v>2.3809523809523808E-2</v>
      </c>
      <c r="H55" s="845">
        <f t="shared" si="24"/>
        <v>6.354515050167224E-2</v>
      </c>
      <c r="I55" s="845">
        <f t="shared" si="24"/>
        <v>6.6666666666666666E-2</v>
      </c>
      <c r="J55" s="845">
        <f t="shared" si="24"/>
        <v>0.13223140495867769</v>
      </c>
      <c r="K55" s="845">
        <f t="shared" si="24"/>
        <v>8.5290482076637822E-2</v>
      </c>
    </row>
    <row r="56" spans="1:11" ht="18.75" customHeight="1" x14ac:dyDescent="0.2">
      <c r="A56" s="1097" t="s">
        <v>314</v>
      </c>
      <c r="B56" s="597">
        <f>SUM(N40:P40)</f>
        <v>1</v>
      </c>
      <c r="C56" s="597">
        <f>SUM(Q40:R40)</f>
        <v>1</v>
      </c>
      <c r="D56" s="597">
        <f>SUM(S40:V40)</f>
        <v>0</v>
      </c>
      <c r="E56" s="597">
        <f>SUM(W40:Y40)</f>
        <v>1</v>
      </c>
      <c r="F56" s="597">
        <f>SUM(Z40:AA40)</f>
        <v>1</v>
      </c>
      <c r="G56" s="597">
        <f>SUM(AB40:AD40)</f>
        <v>2</v>
      </c>
      <c r="H56" s="597">
        <f>AE40</f>
        <v>5</v>
      </c>
      <c r="I56" s="597">
        <f>AF40</f>
        <v>0</v>
      </c>
      <c r="J56" s="597">
        <f>SUM(AG40:AH40)</f>
        <v>9</v>
      </c>
      <c r="K56" s="599">
        <f>SUM(B56:J56)</f>
        <v>20</v>
      </c>
    </row>
    <row r="57" spans="1:11" ht="18.75" customHeight="1" x14ac:dyDescent="0.2">
      <c r="A57" s="1098"/>
      <c r="B57" s="845">
        <f t="shared" ref="B57:K57" si="25">B56/B$14</f>
        <v>5.8139534883720929E-3</v>
      </c>
      <c r="C57" s="845">
        <f t="shared" si="25"/>
        <v>6.8965517241379309E-3</v>
      </c>
      <c r="D57" s="845">
        <f t="shared" si="25"/>
        <v>0</v>
      </c>
      <c r="E57" s="845">
        <f t="shared" si="25"/>
        <v>5.7471264367816091E-3</v>
      </c>
      <c r="F57" s="845">
        <f t="shared" si="25"/>
        <v>7.874015748031496E-3</v>
      </c>
      <c r="G57" s="845">
        <f t="shared" si="25"/>
        <v>7.9365079365079361E-3</v>
      </c>
      <c r="H57" s="845">
        <f t="shared" si="25"/>
        <v>1.6722408026755852E-2</v>
      </c>
      <c r="I57" s="845">
        <f t="shared" si="25"/>
        <v>0</v>
      </c>
      <c r="J57" s="845">
        <f t="shared" si="25"/>
        <v>7.43801652892562E-2</v>
      </c>
      <c r="K57" s="845">
        <f t="shared" si="25"/>
        <v>1.2360939431396786E-2</v>
      </c>
    </row>
    <row r="58" spans="1:11" ht="18.75" customHeight="1" x14ac:dyDescent="0.2">
      <c r="A58" s="1077" t="s">
        <v>349</v>
      </c>
      <c r="B58" s="597">
        <f>SUM(N41:P41)</f>
        <v>36</v>
      </c>
      <c r="C58" s="597">
        <f>SUM(Q41:R41)</f>
        <v>38</v>
      </c>
      <c r="D58" s="597">
        <f>SUM(S41:V41)</f>
        <v>32</v>
      </c>
      <c r="E58" s="597">
        <f>SUM(W41:Y41)</f>
        <v>35</v>
      </c>
      <c r="F58" s="597">
        <f>SUM(Z41:AA41)</f>
        <v>16</v>
      </c>
      <c r="G58" s="597">
        <f>SUM(AB41:AD41)</f>
        <v>57</v>
      </c>
      <c r="H58" s="597">
        <f>SUM(AE41)</f>
        <v>36</v>
      </c>
      <c r="I58" s="597">
        <f>SUM(AF41)</f>
        <v>41</v>
      </c>
      <c r="J58" s="597">
        <f>SUM(AG41:AH41)</f>
        <v>20</v>
      </c>
      <c r="K58" s="599">
        <f>SUM(B58:J58)</f>
        <v>311</v>
      </c>
    </row>
    <row r="59" spans="1:11" ht="18.75" customHeight="1" x14ac:dyDescent="0.2">
      <c r="A59" s="1078"/>
      <c r="B59" s="845">
        <f t="shared" ref="B59:K59" si="26">B58/B$14</f>
        <v>0.20930232558139536</v>
      </c>
      <c r="C59" s="845">
        <f t="shared" si="26"/>
        <v>0.2620689655172414</v>
      </c>
      <c r="D59" s="845">
        <f t="shared" si="26"/>
        <v>0.19631901840490798</v>
      </c>
      <c r="E59" s="845">
        <f t="shared" si="26"/>
        <v>0.20114942528735633</v>
      </c>
      <c r="F59" s="845">
        <f t="shared" si="26"/>
        <v>0.12598425196850394</v>
      </c>
      <c r="G59" s="845">
        <f t="shared" si="26"/>
        <v>0.22619047619047619</v>
      </c>
      <c r="H59" s="845">
        <f t="shared" si="26"/>
        <v>0.12040133779264214</v>
      </c>
      <c r="I59" s="845">
        <f t="shared" si="26"/>
        <v>0.24848484848484848</v>
      </c>
      <c r="J59" s="845">
        <f t="shared" si="26"/>
        <v>0.16528925619834711</v>
      </c>
      <c r="K59" s="845">
        <f t="shared" si="26"/>
        <v>0.19221260815822003</v>
      </c>
    </row>
    <row r="60" spans="1:11" ht="18.75" customHeight="1" x14ac:dyDescent="0.2">
      <c r="A60" s="1099" t="s">
        <v>350</v>
      </c>
      <c r="B60" s="597">
        <f>SUM(N42:P42)</f>
        <v>17</v>
      </c>
      <c r="C60" s="597">
        <f>SUM(Q42:R42)</f>
        <v>17</v>
      </c>
      <c r="D60" s="597">
        <f>SUM(S42:V42)</f>
        <v>10</v>
      </c>
      <c r="E60" s="597">
        <f>SUM(W42:Y42)</f>
        <v>18</v>
      </c>
      <c r="F60" s="597">
        <f>SUM(Z42:AA42)</f>
        <v>4</v>
      </c>
      <c r="G60" s="597">
        <f>SUM(AB42:AD42)</f>
        <v>14</v>
      </c>
      <c r="H60" s="597">
        <f>SUM(AE42)</f>
        <v>17</v>
      </c>
      <c r="I60" s="597">
        <f>SUM(AF42)</f>
        <v>18</v>
      </c>
      <c r="J60" s="597">
        <f>SUM(AG42:AH42)</f>
        <v>8</v>
      </c>
      <c r="K60" s="599">
        <f>SUM(B60:J60)</f>
        <v>123</v>
      </c>
    </row>
    <row r="61" spans="1:11" ht="18.75" customHeight="1" x14ac:dyDescent="0.2">
      <c r="A61" s="1100"/>
      <c r="B61" s="845">
        <f t="shared" ref="B61:K61" si="27">B60/B$14</f>
        <v>9.8837209302325577E-2</v>
      </c>
      <c r="C61" s="845">
        <f t="shared" si="27"/>
        <v>0.11724137931034483</v>
      </c>
      <c r="D61" s="845">
        <f t="shared" si="27"/>
        <v>6.1349693251533742E-2</v>
      </c>
      <c r="E61" s="845">
        <f t="shared" si="27"/>
        <v>0.10344827586206896</v>
      </c>
      <c r="F61" s="845">
        <f t="shared" si="27"/>
        <v>3.1496062992125984E-2</v>
      </c>
      <c r="G61" s="845">
        <f t="shared" si="27"/>
        <v>5.5555555555555552E-2</v>
      </c>
      <c r="H61" s="845">
        <f t="shared" si="27"/>
        <v>5.6856187290969896E-2</v>
      </c>
      <c r="I61" s="845">
        <f t="shared" si="27"/>
        <v>0.10909090909090909</v>
      </c>
      <c r="J61" s="845">
        <f t="shared" si="27"/>
        <v>6.6115702479338845E-2</v>
      </c>
      <c r="K61" s="845">
        <f t="shared" si="27"/>
        <v>7.6019777503090233E-2</v>
      </c>
    </row>
    <row r="62" spans="1:11" ht="18.75" customHeight="1" x14ac:dyDescent="0.2">
      <c r="A62" s="1077" t="s">
        <v>52</v>
      </c>
      <c r="B62" s="597">
        <f>SUM(N43:P43)</f>
        <v>1</v>
      </c>
      <c r="C62" s="597">
        <f>SUM(Q43:R43)</f>
        <v>1</v>
      </c>
      <c r="D62" s="597">
        <f>SUM(S43:V43)</f>
        <v>5</v>
      </c>
      <c r="E62" s="597">
        <f>SUM(W43:Y43)</f>
        <v>6</v>
      </c>
      <c r="F62" s="597">
        <f>SUM(Z43:AA43)</f>
        <v>3</v>
      </c>
      <c r="G62" s="597">
        <f>SUM(AB43:AD43)</f>
        <v>9</v>
      </c>
      <c r="H62" s="597">
        <f>SUM(AE43)</f>
        <v>12</v>
      </c>
      <c r="I62" s="597">
        <f>SUM(AF43)</f>
        <v>1</v>
      </c>
      <c r="J62" s="597">
        <f>SUM(AG43:AH43)</f>
        <v>1</v>
      </c>
      <c r="K62" s="599">
        <f>SUM(B62:J62)</f>
        <v>39</v>
      </c>
    </row>
    <row r="63" spans="1:11" ht="18.75" customHeight="1" x14ac:dyDescent="0.2">
      <c r="A63" s="1078"/>
      <c r="B63" s="845">
        <f t="shared" ref="B63:K63" si="28">B62/B$14</f>
        <v>5.8139534883720929E-3</v>
      </c>
      <c r="C63" s="845">
        <f t="shared" si="28"/>
        <v>6.8965517241379309E-3</v>
      </c>
      <c r="D63" s="845">
        <f t="shared" si="28"/>
        <v>3.0674846625766871E-2</v>
      </c>
      <c r="E63" s="845">
        <f t="shared" si="28"/>
        <v>3.4482758620689655E-2</v>
      </c>
      <c r="F63" s="845">
        <f t="shared" si="28"/>
        <v>2.3622047244094488E-2</v>
      </c>
      <c r="G63" s="845">
        <f t="shared" si="28"/>
        <v>3.5714285714285712E-2</v>
      </c>
      <c r="H63" s="845">
        <f t="shared" si="28"/>
        <v>4.0133779264214048E-2</v>
      </c>
      <c r="I63" s="845">
        <f t="shared" si="28"/>
        <v>6.0606060606060606E-3</v>
      </c>
      <c r="J63" s="845">
        <f t="shared" si="28"/>
        <v>8.2644628099173556E-3</v>
      </c>
      <c r="K63" s="845">
        <f t="shared" si="28"/>
        <v>2.4103831891223733E-2</v>
      </c>
    </row>
    <row r="64" spans="1:11" x14ac:dyDescent="0.2">
      <c r="B64" s="17"/>
      <c r="C64" s="17"/>
      <c r="D64" s="17"/>
      <c r="E64" s="17"/>
      <c r="F64" s="17"/>
      <c r="G64" s="17"/>
      <c r="H64" s="17"/>
      <c r="I64" s="17"/>
    </row>
    <row r="65" spans="1:9" x14ac:dyDescent="0.2">
      <c r="A65" s="22"/>
      <c r="B65" s="22"/>
      <c r="C65" s="22"/>
      <c r="D65" s="22"/>
      <c r="E65" s="22"/>
      <c r="F65" s="22"/>
      <c r="G65" s="22"/>
      <c r="H65" s="22"/>
      <c r="I65" s="22"/>
    </row>
    <row r="66" spans="1:9" x14ac:dyDescent="0.2">
      <c r="A66" s="688"/>
      <c r="B66" s="17"/>
      <c r="C66" s="17"/>
      <c r="D66" s="17"/>
      <c r="E66" s="17"/>
      <c r="F66" s="17"/>
      <c r="G66" s="17"/>
      <c r="H66" s="17"/>
      <c r="I66" s="17"/>
    </row>
  </sheetData>
  <mergeCells count="25">
    <mergeCell ref="A24:A25"/>
    <mergeCell ref="A4:A5"/>
    <mergeCell ref="A6:A7"/>
    <mergeCell ref="A8:A9"/>
    <mergeCell ref="A14:A15"/>
    <mergeCell ref="A16:A17"/>
    <mergeCell ref="A48:A49"/>
    <mergeCell ref="A26:A27"/>
    <mergeCell ref="A28:A29"/>
    <mergeCell ref="A30:A31"/>
    <mergeCell ref="A32:A33"/>
    <mergeCell ref="A34:A35"/>
    <mergeCell ref="A36:A37"/>
    <mergeCell ref="A38:A39"/>
    <mergeCell ref="A40:A41"/>
    <mergeCell ref="A42:A43"/>
    <mergeCell ref="A44:A45"/>
    <mergeCell ref="A46:A47"/>
    <mergeCell ref="A62:A63"/>
    <mergeCell ref="A50:A51"/>
    <mergeCell ref="A52:A53"/>
    <mergeCell ref="A54:A55"/>
    <mergeCell ref="A56:A57"/>
    <mergeCell ref="A58:A59"/>
    <mergeCell ref="A60:A61"/>
  </mergeCells>
  <phoneticPr fontId="2"/>
  <pageMargins left="0.70866141732283472" right="0.70866141732283472" top="0.74803149606299213" bottom="0.74803149606299213" header="0.31496062992125984" footer="0.31496062992125984"/>
  <pageSetup paperSize="9" scale="63" orientation="portrait" r:id="rId1"/>
  <rowBreaks count="1" manualBreakCount="1">
    <brk id="2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25" r:id="rId4" name="Button 1">
              <controlPr defaultSize="0" print="0" autoFill="0" autoPict="0" macro="[0]!データ削除_退院阻害入院時住所地">
                <anchor moveWithCells="1" sizeWithCells="1">
                  <from>
                    <xdr:col>12</xdr:col>
                    <xdr:colOff>121920</xdr:colOff>
                    <xdr:row>45</xdr:row>
                    <xdr:rowOff>213360</xdr:rowOff>
                  </from>
                  <to>
                    <xdr:col>15</xdr:col>
                    <xdr:colOff>335280</xdr:colOff>
                    <xdr:row>48</xdr:row>
                    <xdr:rowOff>106680</xdr:rowOff>
                  </to>
                </anchor>
              </controlPr>
            </control>
          </mc:Choice>
        </mc:AlternateContent>
      </controls>
    </mc:Choice>
  </mc:AlternateContent>
  <tableParts count="3">
    <tablePart r:id="rId5"/>
    <tablePart r:id="rId6"/>
    <tablePart r:id="rId7"/>
  </tablePart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20B5C-29AB-458B-B7A7-30D19FD36260}">
  <sheetPr codeName="Sheet45">
    <tabColor rgb="FF4D99BB"/>
    <pageSetUpPr fitToPage="1"/>
  </sheetPr>
  <dimension ref="A1:AX55"/>
  <sheetViews>
    <sheetView showGridLines="0" view="pageBreakPreview" zoomScale="80" zoomScaleNormal="80" zoomScaleSheetLayoutView="80" workbookViewId="0"/>
  </sheetViews>
  <sheetFormatPr defaultColWidth="13.77734375" defaultRowHeight="17.399999999999999" x14ac:dyDescent="0.2"/>
  <cols>
    <col min="1" max="1" width="10.44140625" style="676" customWidth="1"/>
    <col min="2" max="11" width="8.77734375" style="676" customWidth="1"/>
    <col min="12" max="13" width="7.21875" style="676" hidden="1" customWidth="1"/>
    <col min="14" max="14" width="10.33203125" style="676" hidden="1" customWidth="1"/>
    <col min="15" max="15" width="11" style="676" hidden="1" customWidth="1"/>
    <col min="16" max="17" width="12.88671875" style="676" hidden="1" customWidth="1"/>
    <col min="18" max="18" width="9.109375" style="676" hidden="1" customWidth="1"/>
    <col min="19" max="19" width="12.88671875" style="676" hidden="1" customWidth="1"/>
    <col min="20" max="20" width="14.77734375" style="676" hidden="1" customWidth="1"/>
    <col min="21" max="21" width="16.6640625" style="676" hidden="1" customWidth="1"/>
    <col min="22" max="23" width="12.88671875" style="676" hidden="1" customWidth="1"/>
    <col min="24" max="24" width="16.6640625" style="676" hidden="1" customWidth="1"/>
    <col min="25" max="25" width="14.77734375" style="676" hidden="1" customWidth="1"/>
    <col min="26" max="28" width="12.88671875" style="676" hidden="1" customWidth="1"/>
    <col min="29" max="32" width="11" style="676" hidden="1" customWidth="1"/>
    <col min="33" max="33" width="9.109375" style="676" hidden="1" customWidth="1"/>
    <col min="34" max="34" width="11" style="676" hidden="1" customWidth="1"/>
    <col min="35" max="35" width="14.77734375" style="676" hidden="1" customWidth="1"/>
    <col min="36" max="36" width="6.6640625" style="676" hidden="1" customWidth="1"/>
    <col min="37" max="48" width="6.33203125" style="676" hidden="1" customWidth="1"/>
    <col min="49" max="49" width="13.77734375" style="676" hidden="1" customWidth="1"/>
    <col min="50" max="16384" width="13.77734375" style="676"/>
  </cols>
  <sheetData>
    <row r="1" spans="1:47" s="677" customFormat="1" ht="19.2" x14ac:dyDescent="0.2">
      <c r="A1" s="2" t="s">
        <v>556</v>
      </c>
    </row>
    <row r="2" spans="1:47" x14ac:dyDescent="0.2">
      <c r="A2" s="4"/>
    </row>
    <row r="3" spans="1:47" ht="18" thickBot="1" x14ac:dyDescent="0.25">
      <c r="A3" s="1112" t="s">
        <v>557</v>
      </c>
      <c r="B3" s="1114" t="s">
        <v>558</v>
      </c>
      <c r="C3" s="1115"/>
      <c r="D3" s="1115"/>
      <c r="E3" s="1115"/>
      <c r="F3" s="1115"/>
      <c r="G3" s="1115"/>
      <c r="H3" s="1115"/>
      <c r="I3" s="1115"/>
      <c r="J3" s="1115"/>
      <c r="K3" s="1116"/>
      <c r="AL3" s="363" t="s">
        <v>559</v>
      </c>
      <c r="AM3" s="363"/>
    </row>
    <row r="4" spans="1:47" ht="33.6" thickTop="1" thickBot="1" x14ac:dyDescent="0.25">
      <c r="A4" s="1113"/>
      <c r="B4" s="906" t="s">
        <v>356</v>
      </c>
      <c r="C4" s="906" t="s">
        <v>357</v>
      </c>
      <c r="D4" s="906" t="s">
        <v>358</v>
      </c>
      <c r="E4" s="906" t="s">
        <v>359</v>
      </c>
      <c r="F4" s="906" t="s">
        <v>360</v>
      </c>
      <c r="G4" s="906" t="s">
        <v>361</v>
      </c>
      <c r="H4" s="906" t="s">
        <v>362</v>
      </c>
      <c r="I4" s="906" t="s">
        <v>363</v>
      </c>
      <c r="J4" s="907" t="s">
        <v>378</v>
      </c>
      <c r="K4" s="906" t="s">
        <v>61</v>
      </c>
      <c r="L4" s="688"/>
      <c r="M4" s="688"/>
      <c r="N4" s="844" t="s">
        <v>436</v>
      </c>
      <c r="O4" s="805" t="s">
        <v>364</v>
      </c>
      <c r="P4" s="805" t="s">
        <v>365</v>
      </c>
      <c r="Q4" s="805" t="s">
        <v>366</v>
      </c>
      <c r="R4" s="805" t="s">
        <v>367</v>
      </c>
      <c r="S4" s="805" t="s">
        <v>368</v>
      </c>
      <c r="T4" s="805" t="s">
        <v>369</v>
      </c>
      <c r="U4" s="805" t="s">
        <v>370</v>
      </c>
      <c r="V4" s="805" t="s">
        <v>371</v>
      </c>
      <c r="W4" s="805" t="s">
        <v>372</v>
      </c>
      <c r="X4" s="805" t="s">
        <v>373</v>
      </c>
      <c r="Y4" s="805" t="s">
        <v>386</v>
      </c>
      <c r="Z4" s="805" t="s">
        <v>387</v>
      </c>
      <c r="AA4" s="805" t="s">
        <v>388</v>
      </c>
      <c r="AB4" s="805" t="s">
        <v>389</v>
      </c>
      <c r="AC4" s="805" t="s">
        <v>390</v>
      </c>
      <c r="AD4" s="805" t="s">
        <v>391</v>
      </c>
      <c r="AE4" s="805" t="s">
        <v>392</v>
      </c>
      <c r="AF4" s="805" t="s">
        <v>393</v>
      </c>
      <c r="AG4" s="805" t="s">
        <v>394</v>
      </c>
      <c r="AH4" s="805" t="s">
        <v>429</v>
      </c>
      <c r="AI4" s="805" t="s">
        <v>430</v>
      </c>
      <c r="AJ4" s="688"/>
      <c r="AK4" s="688"/>
      <c r="AL4" s="688" t="s">
        <v>560</v>
      </c>
      <c r="AM4" s="688" t="s">
        <v>561</v>
      </c>
      <c r="AN4" s="688" t="s">
        <v>562</v>
      </c>
      <c r="AO4" s="688" t="s">
        <v>563</v>
      </c>
      <c r="AP4" s="688" t="s">
        <v>564</v>
      </c>
      <c r="AQ4" s="688" t="s">
        <v>565</v>
      </c>
      <c r="AR4" s="688" t="s">
        <v>566</v>
      </c>
      <c r="AS4" s="688" t="s">
        <v>567</v>
      </c>
      <c r="AT4" s="688" t="s">
        <v>568</v>
      </c>
      <c r="AU4" s="688"/>
    </row>
    <row r="5" spans="1:47" ht="18" thickTop="1" x14ac:dyDescent="0.2">
      <c r="A5" s="1071" t="s">
        <v>356</v>
      </c>
      <c r="B5" s="908">
        <f t="shared" ref="B5:J5" si="0">SUM(AL5:AL7)</f>
        <v>817</v>
      </c>
      <c r="C5" s="908">
        <f t="shared" si="0"/>
        <v>72</v>
      </c>
      <c r="D5" s="908">
        <f t="shared" si="0"/>
        <v>30</v>
      </c>
      <c r="E5" s="908">
        <f t="shared" si="0"/>
        <v>10</v>
      </c>
      <c r="F5" s="908">
        <f t="shared" si="0"/>
        <v>11</v>
      </c>
      <c r="G5" s="908">
        <f t="shared" si="0"/>
        <v>3</v>
      </c>
      <c r="H5" s="908">
        <f t="shared" si="0"/>
        <v>384</v>
      </c>
      <c r="I5" s="908">
        <f t="shared" si="0"/>
        <v>4</v>
      </c>
      <c r="J5" s="908">
        <f t="shared" si="0"/>
        <v>277</v>
      </c>
      <c r="K5" s="909">
        <f>SUM(B5:J5)</f>
        <v>1608</v>
      </c>
      <c r="L5" s="688"/>
      <c r="M5" s="251"/>
      <c r="N5" s="910" t="s">
        <v>364</v>
      </c>
      <c r="O5" s="849">
        <v>187</v>
      </c>
      <c r="P5" s="849">
        <v>70</v>
      </c>
      <c r="Q5" s="849">
        <v>69</v>
      </c>
      <c r="R5" s="849">
        <v>19</v>
      </c>
      <c r="S5" s="849">
        <v>3</v>
      </c>
      <c r="T5" s="849">
        <v>2</v>
      </c>
      <c r="U5" s="849">
        <v>1</v>
      </c>
      <c r="V5" s="849">
        <v>3</v>
      </c>
      <c r="W5" s="849"/>
      <c r="X5" s="849">
        <v>1</v>
      </c>
      <c r="Y5" s="849">
        <v>1</v>
      </c>
      <c r="Z5" s="849"/>
      <c r="AA5" s="849"/>
      <c r="AB5" s="849"/>
      <c r="AC5" s="849"/>
      <c r="AD5" s="849"/>
      <c r="AE5" s="849">
        <v>1</v>
      </c>
      <c r="AF5" s="849">
        <v>62</v>
      </c>
      <c r="AG5" s="849">
        <v>1</v>
      </c>
      <c r="AH5" s="849">
        <v>101</v>
      </c>
      <c r="AI5" s="849">
        <v>3</v>
      </c>
      <c r="AJ5" s="688"/>
      <c r="AK5" s="250" t="s">
        <v>364</v>
      </c>
      <c r="AL5" s="911">
        <f t="shared" ref="AL5:AL23" si="1">SUM(O5:Q5)</f>
        <v>326</v>
      </c>
      <c r="AM5" s="912">
        <f t="shared" ref="AM5:AM23" si="2">SUM(R5:S5)</f>
        <v>22</v>
      </c>
      <c r="AN5" s="912">
        <f t="shared" ref="AN5:AN23" si="3">SUM(T5:W5)</f>
        <v>6</v>
      </c>
      <c r="AO5" s="912">
        <f t="shared" ref="AO5:AO23" si="4">SUM(X5:Z5)</f>
        <v>2</v>
      </c>
      <c r="AP5" s="912">
        <f t="shared" ref="AP5:AP23" si="5">SUM(AA5:AB5)</f>
        <v>0</v>
      </c>
      <c r="AQ5" s="912">
        <f t="shared" ref="AQ5:AQ23" si="6">SUM(AC5:AE5)</f>
        <v>1</v>
      </c>
      <c r="AR5" s="912">
        <f t="shared" ref="AR5:AS23" si="7">AF5</f>
        <v>62</v>
      </c>
      <c r="AS5" s="912">
        <f t="shared" si="7"/>
        <v>1</v>
      </c>
      <c r="AT5" s="912">
        <f t="shared" ref="AT5:AT23" si="8">SUM(AH5:AI5)</f>
        <v>104</v>
      </c>
      <c r="AU5" s="688"/>
    </row>
    <row r="6" spans="1:47" x14ac:dyDescent="0.2">
      <c r="A6" s="1093"/>
      <c r="B6" s="913">
        <f>B5/B$21</f>
        <v>0.7116724738675958</v>
      </c>
      <c r="C6" s="913">
        <f t="shared" ref="C6:K6" si="9">C5/C$21</f>
        <v>5.9308072487644151E-2</v>
      </c>
      <c r="D6" s="913">
        <f t="shared" si="9"/>
        <v>2.4077046548956663E-2</v>
      </c>
      <c r="E6" s="913">
        <f t="shared" si="9"/>
        <v>9.5147478591817315E-3</v>
      </c>
      <c r="F6" s="913">
        <f t="shared" si="9"/>
        <v>1.0416666666666666E-2</v>
      </c>
      <c r="G6" s="913">
        <f t="shared" si="9"/>
        <v>1.0056989607777405E-3</v>
      </c>
      <c r="H6" s="913">
        <f t="shared" si="9"/>
        <v>0.13631522896698617</v>
      </c>
      <c r="I6" s="913">
        <f t="shared" si="9"/>
        <v>2.8985507246376812E-3</v>
      </c>
      <c r="J6" s="913">
        <f t="shared" si="9"/>
        <v>0.24910071942446044</v>
      </c>
      <c r="K6" s="913">
        <f t="shared" si="9"/>
        <v>0.11479974298565003</v>
      </c>
      <c r="L6" s="688"/>
      <c r="M6" s="251"/>
      <c r="N6" s="910" t="s">
        <v>365</v>
      </c>
      <c r="O6" s="849">
        <v>47</v>
      </c>
      <c r="P6" s="849">
        <v>255</v>
      </c>
      <c r="Q6" s="849">
        <v>55</v>
      </c>
      <c r="R6" s="849">
        <v>21</v>
      </c>
      <c r="S6" s="849">
        <v>11</v>
      </c>
      <c r="T6" s="849">
        <v>5</v>
      </c>
      <c r="U6" s="849">
        <v>2</v>
      </c>
      <c r="V6" s="849">
        <v>6</v>
      </c>
      <c r="W6" s="849">
        <v>2</v>
      </c>
      <c r="X6" s="849">
        <v>7</v>
      </c>
      <c r="Y6" s="849">
        <v>1</v>
      </c>
      <c r="Z6" s="849"/>
      <c r="AA6" s="849">
        <v>1</v>
      </c>
      <c r="AB6" s="849">
        <v>6</v>
      </c>
      <c r="AC6" s="849">
        <v>1</v>
      </c>
      <c r="AD6" s="849"/>
      <c r="AE6" s="849"/>
      <c r="AF6" s="849">
        <v>265</v>
      </c>
      <c r="AG6" s="849">
        <v>1</v>
      </c>
      <c r="AH6" s="849">
        <v>136</v>
      </c>
      <c r="AI6" s="849">
        <v>1</v>
      </c>
      <c r="AJ6" s="688"/>
      <c r="AK6" s="250" t="s">
        <v>365</v>
      </c>
      <c r="AL6" s="251">
        <f t="shared" si="1"/>
        <v>357</v>
      </c>
      <c r="AM6" s="688">
        <f t="shared" si="2"/>
        <v>32</v>
      </c>
      <c r="AN6" s="688">
        <f t="shared" si="3"/>
        <v>15</v>
      </c>
      <c r="AO6" s="688">
        <f t="shared" si="4"/>
        <v>8</v>
      </c>
      <c r="AP6" s="688">
        <f t="shared" si="5"/>
        <v>7</v>
      </c>
      <c r="AQ6" s="688">
        <f t="shared" si="6"/>
        <v>1</v>
      </c>
      <c r="AR6" s="688">
        <f t="shared" si="7"/>
        <v>265</v>
      </c>
      <c r="AS6" s="688">
        <f t="shared" si="7"/>
        <v>1</v>
      </c>
      <c r="AT6" s="688">
        <f t="shared" si="8"/>
        <v>137</v>
      </c>
      <c r="AU6" s="688"/>
    </row>
    <row r="7" spans="1:47" x14ac:dyDescent="0.2">
      <c r="A7" s="1071" t="s">
        <v>357</v>
      </c>
      <c r="B7" s="908">
        <f t="shared" ref="B7:J7" si="10">SUM(AL8:AL9)</f>
        <v>199</v>
      </c>
      <c r="C7" s="908">
        <f t="shared" si="10"/>
        <v>1062</v>
      </c>
      <c r="D7" s="908">
        <f t="shared" si="10"/>
        <v>105</v>
      </c>
      <c r="E7" s="908">
        <f t="shared" si="10"/>
        <v>23</v>
      </c>
      <c r="F7" s="908">
        <f t="shared" si="10"/>
        <v>6</v>
      </c>
      <c r="G7" s="908">
        <f t="shared" si="10"/>
        <v>6</v>
      </c>
      <c r="H7" s="908">
        <f t="shared" si="10"/>
        <v>245</v>
      </c>
      <c r="I7" s="908">
        <f t="shared" si="10"/>
        <v>6</v>
      </c>
      <c r="J7" s="908">
        <f t="shared" si="10"/>
        <v>161</v>
      </c>
      <c r="K7" s="909">
        <f>SUM(B7:J7)</f>
        <v>1813</v>
      </c>
      <c r="L7" s="688"/>
      <c r="M7" s="251"/>
      <c r="N7" s="910" t="s">
        <v>366</v>
      </c>
      <c r="O7" s="849">
        <v>11</v>
      </c>
      <c r="P7" s="849">
        <v>26</v>
      </c>
      <c r="Q7" s="849">
        <v>97</v>
      </c>
      <c r="R7" s="849">
        <v>16</v>
      </c>
      <c r="S7" s="849">
        <v>2</v>
      </c>
      <c r="T7" s="849">
        <v>2</v>
      </c>
      <c r="U7" s="849">
        <v>5</v>
      </c>
      <c r="V7" s="849">
        <v>1</v>
      </c>
      <c r="W7" s="849">
        <v>1</v>
      </c>
      <c r="X7" s="849"/>
      <c r="Y7" s="849"/>
      <c r="Z7" s="849"/>
      <c r="AA7" s="849">
        <v>3</v>
      </c>
      <c r="AB7" s="849">
        <v>1</v>
      </c>
      <c r="AC7" s="849"/>
      <c r="AD7" s="849">
        <v>1</v>
      </c>
      <c r="AE7" s="849"/>
      <c r="AF7" s="849">
        <v>57</v>
      </c>
      <c r="AG7" s="849">
        <v>2</v>
      </c>
      <c r="AH7" s="849">
        <v>34</v>
      </c>
      <c r="AI7" s="849">
        <v>2</v>
      </c>
      <c r="AJ7" s="688"/>
      <c r="AK7" s="250" t="s">
        <v>366</v>
      </c>
      <c r="AL7" s="251">
        <f t="shared" si="1"/>
        <v>134</v>
      </c>
      <c r="AM7" s="688">
        <f t="shared" si="2"/>
        <v>18</v>
      </c>
      <c r="AN7" s="688">
        <f t="shared" si="3"/>
        <v>9</v>
      </c>
      <c r="AO7" s="688">
        <f t="shared" si="4"/>
        <v>0</v>
      </c>
      <c r="AP7" s="688">
        <f t="shared" si="5"/>
        <v>4</v>
      </c>
      <c r="AQ7" s="688">
        <f t="shared" si="6"/>
        <v>1</v>
      </c>
      <c r="AR7" s="688">
        <f t="shared" si="7"/>
        <v>57</v>
      </c>
      <c r="AS7" s="688">
        <f t="shared" si="7"/>
        <v>2</v>
      </c>
      <c r="AT7" s="688">
        <f t="shared" si="8"/>
        <v>36</v>
      </c>
      <c r="AU7" s="688"/>
    </row>
    <row r="8" spans="1:47" x14ac:dyDescent="0.2">
      <c r="A8" s="1093"/>
      <c r="B8" s="913">
        <f>B7/B$21</f>
        <v>0.17334494773519163</v>
      </c>
      <c r="C8" s="913">
        <f t="shared" ref="C8:K8" si="11">C7/C$21</f>
        <v>0.87479406919275127</v>
      </c>
      <c r="D8" s="913">
        <f t="shared" si="11"/>
        <v>8.4269662921348312E-2</v>
      </c>
      <c r="E8" s="913">
        <f t="shared" si="11"/>
        <v>2.1883920076117985E-2</v>
      </c>
      <c r="F8" s="913">
        <f t="shared" si="11"/>
        <v>5.681818181818182E-3</v>
      </c>
      <c r="G8" s="913">
        <f t="shared" si="11"/>
        <v>2.0113979215554811E-3</v>
      </c>
      <c r="H8" s="913">
        <f t="shared" si="11"/>
        <v>8.6971955981540644E-2</v>
      </c>
      <c r="I8" s="913">
        <f t="shared" si="11"/>
        <v>4.3478260869565218E-3</v>
      </c>
      <c r="J8" s="913">
        <f t="shared" si="11"/>
        <v>0.14478417266187049</v>
      </c>
      <c r="K8" s="913">
        <f t="shared" si="11"/>
        <v>0.1294352823588206</v>
      </c>
      <c r="L8" s="688"/>
      <c r="M8" s="251"/>
      <c r="N8" s="910" t="s">
        <v>367</v>
      </c>
      <c r="O8" s="849">
        <v>29</v>
      </c>
      <c r="P8" s="849">
        <v>30</v>
      </c>
      <c r="Q8" s="849">
        <v>82</v>
      </c>
      <c r="R8" s="849">
        <v>462</v>
      </c>
      <c r="S8" s="849">
        <v>219</v>
      </c>
      <c r="T8" s="849">
        <v>26</v>
      </c>
      <c r="U8" s="849">
        <v>12</v>
      </c>
      <c r="V8" s="849">
        <v>19</v>
      </c>
      <c r="W8" s="849">
        <v>5</v>
      </c>
      <c r="X8" s="849">
        <v>14</v>
      </c>
      <c r="Y8" s="849">
        <v>4</v>
      </c>
      <c r="Z8" s="849"/>
      <c r="AA8" s="849">
        <v>3</v>
      </c>
      <c r="AB8" s="849">
        <v>1</v>
      </c>
      <c r="AC8" s="849">
        <v>2</v>
      </c>
      <c r="AD8" s="849">
        <v>1</v>
      </c>
      <c r="AE8" s="849">
        <v>1</v>
      </c>
      <c r="AF8" s="849">
        <v>170</v>
      </c>
      <c r="AG8" s="849">
        <v>6</v>
      </c>
      <c r="AH8" s="849">
        <v>109</v>
      </c>
      <c r="AI8" s="849">
        <v>1</v>
      </c>
      <c r="AJ8" s="688"/>
      <c r="AK8" s="250" t="s">
        <v>367</v>
      </c>
      <c r="AL8" s="251">
        <f t="shared" si="1"/>
        <v>141</v>
      </c>
      <c r="AM8" s="688">
        <f t="shared" si="2"/>
        <v>681</v>
      </c>
      <c r="AN8" s="688">
        <f t="shared" si="3"/>
        <v>62</v>
      </c>
      <c r="AO8" s="688">
        <f t="shared" si="4"/>
        <v>18</v>
      </c>
      <c r="AP8" s="688">
        <f t="shared" si="5"/>
        <v>4</v>
      </c>
      <c r="AQ8" s="688">
        <f t="shared" si="6"/>
        <v>4</v>
      </c>
      <c r="AR8" s="688">
        <f t="shared" si="7"/>
        <v>170</v>
      </c>
      <c r="AS8" s="688">
        <f t="shared" si="7"/>
        <v>6</v>
      </c>
      <c r="AT8" s="688">
        <f t="shared" si="8"/>
        <v>110</v>
      </c>
      <c r="AU8" s="688"/>
    </row>
    <row r="9" spans="1:47" x14ac:dyDescent="0.2">
      <c r="A9" s="1071" t="s">
        <v>358</v>
      </c>
      <c r="B9" s="908">
        <f t="shared" ref="B9:J9" si="12">SUM(AL10:AL13)</f>
        <v>36</v>
      </c>
      <c r="C9" s="908">
        <f t="shared" si="12"/>
        <v>32</v>
      </c>
      <c r="D9" s="908">
        <f t="shared" si="12"/>
        <v>898</v>
      </c>
      <c r="E9" s="908">
        <f t="shared" si="12"/>
        <v>40</v>
      </c>
      <c r="F9" s="908">
        <f t="shared" si="12"/>
        <v>6</v>
      </c>
      <c r="G9" s="908">
        <f t="shared" si="12"/>
        <v>13</v>
      </c>
      <c r="H9" s="908">
        <f t="shared" si="12"/>
        <v>157</v>
      </c>
      <c r="I9" s="908">
        <f t="shared" si="12"/>
        <v>11</v>
      </c>
      <c r="J9" s="908">
        <f t="shared" si="12"/>
        <v>140</v>
      </c>
      <c r="K9" s="909">
        <f>SUM(B9:J9)</f>
        <v>1333</v>
      </c>
      <c r="L9" s="688"/>
      <c r="M9" s="251"/>
      <c r="N9" s="910" t="s">
        <v>368</v>
      </c>
      <c r="O9" s="849">
        <v>12</v>
      </c>
      <c r="P9" s="849">
        <v>15</v>
      </c>
      <c r="Q9" s="849">
        <v>31</v>
      </c>
      <c r="R9" s="849">
        <v>104</v>
      </c>
      <c r="S9" s="849">
        <v>277</v>
      </c>
      <c r="T9" s="849">
        <v>17</v>
      </c>
      <c r="U9" s="849">
        <v>7</v>
      </c>
      <c r="V9" s="849">
        <v>10</v>
      </c>
      <c r="W9" s="849">
        <v>9</v>
      </c>
      <c r="X9" s="849">
        <v>4</v>
      </c>
      <c r="Y9" s="849">
        <v>1</v>
      </c>
      <c r="Z9" s="849"/>
      <c r="AA9" s="849">
        <v>2</v>
      </c>
      <c r="AB9" s="849"/>
      <c r="AC9" s="849">
        <v>2</v>
      </c>
      <c r="AD9" s="849"/>
      <c r="AE9" s="849"/>
      <c r="AF9" s="849">
        <v>75</v>
      </c>
      <c r="AG9" s="849"/>
      <c r="AH9" s="849">
        <v>49</v>
      </c>
      <c r="AI9" s="849">
        <v>2</v>
      </c>
      <c r="AJ9" s="688"/>
      <c r="AK9" s="250" t="s">
        <v>368</v>
      </c>
      <c r="AL9" s="251">
        <f t="shared" si="1"/>
        <v>58</v>
      </c>
      <c r="AM9" s="688">
        <f t="shared" si="2"/>
        <v>381</v>
      </c>
      <c r="AN9" s="688">
        <f t="shared" si="3"/>
        <v>43</v>
      </c>
      <c r="AO9" s="688">
        <f t="shared" si="4"/>
        <v>5</v>
      </c>
      <c r="AP9" s="688">
        <f t="shared" si="5"/>
        <v>2</v>
      </c>
      <c r="AQ9" s="688">
        <f t="shared" si="6"/>
        <v>2</v>
      </c>
      <c r="AR9" s="688">
        <f t="shared" si="7"/>
        <v>75</v>
      </c>
      <c r="AS9" s="688">
        <f t="shared" si="7"/>
        <v>0</v>
      </c>
      <c r="AT9" s="688">
        <f t="shared" si="8"/>
        <v>51</v>
      </c>
      <c r="AU9" s="688"/>
    </row>
    <row r="10" spans="1:47" x14ac:dyDescent="0.2">
      <c r="A10" s="1093"/>
      <c r="B10" s="913">
        <f>B9/B$21</f>
        <v>3.1358885017421602E-2</v>
      </c>
      <c r="C10" s="913">
        <f t="shared" ref="C10:K10" si="13">C9/C$21</f>
        <v>2.6359143327841845E-2</v>
      </c>
      <c r="D10" s="913">
        <f t="shared" si="13"/>
        <v>0.7207062600321027</v>
      </c>
      <c r="E10" s="913">
        <f t="shared" si="13"/>
        <v>3.8058991436726926E-2</v>
      </c>
      <c r="F10" s="913">
        <f t="shared" si="13"/>
        <v>5.681818181818182E-3</v>
      </c>
      <c r="G10" s="913">
        <f t="shared" si="13"/>
        <v>4.3580288300368759E-3</v>
      </c>
      <c r="H10" s="913">
        <f t="shared" si="13"/>
        <v>5.5733049343272986E-2</v>
      </c>
      <c r="I10" s="913">
        <f t="shared" si="13"/>
        <v>7.9710144927536229E-3</v>
      </c>
      <c r="J10" s="913">
        <f t="shared" si="13"/>
        <v>0.12589928057553956</v>
      </c>
      <c r="K10" s="913">
        <f t="shared" si="13"/>
        <v>9.5166702363104164E-2</v>
      </c>
      <c r="L10" s="688"/>
      <c r="M10" s="251"/>
      <c r="N10" s="910" t="s">
        <v>369</v>
      </c>
      <c r="O10" s="849">
        <v>8</v>
      </c>
      <c r="P10" s="849">
        <v>13</v>
      </c>
      <c r="Q10" s="849">
        <v>6</v>
      </c>
      <c r="R10" s="849">
        <v>11</v>
      </c>
      <c r="S10" s="849">
        <v>16</v>
      </c>
      <c r="T10" s="849">
        <v>318</v>
      </c>
      <c r="U10" s="849">
        <v>70</v>
      </c>
      <c r="V10" s="849">
        <v>54</v>
      </c>
      <c r="W10" s="849">
        <v>39</v>
      </c>
      <c r="X10" s="849">
        <v>14</v>
      </c>
      <c r="Y10" s="849">
        <v>5</v>
      </c>
      <c r="Z10" s="849">
        <v>1</v>
      </c>
      <c r="AA10" s="849">
        <v>1</v>
      </c>
      <c r="AB10" s="849">
        <v>3</v>
      </c>
      <c r="AC10" s="849">
        <v>3</v>
      </c>
      <c r="AD10" s="849">
        <v>2</v>
      </c>
      <c r="AE10" s="849">
        <v>2</v>
      </c>
      <c r="AF10" s="849">
        <v>67</v>
      </c>
      <c r="AG10" s="849">
        <v>7</v>
      </c>
      <c r="AH10" s="849">
        <v>74</v>
      </c>
      <c r="AI10" s="849">
        <v>7</v>
      </c>
      <c r="AJ10" s="688"/>
      <c r="AK10" s="250" t="s">
        <v>369</v>
      </c>
      <c r="AL10" s="251">
        <f t="shared" si="1"/>
        <v>27</v>
      </c>
      <c r="AM10" s="688">
        <f t="shared" si="2"/>
        <v>27</v>
      </c>
      <c r="AN10" s="688">
        <f t="shared" si="3"/>
        <v>481</v>
      </c>
      <c r="AO10" s="688">
        <f t="shared" si="4"/>
        <v>20</v>
      </c>
      <c r="AP10" s="688">
        <f t="shared" si="5"/>
        <v>4</v>
      </c>
      <c r="AQ10" s="688">
        <f t="shared" si="6"/>
        <v>7</v>
      </c>
      <c r="AR10" s="688">
        <f t="shared" si="7"/>
        <v>67</v>
      </c>
      <c r="AS10" s="688">
        <f t="shared" si="7"/>
        <v>7</v>
      </c>
      <c r="AT10" s="688">
        <f t="shared" si="8"/>
        <v>81</v>
      </c>
      <c r="AU10" s="688"/>
    </row>
    <row r="11" spans="1:47" x14ac:dyDescent="0.2">
      <c r="A11" s="1071" t="s">
        <v>359</v>
      </c>
      <c r="B11" s="908">
        <f t="shared" ref="B11:J11" si="14">SUM(AL14:AL16)</f>
        <v>6</v>
      </c>
      <c r="C11" s="908">
        <f t="shared" si="14"/>
        <v>1</v>
      </c>
      <c r="D11" s="908">
        <f t="shared" si="14"/>
        <v>47</v>
      </c>
      <c r="E11" s="908">
        <f t="shared" si="14"/>
        <v>743</v>
      </c>
      <c r="F11" s="908">
        <f t="shared" si="14"/>
        <v>41</v>
      </c>
      <c r="G11" s="908">
        <f t="shared" si="14"/>
        <v>7</v>
      </c>
      <c r="H11" s="908">
        <f t="shared" si="14"/>
        <v>328</v>
      </c>
      <c r="I11" s="908">
        <f t="shared" si="14"/>
        <v>8</v>
      </c>
      <c r="J11" s="908">
        <f t="shared" si="14"/>
        <v>36</v>
      </c>
      <c r="K11" s="909">
        <f>SUM(B11:J11)</f>
        <v>1217</v>
      </c>
      <c r="L11" s="688"/>
      <c r="M11" s="251"/>
      <c r="N11" s="910" t="s">
        <v>370</v>
      </c>
      <c r="O11" s="849">
        <v>3</v>
      </c>
      <c r="P11" s="849"/>
      <c r="Q11" s="849"/>
      <c r="R11" s="849">
        <v>1</v>
      </c>
      <c r="S11" s="849"/>
      <c r="T11" s="849">
        <v>15</v>
      </c>
      <c r="U11" s="849">
        <v>93</v>
      </c>
      <c r="V11" s="849">
        <v>16</v>
      </c>
      <c r="W11" s="849">
        <v>44</v>
      </c>
      <c r="X11" s="849">
        <v>3</v>
      </c>
      <c r="Y11" s="849">
        <v>1</v>
      </c>
      <c r="Z11" s="849"/>
      <c r="AA11" s="849"/>
      <c r="AB11" s="849"/>
      <c r="AC11" s="849"/>
      <c r="AD11" s="849">
        <v>2</v>
      </c>
      <c r="AE11" s="849">
        <v>2</v>
      </c>
      <c r="AF11" s="849">
        <v>16</v>
      </c>
      <c r="AG11" s="849">
        <v>3</v>
      </c>
      <c r="AH11" s="849">
        <v>9</v>
      </c>
      <c r="AI11" s="849"/>
      <c r="AJ11" s="688"/>
      <c r="AK11" s="250" t="s">
        <v>370</v>
      </c>
      <c r="AL11" s="251">
        <f t="shared" si="1"/>
        <v>3</v>
      </c>
      <c r="AM11" s="688">
        <f t="shared" si="2"/>
        <v>1</v>
      </c>
      <c r="AN11" s="688">
        <f t="shared" si="3"/>
        <v>168</v>
      </c>
      <c r="AO11" s="688">
        <f t="shared" si="4"/>
        <v>4</v>
      </c>
      <c r="AP11" s="688">
        <f t="shared" si="5"/>
        <v>0</v>
      </c>
      <c r="AQ11" s="688">
        <f t="shared" si="6"/>
        <v>4</v>
      </c>
      <c r="AR11" s="688">
        <f t="shared" si="7"/>
        <v>16</v>
      </c>
      <c r="AS11" s="688">
        <f t="shared" si="7"/>
        <v>3</v>
      </c>
      <c r="AT11" s="688">
        <f t="shared" si="8"/>
        <v>9</v>
      </c>
      <c r="AU11" s="688"/>
    </row>
    <row r="12" spans="1:47" x14ac:dyDescent="0.2">
      <c r="A12" s="1093"/>
      <c r="B12" s="913">
        <f>B11/B$21</f>
        <v>5.2264808362369342E-3</v>
      </c>
      <c r="C12" s="913">
        <f t="shared" ref="C12:K12" si="15">C11/C$21</f>
        <v>8.2372322899505767E-4</v>
      </c>
      <c r="D12" s="913">
        <f t="shared" si="15"/>
        <v>3.77207062600321E-2</v>
      </c>
      <c r="E12" s="913">
        <f t="shared" si="15"/>
        <v>0.70694576593720271</v>
      </c>
      <c r="F12" s="913">
        <f t="shared" si="15"/>
        <v>3.8825757575757576E-2</v>
      </c>
      <c r="G12" s="913">
        <f t="shared" si="15"/>
        <v>2.3466309084813944E-3</v>
      </c>
      <c r="H12" s="913">
        <f t="shared" si="15"/>
        <v>0.11643592474263401</v>
      </c>
      <c r="I12" s="913">
        <f t="shared" si="15"/>
        <v>5.7971014492753624E-3</v>
      </c>
      <c r="J12" s="913">
        <f t="shared" si="15"/>
        <v>3.237410071942446E-2</v>
      </c>
      <c r="K12" s="913">
        <f t="shared" si="15"/>
        <v>8.6885128864139363E-2</v>
      </c>
      <c r="L12" s="688"/>
      <c r="M12" s="251"/>
      <c r="N12" s="910" t="s">
        <v>371</v>
      </c>
      <c r="O12" s="849">
        <v>1</v>
      </c>
      <c r="P12" s="849">
        <v>2</v>
      </c>
      <c r="Q12" s="849">
        <v>3</v>
      </c>
      <c r="R12" s="849">
        <v>1</v>
      </c>
      <c r="S12" s="849">
        <v>1</v>
      </c>
      <c r="T12" s="849">
        <v>5</v>
      </c>
      <c r="U12" s="849">
        <v>13</v>
      </c>
      <c r="V12" s="849">
        <v>119</v>
      </c>
      <c r="W12" s="849">
        <v>5</v>
      </c>
      <c r="X12" s="849">
        <v>6</v>
      </c>
      <c r="Y12" s="849">
        <v>1</v>
      </c>
      <c r="Z12" s="849"/>
      <c r="AA12" s="849">
        <v>2</v>
      </c>
      <c r="AB12" s="849"/>
      <c r="AC12" s="849"/>
      <c r="AD12" s="849"/>
      <c r="AE12" s="849">
        <v>2</v>
      </c>
      <c r="AF12" s="849">
        <v>66</v>
      </c>
      <c r="AG12" s="849"/>
      <c r="AH12" s="849">
        <v>4</v>
      </c>
      <c r="AI12" s="849"/>
      <c r="AJ12" s="688"/>
      <c r="AK12" s="250" t="s">
        <v>371</v>
      </c>
      <c r="AL12" s="251">
        <f t="shared" si="1"/>
        <v>6</v>
      </c>
      <c r="AM12" s="688">
        <f t="shared" si="2"/>
        <v>2</v>
      </c>
      <c r="AN12" s="688">
        <f t="shared" si="3"/>
        <v>142</v>
      </c>
      <c r="AO12" s="688">
        <f t="shared" si="4"/>
        <v>7</v>
      </c>
      <c r="AP12" s="688">
        <f t="shared" si="5"/>
        <v>2</v>
      </c>
      <c r="AQ12" s="688">
        <f t="shared" si="6"/>
        <v>2</v>
      </c>
      <c r="AR12" s="688">
        <f t="shared" si="7"/>
        <v>66</v>
      </c>
      <c r="AS12" s="688">
        <f t="shared" si="7"/>
        <v>0</v>
      </c>
      <c r="AT12" s="688">
        <f t="shared" si="8"/>
        <v>4</v>
      </c>
      <c r="AU12" s="688"/>
    </row>
    <row r="13" spans="1:47" x14ac:dyDescent="0.2">
      <c r="A13" s="1071" t="s">
        <v>360</v>
      </c>
      <c r="B13" s="908">
        <f t="shared" ref="B13:J13" si="16">SUM(AL17:AL18)</f>
        <v>11</v>
      </c>
      <c r="C13" s="908">
        <f t="shared" si="16"/>
        <v>6</v>
      </c>
      <c r="D13" s="908">
        <f t="shared" si="16"/>
        <v>25</v>
      </c>
      <c r="E13" s="908">
        <f t="shared" si="16"/>
        <v>54</v>
      </c>
      <c r="F13" s="908">
        <f t="shared" si="16"/>
        <v>650</v>
      </c>
      <c r="G13" s="908">
        <f t="shared" si="16"/>
        <v>15</v>
      </c>
      <c r="H13" s="908">
        <f t="shared" si="16"/>
        <v>270</v>
      </c>
      <c r="I13" s="908">
        <f t="shared" si="16"/>
        <v>141</v>
      </c>
      <c r="J13" s="908">
        <f t="shared" si="16"/>
        <v>53</v>
      </c>
      <c r="K13" s="909">
        <f>SUM(B13:J13)</f>
        <v>1225</v>
      </c>
      <c r="L13" s="688"/>
      <c r="M13" s="251"/>
      <c r="N13" s="910" t="s">
        <v>372</v>
      </c>
      <c r="O13" s="849"/>
      <c r="P13" s="849"/>
      <c r="Q13" s="849"/>
      <c r="R13" s="849"/>
      <c r="S13" s="849">
        <v>2</v>
      </c>
      <c r="T13" s="849">
        <v>5</v>
      </c>
      <c r="U13" s="849">
        <v>11</v>
      </c>
      <c r="V13" s="849">
        <v>3</v>
      </c>
      <c r="W13" s="849">
        <v>88</v>
      </c>
      <c r="X13" s="849">
        <v>9</v>
      </c>
      <c r="Y13" s="849"/>
      <c r="Z13" s="849"/>
      <c r="AA13" s="849"/>
      <c r="AB13" s="849"/>
      <c r="AC13" s="849"/>
      <c r="AD13" s="849"/>
      <c r="AE13" s="849"/>
      <c r="AF13" s="849">
        <v>8</v>
      </c>
      <c r="AG13" s="849">
        <v>1</v>
      </c>
      <c r="AH13" s="849">
        <v>46</v>
      </c>
      <c r="AI13" s="849"/>
      <c r="AJ13" s="688"/>
      <c r="AK13" s="250" t="s">
        <v>372</v>
      </c>
      <c r="AL13" s="251">
        <f t="shared" si="1"/>
        <v>0</v>
      </c>
      <c r="AM13" s="688">
        <f t="shared" si="2"/>
        <v>2</v>
      </c>
      <c r="AN13" s="688">
        <f t="shared" si="3"/>
        <v>107</v>
      </c>
      <c r="AO13" s="688">
        <f t="shared" si="4"/>
        <v>9</v>
      </c>
      <c r="AP13" s="688">
        <f t="shared" si="5"/>
        <v>0</v>
      </c>
      <c r="AQ13" s="688">
        <f t="shared" si="6"/>
        <v>0</v>
      </c>
      <c r="AR13" s="688">
        <f t="shared" si="7"/>
        <v>8</v>
      </c>
      <c r="AS13" s="688">
        <f t="shared" si="7"/>
        <v>1</v>
      </c>
      <c r="AT13" s="688">
        <f t="shared" si="8"/>
        <v>46</v>
      </c>
      <c r="AU13" s="688"/>
    </row>
    <row r="14" spans="1:47" x14ac:dyDescent="0.2">
      <c r="A14" s="1093"/>
      <c r="B14" s="913">
        <f>B13/B$21</f>
        <v>9.5818815331010446E-3</v>
      </c>
      <c r="C14" s="913">
        <f t="shared" ref="C14:K14" si="17">C13/C$21</f>
        <v>4.9423393739703456E-3</v>
      </c>
      <c r="D14" s="913">
        <f t="shared" si="17"/>
        <v>2.0064205457463884E-2</v>
      </c>
      <c r="E14" s="913">
        <f t="shared" si="17"/>
        <v>5.1379638439581349E-2</v>
      </c>
      <c r="F14" s="913">
        <f t="shared" si="17"/>
        <v>0.61553030303030298</v>
      </c>
      <c r="G14" s="913">
        <f t="shared" si="17"/>
        <v>5.0284948038887027E-3</v>
      </c>
      <c r="H14" s="913">
        <f t="shared" si="17"/>
        <v>9.5846645367412137E-2</v>
      </c>
      <c r="I14" s="913">
        <f t="shared" si="17"/>
        <v>0.10217391304347827</v>
      </c>
      <c r="J14" s="913">
        <f t="shared" si="17"/>
        <v>4.7661870503597124E-2</v>
      </c>
      <c r="K14" s="913">
        <f t="shared" si="17"/>
        <v>8.7456271864067972E-2</v>
      </c>
      <c r="L14" s="688"/>
      <c r="M14" s="251"/>
      <c r="N14" s="910" t="s">
        <v>373</v>
      </c>
      <c r="O14" s="849"/>
      <c r="P14" s="849">
        <v>3</v>
      </c>
      <c r="Q14" s="849"/>
      <c r="R14" s="849">
        <v>1</v>
      </c>
      <c r="S14" s="849"/>
      <c r="T14" s="849">
        <v>2</v>
      </c>
      <c r="U14" s="849">
        <v>4</v>
      </c>
      <c r="V14" s="849">
        <v>13</v>
      </c>
      <c r="W14" s="849">
        <v>16</v>
      </c>
      <c r="X14" s="849">
        <v>388</v>
      </c>
      <c r="Y14" s="849">
        <v>30</v>
      </c>
      <c r="Z14" s="849">
        <v>1</v>
      </c>
      <c r="AA14" s="849">
        <v>3</v>
      </c>
      <c r="AB14" s="849">
        <v>2</v>
      </c>
      <c r="AC14" s="849"/>
      <c r="AD14" s="849"/>
      <c r="AE14" s="849"/>
      <c r="AF14" s="849">
        <v>220</v>
      </c>
      <c r="AG14" s="849">
        <v>3</v>
      </c>
      <c r="AH14" s="849">
        <v>18</v>
      </c>
      <c r="AI14" s="849"/>
      <c r="AJ14" s="688"/>
      <c r="AK14" s="250" t="s">
        <v>373</v>
      </c>
      <c r="AL14" s="251">
        <f t="shared" si="1"/>
        <v>3</v>
      </c>
      <c r="AM14" s="688">
        <f t="shared" si="2"/>
        <v>1</v>
      </c>
      <c r="AN14" s="688">
        <f t="shared" si="3"/>
        <v>35</v>
      </c>
      <c r="AO14" s="688">
        <f t="shared" si="4"/>
        <v>419</v>
      </c>
      <c r="AP14" s="688">
        <f t="shared" si="5"/>
        <v>5</v>
      </c>
      <c r="AQ14" s="688">
        <f t="shared" si="6"/>
        <v>0</v>
      </c>
      <c r="AR14" s="688">
        <f t="shared" si="7"/>
        <v>220</v>
      </c>
      <c r="AS14" s="688">
        <f t="shared" si="7"/>
        <v>3</v>
      </c>
      <c r="AT14" s="688">
        <f t="shared" si="8"/>
        <v>18</v>
      </c>
      <c r="AU14" s="688"/>
    </row>
    <row r="15" spans="1:47" x14ac:dyDescent="0.2">
      <c r="A15" s="1071" t="s">
        <v>361</v>
      </c>
      <c r="B15" s="908">
        <f t="shared" ref="B15:J15" si="18">SUM(AL19:AL21)</f>
        <v>49</v>
      </c>
      <c r="C15" s="908">
        <f t="shared" si="18"/>
        <v>27</v>
      </c>
      <c r="D15" s="908">
        <f t="shared" si="18"/>
        <v>109</v>
      </c>
      <c r="E15" s="908">
        <f t="shared" si="18"/>
        <v>127</v>
      </c>
      <c r="F15" s="908">
        <f t="shared" si="18"/>
        <v>117</v>
      </c>
      <c r="G15" s="908">
        <f t="shared" si="18"/>
        <v>2837</v>
      </c>
      <c r="H15" s="908">
        <f t="shared" si="18"/>
        <v>754</v>
      </c>
      <c r="I15" s="908">
        <f t="shared" si="18"/>
        <v>331</v>
      </c>
      <c r="J15" s="908">
        <f t="shared" si="18"/>
        <v>361</v>
      </c>
      <c r="K15" s="909">
        <f>SUM(B15:J15)</f>
        <v>4712</v>
      </c>
      <c r="L15" s="688"/>
      <c r="M15" s="251"/>
      <c r="N15" s="910" t="s">
        <v>386</v>
      </c>
      <c r="O15" s="849"/>
      <c r="P15" s="849"/>
      <c r="Q15" s="849">
        <v>1</v>
      </c>
      <c r="R15" s="849"/>
      <c r="S15" s="849"/>
      <c r="T15" s="849"/>
      <c r="U15" s="849"/>
      <c r="V15" s="849">
        <v>1</v>
      </c>
      <c r="W15" s="849">
        <v>2</v>
      </c>
      <c r="X15" s="849">
        <v>44</v>
      </c>
      <c r="Y15" s="849">
        <v>171</v>
      </c>
      <c r="Z15" s="849">
        <v>29</v>
      </c>
      <c r="AA15" s="849">
        <v>19</v>
      </c>
      <c r="AB15" s="849">
        <v>5</v>
      </c>
      <c r="AC15" s="849"/>
      <c r="AD15" s="849"/>
      <c r="AE15" s="849">
        <v>2</v>
      </c>
      <c r="AF15" s="849">
        <v>63</v>
      </c>
      <c r="AG15" s="849">
        <v>2</v>
      </c>
      <c r="AH15" s="849">
        <v>4</v>
      </c>
      <c r="AI15" s="849"/>
      <c r="AK15" s="250" t="s">
        <v>386</v>
      </c>
      <c r="AL15" s="688">
        <f t="shared" si="1"/>
        <v>1</v>
      </c>
      <c r="AM15" s="688">
        <f t="shared" si="2"/>
        <v>0</v>
      </c>
      <c r="AN15" s="688">
        <f t="shared" si="3"/>
        <v>3</v>
      </c>
      <c r="AO15" s="688">
        <f t="shared" si="4"/>
        <v>244</v>
      </c>
      <c r="AP15" s="688">
        <f t="shared" si="5"/>
        <v>24</v>
      </c>
      <c r="AQ15" s="688">
        <f t="shared" si="6"/>
        <v>2</v>
      </c>
      <c r="AR15" s="688">
        <f t="shared" si="7"/>
        <v>63</v>
      </c>
      <c r="AS15" s="688">
        <f t="shared" si="7"/>
        <v>2</v>
      </c>
      <c r="AT15" s="688">
        <f t="shared" si="8"/>
        <v>4</v>
      </c>
      <c r="AU15" s="688"/>
    </row>
    <row r="16" spans="1:47" x14ac:dyDescent="0.2">
      <c r="A16" s="1093"/>
      <c r="B16" s="913">
        <f>B15/B$21</f>
        <v>4.2682926829268296E-2</v>
      </c>
      <c r="C16" s="913">
        <f t="shared" ref="C16:K16" si="19">C15/C$21</f>
        <v>2.2240527182866558E-2</v>
      </c>
      <c r="D16" s="913">
        <f t="shared" si="19"/>
        <v>8.7479935794542538E-2</v>
      </c>
      <c r="E16" s="913">
        <f t="shared" si="19"/>
        <v>0.120837297811608</v>
      </c>
      <c r="F16" s="913">
        <f t="shared" si="19"/>
        <v>0.11079545454545454</v>
      </c>
      <c r="G16" s="913">
        <f t="shared" si="19"/>
        <v>0.95105598390881663</v>
      </c>
      <c r="H16" s="913">
        <f t="shared" si="19"/>
        <v>0.26766063187788425</v>
      </c>
      <c r="I16" s="913">
        <f t="shared" si="19"/>
        <v>0.23985507246376811</v>
      </c>
      <c r="J16" s="913">
        <f t="shared" si="19"/>
        <v>0.32464028776978415</v>
      </c>
      <c r="K16" s="913">
        <f t="shared" si="19"/>
        <v>0.33640322695794961</v>
      </c>
      <c r="L16" s="688"/>
      <c r="M16" s="251"/>
      <c r="N16" s="910" t="s">
        <v>387</v>
      </c>
      <c r="O16" s="849"/>
      <c r="P16" s="849">
        <v>1</v>
      </c>
      <c r="Q16" s="849">
        <v>1</v>
      </c>
      <c r="R16" s="849"/>
      <c r="S16" s="849"/>
      <c r="T16" s="849">
        <v>2</v>
      </c>
      <c r="U16" s="849">
        <v>2</v>
      </c>
      <c r="V16" s="849">
        <v>2</v>
      </c>
      <c r="W16" s="849">
        <v>3</v>
      </c>
      <c r="X16" s="849">
        <v>29</v>
      </c>
      <c r="Y16" s="849">
        <v>21</v>
      </c>
      <c r="Z16" s="849">
        <v>30</v>
      </c>
      <c r="AA16" s="849">
        <v>8</v>
      </c>
      <c r="AB16" s="849">
        <v>4</v>
      </c>
      <c r="AC16" s="849">
        <v>2</v>
      </c>
      <c r="AD16" s="849">
        <v>1</v>
      </c>
      <c r="AE16" s="849">
        <v>2</v>
      </c>
      <c r="AF16" s="849">
        <v>45</v>
      </c>
      <c r="AG16" s="849">
        <v>3</v>
      </c>
      <c r="AH16" s="849">
        <v>14</v>
      </c>
      <c r="AI16" s="849"/>
      <c r="AJ16" s="688"/>
      <c r="AK16" s="250" t="s">
        <v>387</v>
      </c>
      <c r="AL16" s="251">
        <f t="shared" si="1"/>
        <v>2</v>
      </c>
      <c r="AM16" s="688">
        <f t="shared" si="2"/>
        <v>0</v>
      </c>
      <c r="AN16" s="688">
        <f t="shared" si="3"/>
        <v>9</v>
      </c>
      <c r="AO16" s="688">
        <f t="shared" si="4"/>
        <v>80</v>
      </c>
      <c r="AP16" s="688">
        <f t="shared" si="5"/>
        <v>12</v>
      </c>
      <c r="AQ16" s="688">
        <f t="shared" si="6"/>
        <v>5</v>
      </c>
      <c r="AR16" s="688">
        <f t="shared" si="7"/>
        <v>45</v>
      </c>
      <c r="AS16" s="688">
        <f t="shared" si="7"/>
        <v>3</v>
      </c>
      <c r="AT16" s="688">
        <f t="shared" si="8"/>
        <v>14</v>
      </c>
      <c r="AU16" s="688"/>
    </row>
    <row r="17" spans="1:50" x14ac:dyDescent="0.2">
      <c r="A17" s="1071" t="s">
        <v>380</v>
      </c>
      <c r="B17" s="908">
        <f t="shared" ref="B17:J17" si="20">AL22</f>
        <v>9</v>
      </c>
      <c r="C17" s="908">
        <f t="shared" si="20"/>
        <v>3</v>
      </c>
      <c r="D17" s="908">
        <f t="shared" si="20"/>
        <v>9</v>
      </c>
      <c r="E17" s="908">
        <f t="shared" si="20"/>
        <v>9</v>
      </c>
      <c r="F17" s="908">
        <f t="shared" si="20"/>
        <v>4</v>
      </c>
      <c r="G17" s="908">
        <f t="shared" si="20"/>
        <v>6</v>
      </c>
      <c r="H17" s="908">
        <f t="shared" si="20"/>
        <v>113</v>
      </c>
      <c r="I17" s="908">
        <f t="shared" si="20"/>
        <v>3</v>
      </c>
      <c r="J17" s="908">
        <f t="shared" si="20"/>
        <v>11</v>
      </c>
      <c r="K17" s="909">
        <f>SUM(B17:J17)</f>
        <v>167</v>
      </c>
      <c r="L17" s="688"/>
      <c r="M17" s="251"/>
      <c r="N17" s="910" t="s">
        <v>388</v>
      </c>
      <c r="O17" s="849">
        <v>3</v>
      </c>
      <c r="P17" s="849"/>
      <c r="Q17" s="849">
        <v>1</v>
      </c>
      <c r="R17" s="849">
        <v>1</v>
      </c>
      <c r="S17" s="849"/>
      <c r="T17" s="849"/>
      <c r="U17" s="849"/>
      <c r="V17" s="849">
        <v>4</v>
      </c>
      <c r="W17" s="849">
        <v>1</v>
      </c>
      <c r="X17" s="849">
        <v>8</v>
      </c>
      <c r="Y17" s="849">
        <v>9</v>
      </c>
      <c r="Z17" s="849">
        <v>5</v>
      </c>
      <c r="AA17" s="849">
        <v>176</v>
      </c>
      <c r="AB17" s="849">
        <v>18</v>
      </c>
      <c r="AC17" s="849">
        <v>1</v>
      </c>
      <c r="AD17" s="849"/>
      <c r="AE17" s="849"/>
      <c r="AF17" s="849">
        <v>168</v>
      </c>
      <c r="AG17" s="849">
        <v>16</v>
      </c>
      <c r="AH17" s="849">
        <v>13</v>
      </c>
      <c r="AI17" s="849">
        <v>2</v>
      </c>
      <c r="AJ17" s="688"/>
      <c r="AK17" s="250" t="s">
        <v>388</v>
      </c>
      <c r="AL17" s="251">
        <f t="shared" si="1"/>
        <v>4</v>
      </c>
      <c r="AM17" s="688">
        <f t="shared" si="2"/>
        <v>1</v>
      </c>
      <c r="AN17" s="688">
        <f t="shared" si="3"/>
        <v>5</v>
      </c>
      <c r="AO17" s="688">
        <f t="shared" si="4"/>
        <v>22</v>
      </c>
      <c r="AP17" s="688">
        <f t="shared" si="5"/>
        <v>194</v>
      </c>
      <c r="AQ17" s="688">
        <f t="shared" si="6"/>
        <v>1</v>
      </c>
      <c r="AR17" s="688">
        <f t="shared" si="7"/>
        <v>168</v>
      </c>
      <c r="AS17" s="688">
        <f t="shared" si="7"/>
        <v>16</v>
      </c>
      <c r="AT17" s="688">
        <f t="shared" si="8"/>
        <v>15</v>
      </c>
      <c r="AU17" s="688"/>
    </row>
    <row r="18" spans="1:50" x14ac:dyDescent="0.2">
      <c r="A18" s="1093"/>
      <c r="B18" s="913">
        <f>B17/B$21</f>
        <v>7.8397212543554005E-3</v>
      </c>
      <c r="C18" s="913">
        <f t="shared" ref="C18:K18" si="21">C17/C$21</f>
        <v>2.4711696869851728E-3</v>
      </c>
      <c r="D18" s="913">
        <f t="shared" si="21"/>
        <v>7.2231139646869984E-3</v>
      </c>
      <c r="E18" s="913">
        <f t="shared" si="21"/>
        <v>8.5632730732635581E-3</v>
      </c>
      <c r="F18" s="913">
        <f t="shared" si="21"/>
        <v>3.787878787878788E-3</v>
      </c>
      <c r="G18" s="913">
        <f t="shared" si="21"/>
        <v>2.0113979215554811E-3</v>
      </c>
      <c r="H18" s="913">
        <f t="shared" si="21"/>
        <v>4.0113596024139157E-2</v>
      </c>
      <c r="I18" s="913">
        <f t="shared" si="21"/>
        <v>2.1739130434782609E-3</v>
      </c>
      <c r="J18" s="913">
        <f t="shared" si="21"/>
        <v>9.892086330935251E-3</v>
      </c>
      <c r="K18" s="913">
        <f t="shared" si="21"/>
        <v>1.1922610123509673E-2</v>
      </c>
      <c r="L18" s="688"/>
      <c r="M18" s="251"/>
      <c r="N18" s="910" t="s">
        <v>389</v>
      </c>
      <c r="O18" s="849"/>
      <c r="P18" s="849">
        <v>6</v>
      </c>
      <c r="Q18" s="849">
        <v>1</v>
      </c>
      <c r="R18" s="849">
        <v>2</v>
      </c>
      <c r="S18" s="849">
        <v>3</v>
      </c>
      <c r="T18" s="849">
        <v>6</v>
      </c>
      <c r="U18" s="849">
        <v>5</v>
      </c>
      <c r="V18" s="849">
        <v>6</v>
      </c>
      <c r="W18" s="849">
        <v>3</v>
      </c>
      <c r="X18" s="849">
        <v>15</v>
      </c>
      <c r="Y18" s="849">
        <v>14</v>
      </c>
      <c r="Z18" s="849">
        <v>3</v>
      </c>
      <c r="AA18" s="849">
        <v>58</v>
      </c>
      <c r="AB18" s="849">
        <v>398</v>
      </c>
      <c r="AC18" s="849">
        <v>11</v>
      </c>
      <c r="AD18" s="849">
        <v>1</v>
      </c>
      <c r="AE18" s="849">
        <v>2</v>
      </c>
      <c r="AF18" s="849">
        <v>102</v>
      </c>
      <c r="AG18" s="849">
        <v>125</v>
      </c>
      <c r="AH18" s="849">
        <v>37</v>
      </c>
      <c r="AI18" s="849">
        <v>1</v>
      </c>
      <c r="AJ18" s="688"/>
      <c r="AK18" s="250" t="s">
        <v>389</v>
      </c>
      <c r="AL18" s="251">
        <f t="shared" si="1"/>
        <v>7</v>
      </c>
      <c r="AM18" s="688">
        <f t="shared" si="2"/>
        <v>5</v>
      </c>
      <c r="AN18" s="688">
        <f t="shared" si="3"/>
        <v>20</v>
      </c>
      <c r="AO18" s="688">
        <f t="shared" si="4"/>
        <v>32</v>
      </c>
      <c r="AP18" s="688">
        <f t="shared" si="5"/>
        <v>456</v>
      </c>
      <c r="AQ18" s="688">
        <f t="shared" si="6"/>
        <v>14</v>
      </c>
      <c r="AR18" s="688">
        <f t="shared" si="7"/>
        <v>102</v>
      </c>
      <c r="AS18" s="688">
        <f t="shared" si="7"/>
        <v>125</v>
      </c>
      <c r="AT18" s="688">
        <f t="shared" si="8"/>
        <v>38</v>
      </c>
      <c r="AU18" s="688"/>
    </row>
    <row r="19" spans="1:50" x14ac:dyDescent="0.2">
      <c r="A19" s="1071" t="s">
        <v>381</v>
      </c>
      <c r="B19" s="908">
        <f t="shared" ref="B19:J19" si="22">AL23</f>
        <v>21</v>
      </c>
      <c r="C19" s="908">
        <f t="shared" si="22"/>
        <v>11</v>
      </c>
      <c r="D19" s="908">
        <f t="shared" si="22"/>
        <v>23</v>
      </c>
      <c r="E19" s="908">
        <f t="shared" si="22"/>
        <v>45</v>
      </c>
      <c r="F19" s="908">
        <f t="shared" si="22"/>
        <v>221</v>
      </c>
      <c r="G19" s="908">
        <f t="shared" si="22"/>
        <v>96</v>
      </c>
      <c r="H19" s="908">
        <f t="shared" si="22"/>
        <v>566</v>
      </c>
      <c r="I19" s="908">
        <f t="shared" si="22"/>
        <v>876</v>
      </c>
      <c r="J19" s="908">
        <f t="shared" si="22"/>
        <v>73</v>
      </c>
      <c r="K19" s="909">
        <f>SUM(B19:J19)</f>
        <v>1932</v>
      </c>
      <c r="L19" s="688"/>
      <c r="M19" s="251"/>
      <c r="N19" s="910" t="s">
        <v>390</v>
      </c>
      <c r="O19" s="849">
        <v>2</v>
      </c>
      <c r="P19" s="849">
        <v>7</v>
      </c>
      <c r="Q19" s="849">
        <v>10</v>
      </c>
      <c r="R19" s="849">
        <v>7</v>
      </c>
      <c r="S19" s="849">
        <v>3</v>
      </c>
      <c r="T19" s="849">
        <v>9</v>
      </c>
      <c r="U19" s="849">
        <v>7</v>
      </c>
      <c r="V19" s="849">
        <v>12</v>
      </c>
      <c r="W19" s="849">
        <v>10</v>
      </c>
      <c r="X19" s="849">
        <v>45</v>
      </c>
      <c r="Y19" s="849">
        <v>18</v>
      </c>
      <c r="Z19" s="849">
        <v>5</v>
      </c>
      <c r="AA19" s="849">
        <v>16</v>
      </c>
      <c r="AB19" s="849">
        <v>37</v>
      </c>
      <c r="AC19" s="849">
        <v>625</v>
      </c>
      <c r="AD19" s="849">
        <v>85</v>
      </c>
      <c r="AE19" s="849">
        <v>33</v>
      </c>
      <c r="AF19" s="849">
        <v>325</v>
      </c>
      <c r="AG19" s="849">
        <v>220</v>
      </c>
      <c r="AH19" s="849">
        <v>116</v>
      </c>
      <c r="AI19" s="849">
        <v>7</v>
      </c>
      <c r="AJ19" s="688"/>
      <c r="AK19" s="250" t="s">
        <v>390</v>
      </c>
      <c r="AL19" s="251">
        <f t="shared" si="1"/>
        <v>19</v>
      </c>
      <c r="AM19" s="688">
        <f t="shared" si="2"/>
        <v>10</v>
      </c>
      <c r="AN19" s="688">
        <f t="shared" si="3"/>
        <v>38</v>
      </c>
      <c r="AO19" s="688">
        <f t="shared" si="4"/>
        <v>68</v>
      </c>
      <c r="AP19" s="688">
        <f t="shared" si="5"/>
        <v>53</v>
      </c>
      <c r="AQ19" s="688">
        <f t="shared" si="6"/>
        <v>743</v>
      </c>
      <c r="AR19" s="688">
        <f t="shared" si="7"/>
        <v>325</v>
      </c>
      <c r="AS19" s="688">
        <f t="shared" si="7"/>
        <v>220</v>
      </c>
      <c r="AT19" s="688">
        <f t="shared" si="8"/>
        <v>123</v>
      </c>
      <c r="AU19" s="688"/>
    </row>
    <row r="20" spans="1:50" x14ac:dyDescent="0.2">
      <c r="A20" s="1093"/>
      <c r="B20" s="913">
        <f>B19/B$21</f>
        <v>1.8292682926829267E-2</v>
      </c>
      <c r="C20" s="913">
        <f t="shared" ref="C20:K20" si="23">C19/C$21</f>
        <v>9.0609555189456337E-3</v>
      </c>
      <c r="D20" s="913">
        <f t="shared" si="23"/>
        <v>1.8459069020866775E-2</v>
      </c>
      <c r="E20" s="913">
        <f t="shared" si="23"/>
        <v>4.2816365366317791E-2</v>
      </c>
      <c r="F20" s="913">
        <f t="shared" si="23"/>
        <v>0.20928030303030304</v>
      </c>
      <c r="G20" s="913">
        <f t="shared" si="23"/>
        <v>3.2182366744887697E-2</v>
      </c>
      <c r="H20" s="913">
        <f t="shared" si="23"/>
        <v>0.20092296769613063</v>
      </c>
      <c r="I20" s="913">
        <f t="shared" si="23"/>
        <v>0.63478260869565217</v>
      </c>
      <c r="J20" s="913">
        <f t="shared" si="23"/>
        <v>6.5647482014388484E-2</v>
      </c>
      <c r="K20" s="913">
        <f t="shared" si="23"/>
        <v>0.13793103448275862</v>
      </c>
      <c r="L20" s="688"/>
      <c r="M20" s="251"/>
      <c r="N20" s="910" t="s">
        <v>391</v>
      </c>
      <c r="O20" s="849">
        <v>9</v>
      </c>
      <c r="P20" s="849">
        <v>8</v>
      </c>
      <c r="Q20" s="849">
        <v>7</v>
      </c>
      <c r="R20" s="849">
        <v>7</v>
      </c>
      <c r="S20" s="849">
        <v>5</v>
      </c>
      <c r="T20" s="849">
        <v>8</v>
      </c>
      <c r="U20" s="849">
        <v>10</v>
      </c>
      <c r="V20" s="849">
        <v>8</v>
      </c>
      <c r="W20" s="849">
        <v>11</v>
      </c>
      <c r="X20" s="849">
        <v>26</v>
      </c>
      <c r="Y20" s="849">
        <v>7</v>
      </c>
      <c r="Z20" s="849">
        <v>5</v>
      </c>
      <c r="AA20" s="849">
        <v>23</v>
      </c>
      <c r="AB20" s="849">
        <v>28</v>
      </c>
      <c r="AC20" s="849">
        <v>114</v>
      </c>
      <c r="AD20" s="849">
        <v>1012</v>
      </c>
      <c r="AE20" s="849">
        <v>137</v>
      </c>
      <c r="AF20" s="849">
        <v>323</v>
      </c>
      <c r="AG20" s="849">
        <v>85</v>
      </c>
      <c r="AH20" s="849">
        <v>137</v>
      </c>
      <c r="AI20" s="849">
        <v>19</v>
      </c>
      <c r="AJ20" s="688"/>
      <c r="AK20" s="250" t="s">
        <v>391</v>
      </c>
      <c r="AL20" s="251">
        <f t="shared" si="1"/>
        <v>24</v>
      </c>
      <c r="AM20" s="688">
        <f t="shared" si="2"/>
        <v>12</v>
      </c>
      <c r="AN20" s="688">
        <f t="shared" si="3"/>
        <v>37</v>
      </c>
      <c r="AO20" s="688">
        <f t="shared" si="4"/>
        <v>38</v>
      </c>
      <c r="AP20" s="688">
        <f t="shared" si="5"/>
        <v>51</v>
      </c>
      <c r="AQ20" s="688">
        <f t="shared" si="6"/>
        <v>1263</v>
      </c>
      <c r="AR20" s="688">
        <f t="shared" si="7"/>
        <v>323</v>
      </c>
      <c r="AS20" s="688">
        <f t="shared" si="7"/>
        <v>85</v>
      </c>
      <c r="AT20" s="688">
        <f t="shared" si="8"/>
        <v>156</v>
      </c>
      <c r="AU20" s="688"/>
    </row>
    <row r="21" spans="1:50" x14ac:dyDescent="0.2">
      <c r="A21" s="1110" t="s">
        <v>11</v>
      </c>
      <c r="B21" s="914">
        <f>SUM(B5,B7,B9,B11,B13,B15,B17,B19)</f>
        <v>1148</v>
      </c>
      <c r="C21" s="914">
        <f t="shared" ref="C21:K22" si="24">SUM(C5,C7,C9,C11,C13,C15,C17,C19)</f>
        <v>1214</v>
      </c>
      <c r="D21" s="914">
        <f t="shared" si="24"/>
        <v>1246</v>
      </c>
      <c r="E21" s="914">
        <f t="shared" si="24"/>
        <v>1051</v>
      </c>
      <c r="F21" s="914">
        <f t="shared" si="24"/>
        <v>1056</v>
      </c>
      <c r="G21" s="914">
        <f t="shared" si="24"/>
        <v>2983</v>
      </c>
      <c r="H21" s="914">
        <f t="shared" si="24"/>
        <v>2817</v>
      </c>
      <c r="I21" s="914">
        <f t="shared" si="24"/>
        <v>1380</v>
      </c>
      <c r="J21" s="914">
        <f t="shared" si="24"/>
        <v>1112</v>
      </c>
      <c r="K21" s="914">
        <f t="shared" si="24"/>
        <v>14007</v>
      </c>
      <c r="L21" s="688"/>
      <c r="M21" s="251"/>
      <c r="N21" s="910" t="s">
        <v>392</v>
      </c>
      <c r="O21" s="849">
        <v>2</v>
      </c>
      <c r="P21" s="849">
        <v>4</v>
      </c>
      <c r="Q21" s="849"/>
      <c r="R21" s="849">
        <v>2</v>
      </c>
      <c r="S21" s="849">
        <v>3</v>
      </c>
      <c r="T21" s="849">
        <v>9</v>
      </c>
      <c r="U21" s="849">
        <v>6</v>
      </c>
      <c r="V21" s="849">
        <v>14</v>
      </c>
      <c r="W21" s="849">
        <v>5</v>
      </c>
      <c r="X21" s="849">
        <v>11</v>
      </c>
      <c r="Y21" s="849">
        <v>9</v>
      </c>
      <c r="Z21" s="849">
        <v>1</v>
      </c>
      <c r="AA21" s="849">
        <v>5</v>
      </c>
      <c r="AB21" s="849">
        <v>8</v>
      </c>
      <c r="AC21" s="849">
        <v>39</v>
      </c>
      <c r="AD21" s="849">
        <v>99</v>
      </c>
      <c r="AE21" s="849">
        <v>693</v>
      </c>
      <c r="AF21" s="849">
        <v>106</v>
      </c>
      <c r="AG21" s="849">
        <v>26</v>
      </c>
      <c r="AH21" s="849">
        <v>79</v>
      </c>
      <c r="AI21" s="849">
        <v>3</v>
      </c>
      <c r="AJ21" s="688"/>
      <c r="AK21" s="250" t="s">
        <v>392</v>
      </c>
      <c r="AL21" s="251">
        <f t="shared" si="1"/>
        <v>6</v>
      </c>
      <c r="AM21" s="688">
        <f t="shared" si="2"/>
        <v>5</v>
      </c>
      <c r="AN21" s="688">
        <f t="shared" si="3"/>
        <v>34</v>
      </c>
      <c r="AO21" s="688">
        <f t="shared" si="4"/>
        <v>21</v>
      </c>
      <c r="AP21" s="688">
        <f t="shared" si="5"/>
        <v>13</v>
      </c>
      <c r="AQ21" s="688">
        <f t="shared" si="6"/>
        <v>831</v>
      </c>
      <c r="AR21" s="688">
        <f t="shared" si="7"/>
        <v>106</v>
      </c>
      <c r="AS21" s="688">
        <f t="shared" si="7"/>
        <v>26</v>
      </c>
      <c r="AT21" s="688">
        <f t="shared" si="8"/>
        <v>82</v>
      </c>
      <c r="AU21" s="688"/>
    </row>
    <row r="22" spans="1:50" x14ac:dyDescent="0.2">
      <c r="A22" s="1111"/>
      <c r="B22" s="915">
        <f>SUM(B6,B8,B10,B12,B14,B16,B18,B20)</f>
        <v>0.99999999999999989</v>
      </c>
      <c r="C22" s="915">
        <f t="shared" si="24"/>
        <v>0.99999999999999989</v>
      </c>
      <c r="D22" s="915">
        <f t="shared" si="24"/>
        <v>1</v>
      </c>
      <c r="E22" s="915">
        <f t="shared" si="24"/>
        <v>1</v>
      </c>
      <c r="F22" s="915">
        <f t="shared" si="24"/>
        <v>1</v>
      </c>
      <c r="G22" s="915">
        <f t="shared" si="24"/>
        <v>1</v>
      </c>
      <c r="H22" s="915">
        <f t="shared" si="24"/>
        <v>0.99999999999999989</v>
      </c>
      <c r="I22" s="915">
        <f t="shared" si="24"/>
        <v>1</v>
      </c>
      <c r="J22" s="915">
        <f t="shared" si="24"/>
        <v>1</v>
      </c>
      <c r="K22" s="915">
        <f t="shared" si="24"/>
        <v>1</v>
      </c>
      <c r="L22" s="688"/>
      <c r="M22" s="251"/>
      <c r="N22" s="910" t="s">
        <v>393</v>
      </c>
      <c r="O22" s="849">
        <v>2</v>
      </c>
      <c r="P22" s="849">
        <v>3</v>
      </c>
      <c r="Q22" s="849">
        <v>4</v>
      </c>
      <c r="R22" s="849">
        <v>2</v>
      </c>
      <c r="S22" s="849">
        <v>1</v>
      </c>
      <c r="T22" s="849">
        <v>1</v>
      </c>
      <c r="U22" s="849">
        <v>2</v>
      </c>
      <c r="V22" s="849">
        <v>4</v>
      </c>
      <c r="W22" s="849">
        <v>2</v>
      </c>
      <c r="X22" s="849">
        <v>6</v>
      </c>
      <c r="Y22" s="849">
        <v>3</v>
      </c>
      <c r="Z22" s="849"/>
      <c r="AA22" s="849">
        <v>3</v>
      </c>
      <c r="AB22" s="849">
        <v>1</v>
      </c>
      <c r="AC22" s="849">
        <v>2</v>
      </c>
      <c r="AD22" s="849">
        <v>1</v>
      </c>
      <c r="AE22" s="849">
        <v>3</v>
      </c>
      <c r="AF22" s="849">
        <v>113</v>
      </c>
      <c r="AG22" s="849">
        <v>3</v>
      </c>
      <c r="AH22" s="849">
        <v>11</v>
      </c>
      <c r="AI22" s="849"/>
      <c r="AJ22" s="688"/>
      <c r="AK22" s="250" t="s">
        <v>393</v>
      </c>
      <c r="AL22" s="251">
        <f t="shared" si="1"/>
        <v>9</v>
      </c>
      <c r="AM22" s="688">
        <f t="shared" si="2"/>
        <v>3</v>
      </c>
      <c r="AN22" s="688">
        <f t="shared" si="3"/>
        <v>9</v>
      </c>
      <c r="AO22" s="688">
        <f t="shared" si="4"/>
        <v>9</v>
      </c>
      <c r="AP22" s="688">
        <f t="shared" si="5"/>
        <v>4</v>
      </c>
      <c r="AQ22" s="688">
        <f t="shared" si="6"/>
        <v>6</v>
      </c>
      <c r="AR22" s="688">
        <f t="shared" si="7"/>
        <v>113</v>
      </c>
      <c r="AS22" s="688">
        <f t="shared" si="7"/>
        <v>3</v>
      </c>
      <c r="AT22" s="688">
        <f t="shared" si="8"/>
        <v>11</v>
      </c>
      <c r="AU22" s="688"/>
    </row>
    <row r="23" spans="1:50" x14ac:dyDescent="0.2">
      <c r="L23" s="688"/>
      <c r="M23" s="688"/>
      <c r="N23" s="910" t="s">
        <v>394</v>
      </c>
      <c r="O23" s="805">
        <v>7</v>
      </c>
      <c r="P23" s="805">
        <v>9</v>
      </c>
      <c r="Q23" s="805">
        <v>5</v>
      </c>
      <c r="R23" s="805">
        <v>5</v>
      </c>
      <c r="S23" s="805">
        <v>6</v>
      </c>
      <c r="T23" s="805">
        <v>4</v>
      </c>
      <c r="U23" s="805">
        <v>6</v>
      </c>
      <c r="V23" s="805">
        <v>8</v>
      </c>
      <c r="W23" s="805">
        <v>5</v>
      </c>
      <c r="X23" s="805">
        <v>25</v>
      </c>
      <c r="Y23" s="805">
        <v>14</v>
      </c>
      <c r="Z23" s="805">
        <v>6</v>
      </c>
      <c r="AA23" s="805">
        <v>153</v>
      </c>
      <c r="AB23" s="805">
        <v>68</v>
      </c>
      <c r="AC23" s="805">
        <v>65</v>
      </c>
      <c r="AD23" s="805">
        <v>21</v>
      </c>
      <c r="AE23" s="805">
        <v>10</v>
      </c>
      <c r="AF23" s="805">
        <v>566</v>
      </c>
      <c r="AG23" s="805">
        <v>876</v>
      </c>
      <c r="AH23" s="805">
        <v>63</v>
      </c>
      <c r="AI23" s="805">
        <v>10</v>
      </c>
      <c r="AJ23" s="688"/>
      <c r="AK23" s="250" t="s">
        <v>394</v>
      </c>
      <c r="AL23" s="251">
        <f t="shared" si="1"/>
        <v>21</v>
      </c>
      <c r="AM23" s="688">
        <f t="shared" si="2"/>
        <v>11</v>
      </c>
      <c r="AN23" s="688">
        <f t="shared" si="3"/>
        <v>23</v>
      </c>
      <c r="AO23" s="688">
        <f t="shared" si="4"/>
        <v>45</v>
      </c>
      <c r="AP23" s="688">
        <f t="shared" si="5"/>
        <v>221</v>
      </c>
      <c r="AQ23" s="688">
        <f t="shared" si="6"/>
        <v>96</v>
      </c>
      <c r="AR23" s="688">
        <f t="shared" si="7"/>
        <v>566</v>
      </c>
      <c r="AS23" s="688">
        <f t="shared" si="7"/>
        <v>876</v>
      </c>
      <c r="AT23" s="688">
        <f t="shared" si="8"/>
        <v>73</v>
      </c>
      <c r="AU23" s="688"/>
    </row>
    <row r="24" spans="1:50" s="677" customFormat="1" ht="19.2" x14ac:dyDescent="0.2">
      <c r="A24" s="2" t="s">
        <v>569</v>
      </c>
      <c r="L24" s="916"/>
      <c r="M24" s="916"/>
      <c r="N24" s="910"/>
      <c r="O24" s="849"/>
      <c r="P24" s="849"/>
      <c r="Q24" s="849"/>
      <c r="R24" s="849"/>
      <c r="S24" s="849"/>
      <c r="T24" s="849"/>
      <c r="U24" s="849"/>
      <c r="V24" s="849"/>
      <c r="W24" s="849"/>
      <c r="X24" s="849"/>
      <c r="Y24" s="849"/>
      <c r="Z24" s="849"/>
      <c r="AA24" s="849"/>
      <c r="AB24" s="849"/>
      <c r="AC24" s="849"/>
      <c r="AD24" s="849"/>
      <c r="AE24" s="849"/>
      <c r="AF24" s="849"/>
      <c r="AG24" s="849"/>
      <c r="AH24" s="849"/>
      <c r="AI24" s="849"/>
      <c r="AJ24" s="916"/>
      <c r="AK24" s="916"/>
      <c r="AL24" s="916"/>
      <c r="AM24" s="916"/>
      <c r="AN24" s="916"/>
      <c r="AO24" s="916"/>
      <c r="AP24" s="916"/>
      <c r="AQ24" s="916"/>
      <c r="AR24" s="916"/>
      <c r="AS24" s="916"/>
      <c r="AT24" s="916"/>
      <c r="AU24" s="916"/>
    </row>
    <row r="25" spans="1:50" x14ac:dyDescent="0.2">
      <c r="A25" s="4"/>
      <c r="L25" s="688"/>
      <c r="M25" s="688"/>
      <c r="N25" s="688"/>
      <c r="O25" s="688"/>
      <c r="P25" s="688"/>
      <c r="Q25" s="688"/>
      <c r="R25" s="688"/>
      <c r="S25" s="688"/>
      <c r="T25" s="688"/>
      <c r="U25" s="688"/>
      <c r="V25" s="688"/>
      <c r="W25" s="688"/>
      <c r="X25" s="688"/>
      <c r="Y25" s="688"/>
      <c r="Z25" s="688"/>
      <c r="AA25" s="688"/>
      <c r="AB25" s="688"/>
      <c r="AC25" s="688"/>
      <c r="AD25" s="688"/>
      <c r="AE25" s="688"/>
      <c r="AF25" s="688"/>
      <c r="AG25" s="688"/>
      <c r="AH25" s="688"/>
      <c r="AI25" s="688"/>
      <c r="AJ25" s="688"/>
      <c r="AK25" s="688"/>
      <c r="AL25" s="688"/>
      <c r="AM25" s="688"/>
      <c r="AN25" s="688"/>
      <c r="AO25" s="688"/>
      <c r="AP25" s="688"/>
      <c r="AQ25" s="688"/>
      <c r="AR25" s="688"/>
      <c r="AS25" s="688"/>
      <c r="AT25" s="688"/>
      <c r="AU25" s="688"/>
      <c r="AV25" s="688"/>
    </row>
    <row r="26" spans="1:50" ht="18" thickBot="1" x14ac:dyDescent="0.25">
      <c r="A26" s="1108" t="s">
        <v>557</v>
      </c>
      <c r="B26" s="1105" t="s">
        <v>558</v>
      </c>
      <c r="C26" s="1106"/>
      <c r="D26" s="1106"/>
      <c r="E26" s="1106"/>
      <c r="F26" s="1106"/>
      <c r="G26" s="1106"/>
      <c r="H26" s="1106"/>
      <c r="I26" s="1106"/>
      <c r="J26" s="1106"/>
      <c r="K26" s="1107"/>
      <c r="AK26" s="351"/>
      <c r="AL26" s="363" t="s">
        <v>559</v>
      </c>
      <c r="AM26" s="363"/>
    </row>
    <row r="27" spans="1:50" ht="33.6" thickTop="1" thickBot="1" x14ac:dyDescent="0.25">
      <c r="A27" s="1109"/>
      <c r="B27" s="917" t="s">
        <v>356</v>
      </c>
      <c r="C27" s="917" t="s">
        <v>357</v>
      </c>
      <c r="D27" s="917" t="s">
        <v>358</v>
      </c>
      <c r="E27" s="917" t="s">
        <v>359</v>
      </c>
      <c r="F27" s="917" t="s">
        <v>360</v>
      </c>
      <c r="G27" s="917" t="s">
        <v>361</v>
      </c>
      <c r="H27" s="917" t="s">
        <v>362</v>
      </c>
      <c r="I27" s="917" t="s">
        <v>363</v>
      </c>
      <c r="J27" s="918" t="s">
        <v>378</v>
      </c>
      <c r="K27" s="917" t="s">
        <v>61</v>
      </c>
      <c r="N27" s="896" t="s">
        <v>436</v>
      </c>
      <c r="O27" s="919" t="s">
        <v>364</v>
      </c>
      <c r="P27" s="919" t="s">
        <v>365</v>
      </c>
      <c r="Q27" s="919" t="s">
        <v>366</v>
      </c>
      <c r="R27" s="919" t="s">
        <v>367</v>
      </c>
      <c r="S27" s="919" t="s">
        <v>368</v>
      </c>
      <c r="T27" s="919" t="s">
        <v>369</v>
      </c>
      <c r="U27" s="919" t="s">
        <v>370</v>
      </c>
      <c r="V27" s="919" t="s">
        <v>371</v>
      </c>
      <c r="W27" s="919" t="s">
        <v>372</v>
      </c>
      <c r="X27" s="919" t="s">
        <v>373</v>
      </c>
      <c r="Y27" s="919" t="s">
        <v>386</v>
      </c>
      <c r="Z27" s="919" t="s">
        <v>387</v>
      </c>
      <c r="AA27" s="919" t="s">
        <v>388</v>
      </c>
      <c r="AB27" s="919" t="s">
        <v>389</v>
      </c>
      <c r="AC27" s="919" t="s">
        <v>390</v>
      </c>
      <c r="AD27" s="919" t="s">
        <v>391</v>
      </c>
      <c r="AE27" s="919" t="s">
        <v>392</v>
      </c>
      <c r="AF27" s="919" t="s">
        <v>393</v>
      </c>
      <c r="AG27" s="919" t="s">
        <v>394</v>
      </c>
      <c r="AH27" s="919" t="s">
        <v>429</v>
      </c>
      <c r="AI27" s="919" t="s">
        <v>430</v>
      </c>
      <c r="AJ27" s="919" t="s">
        <v>398</v>
      </c>
      <c r="AK27" s="688"/>
      <c r="AL27" s="688"/>
      <c r="AM27" s="688" t="s">
        <v>560</v>
      </c>
      <c r="AN27" s="688" t="s">
        <v>561</v>
      </c>
      <c r="AO27" s="688" t="s">
        <v>562</v>
      </c>
      <c r="AP27" s="688" t="s">
        <v>563</v>
      </c>
      <c r="AQ27" s="688" t="s">
        <v>564</v>
      </c>
      <c r="AR27" s="688" t="s">
        <v>565</v>
      </c>
      <c r="AS27" s="688" t="s">
        <v>566</v>
      </c>
      <c r="AT27" s="688" t="s">
        <v>567</v>
      </c>
      <c r="AU27" s="688" t="s">
        <v>568</v>
      </c>
      <c r="AV27" s="688"/>
      <c r="AW27" s="688"/>
      <c r="AX27" s="688"/>
    </row>
    <row r="28" spans="1:50" ht="18" thickTop="1" x14ac:dyDescent="0.2">
      <c r="A28" s="1071" t="s">
        <v>356</v>
      </c>
      <c r="B28" s="908">
        <f>SUM(AM28:AM30)</f>
        <v>450</v>
      </c>
      <c r="C28" s="908">
        <f t="shared" ref="C28:I28" si="25">SUM(AN28:AN30)</f>
        <v>37</v>
      </c>
      <c r="D28" s="908">
        <f t="shared" si="25"/>
        <v>16</v>
      </c>
      <c r="E28" s="908">
        <f t="shared" si="25"/>
        <v>5</v>
      </c>
      <c r="F28" s="908">
        <f t="shared" si="25"/>
        <v>5</v>
      </c>
      <c r="G28" s="908">
        <f t="shared" si="25"/>
        <v>2</v>
      </c>
      <c r="H28" s="908">
        <f t="shared" si="25"/>
        <v>185</v>
      </c>
      <c r="I28" s="908">
        <f t="shared" si="25"/>
        <v>4</v>
      </c>
      <c r="J28" s="908">
        <f>SUM(AU28:AU30)</f>
        <v>159</v>
      </c>
      <c r="K28" s="909">
        <f>SUM(B28:J28)</f>
        <v>863</v>
      </c>
      <c r="M28" s="251"/>
      <c r="N28" s="920" t="s">
        <v>364</v>
      </c>
      <c r="O28" s="921">
        <v>121</v>
      </c>
      <c r="P28" s="921">
        <v>44</v>
      </c>
      <c r="Q28" s="921">
        <v>39</v>
      </c>
      <c r="R28" s="921">
        <v>10</v>
      </c>
      <c r="S28" s="921">
        <v>2</v>
      </c>
      <c r="T28" s="921">
        <v>1</v>
      </c>
      <c r="U28" s="921">
        <v>1</v>
      </c>
      <c r="V28" s="921">
        <v>1</v>
      </c>
      <c r="W28" s="921"/>
      <c r="X28" s="921">
        <v>1</v>
      </c>
      <c r="Y28" s="921">
        <v>1</v>
      </c>
      <c r="Z28" s="921"/>
      <c r="AA28" s="921"/>
      <c r="AB28" s="921"/>
      <c r="AC28" s="921"/>
      <c r="AD28" s="921"/>
      <c r="AE28" s="921">
        <v>1</v>
      </c>
      <c r="AF28" s="921">
        <v>43</v>
      </c>
      <c r="AG28" s="921">
        <v>1</v>
      </c>
      <c r="AH28" s="921">
        <v>71</v>
      </c>
      <c r="AI28" s="921">
        <v>3</v>
      </c>
      <c r="AJ28" s="921"/>
      <c r="AK28" s="251"/>
      <c r="AL28" s="250" t="s">
        <v>364</v>
      </c>
      <c r="AM28" s="911">
        <f>SUM(O28:Q28)</f>
        <v>204</v>
      </c>
      <c r="AN28" s="912">
        <f>SUM(R28:S28)</f>
        <v>12</v>
      </c>
      <c r="AO28" s="912">
        <f>SUM(T28:W28)</f>
        <v>3</v>
      </c>
      <c r="AP28" s="912">
        <f>SUM(X28:Z28)</f>
        <v>2</v>
      </c>
      <c r="AQ28" s="912">
        <f>SUM(AA28:AB28)</f>
        <v>0</v>
      </c>
      <c r="AR28" s="912">
        <f>SUM(AC28:AE28)</f>
        <v>1</v>
      </c>
      <c r="AS28" s="912">
        <f>AF28</f>
        <v>43</v>
      </c>
      <c r="AT28" s="912">
        <f>AG28</f>
        <v>1</v>
      </c>
      <c r="AU28" s="912">
        <f>SUM(AH28:AI28)</f>
        <v>74</v>
      </c>
      <c r="AV28" s="17">
        <f>SUM(AM28:AU28)</f>
        <v>340</v>
      </c>
    </row>
    <row r="29" spans="1:50" x14ac:dyDescent="0.2">
      <c r="A29" s="1093"/>
      <c r="B29" s="913">
        <f>B28/B$44</f>
        <v>0.73170731707317072</v>
      </c>
      <c r="C29" s="913">
        <f t="shared" ref="C29:K29" si="26">C28/C$44</f>
        <v>5.7812500000000003E-2</v>
      </c>
      <c r="D29" s="913">
        <f t="shared" si="26"/>
        <v>2.8520499108734401E-2</v>
      </c>
      <c r="E29" s="913">
        <f t="shared" si="26"/>
        <v>1.0101010101010102E-2</v>
      </c>
      <c r="F29" s="913">
        <f t="shared" si="26"/>
        <v>9.1074681238615673E-3</v>
      </c>
      <c r="G29" s="913">
        <f t="shared" si="26"/>
        <v>1.0752688172043011E-3</v>
      </c>
      <c r="H29" s="913">
        <f t="shared" si="26"/>
        <v>0.13754646840148699</v>
      </c>
      <c r="I29" s="913">
        <f t="shared" si="26"/>
        <v>5.4495912806539508E-3</v>
      </c>
      <c r="J29" s="913">
        <f t="shared" si="26"/>
        <v>0.25078864353312302</v>
      </c>
      <c r="K29" s="913">
        <f t="shared" si="26"/>
        <v>0.11610386115969326</v>
      </c>
      <c r="M29" s="251"/>
      <c r="N29" s="922" t="s">
        <v>365</v>
      </c>
      <c r="O29" s="894">
        <v>17</v>
      </c>
      <c r="P29" s="894">
        <v>125</v>
      </c>
      <c r="Q29" s="894">
        <v>20</v>
      </c>
      <c r="R29" s="894">
        <v>11</v>
      </c>
      <c r="S29" s="894">
        <v>6</v>
      </c>
      <c r="T29" s="894">
        <v>3</v>
      </c>
      <c r="U29" s="894"/>
      <c r="V29" s="894">
        <v>4</v>
      </c>
      <c r="W29" s="894"/>
      <c r="X29" s="894">
        <v>3</v>
      </c>
      <c r="Y29" s="894"/>
      <c r="Z29" s="894"/>
      <c r="AA29" s="894">
        <v>1</v>
      </c>
      <c r="AB29" s="894">
        <v>1</v>
      </c>
      <c r="AC29" s="894"/>
      <c r="AD29" s="894"/>
      <c r="AE29" s="894"/>
      <c r="AF29" s="894">
        <v>100</v>
      </c>
      <c r="AG29" s="894">
        <v>1</v>
      </c>
      <c r="AH29" s="894">
        <v>58</v>
      </c>
      <c r="AI29" s="894"/>
      <c r="AJ29" s="921"/>
      <c r="AK29" s="251"/>
      <c r="AL29" s="250" t="s">
        <v>365</v>
      </c>
      <c r="AM29" s="251">
        <f t="shared" ref="AM29:AM44" si="27">SUM(O29:Q29)</f>
        <v>162</v>
      </c>
      <c r="AN29" s="688">
        <f t="shared" ref="AN29:AN44" si="28">SUM(R29:S29)</f>
        <v>17</v>
      </c>
      <c r="AO29" s="688">
        <f t="shared" ref="AO29:AO44" si="29">SUM(T29:W29)</f>
        <v>7</v>
      </c>
      <c r="AP29" s="688">
        <f t="shared" ref="AP29:AP44" si="30">SUM(X29:Z29)</f>
        <v>3</v>
      </c>
      <c r="AQ29" s="688">
        <f t="shared" ref="AQ29:AQ44" si="31">SUM(AA29:AB29)</f>
        <v>2</v>
      </c>
      <c r="AR29" s="688">
        <f t="shared" ref="AR29:AR44" si="32">SUM(AC29:AE29)</f>
        <v>0</v>
      </c>
      <c r="AS29" s="688">
        <f t="shared" ref="AS29:AT44" si="33">AF29</f>
        <v>100</v>
      </c>
      <c r="AT29" s="688">
        <f t="shared" si="33"/>
        <v>1</v>
      </c>
      <c r="AU29" s="688">
        <f t="shared" ref="AU29:AU44" si="34">SUM(AH29:AI29)</f>
        <v>58</v>
      </c>
      <c r="AV29" s="17">
        <f t="shared" ref="AV29:AV47" si="35">SUM(AM29:AU29)</f>
        <v>350</v>
      </c>
    </row>
    <row r="30" spans="1:50" x14ac:dyDescent="0.2">
      <c r="A30" s="1071" t="s">
        <v>357</v>
      </c>
      <c r="B30" s="908">
        <f>SUM(AM31:AM32)</f>
        <v>95</v>
      </c>
      <c r="C30" s="908">
        <f t="shared" ref="C30:J30" si="36">SUM(AN31:AN32)</f>
        <v>570</v>
      </c>
      <c r="D30" s="908">
        <f t="shared" si="36"/>
        <v>55</v>
      </c>
      <c r="E30" s="908">
        <f t="shared" si="36"/>
        <v>17</v>
      </c>
      <c r="F30" s="908">
        <f t="shared" si="36"/>
        <v>4</v>
      </c>
      <c r="G30" s="908">
        <f t="shared" si="36"/>
        <v>5</v>
      </c>
      <c r="H30" s="908">
        <f t="shared" si="36"/>
        <v>128</v>
      </c>
      <c r="I30" s="908">
        <f t="shared" si="36"/>
        <v>4</v>
      </c>
      <c r="J30" s="908">
        <f t="shared" si="36"/>
        <v>92</v>
      </c>
      <c r="K30" s="909">
        <f>SUM(B30:J30)</f>
        <v>970</v>
      </c>
      <c r="M30" s="251"/>
      <c r="N30" s="923" t="s">
        <v>366</v>
      </c>
      <c r="O30" s="921">
        <v>6</v>
      </c>
      <c r="P30" s="921">
        <v>11</v>
      </c>
      <c r="Q30" s="921">
        <v>67</v>
      </c>
      <c r="R30" s="921">
        <v>7</v>
      </c>
      <c r="S30" s="921">
        <v>1</v>
      </c>
      <c r="T30" s="921">
        <v>2</v>
      </c>
      <c r="U30" s="921">
        <v>3</v>
      </c>
      <c r="V30" s="921"/>
      <c r="W30" s="921">
        <v>1</v>
      </c>
      <c r="X30" s="921"/>
      <c r="Y30" s="921"/>
      <c r="Z30" s="921"/>
      <c r="AA30" s="921">
        <v>2</v>
      </c>
      <c r="AB30" s="921">
        <v>1</v>
      </c>
      <c r="AC30" s="921"/>
      <c r="AD30" s="921">
        <v>1</v>
      </c>
      <c r="AE30" s="921"/>
      <c r="AF30" s="921">
        <v>42</v>
      </c>
      <c r="AG30" s="921">
        <v>2</v>
      </c>
      <c r="AH30" s="921">
        <v>25</v>
      </c>
      <c r="AI30" s="921">
        <v>2</v>
      </c>
      <c r="AJ30" s="921"/>
      <c r="AK30" s="251"/>
      <c r="AL30" s="250" t="s">
        <v>366</v>
      </c>
      <c r="AM30" s="251">
        <f t="shared" si="27"/>
        <v>84</v>
      </c>
      <c r="AN30" s="688">
        <f t="shared" si="28"/>
        <v>8</v>
      </c>
      <c r="AO30" s="688">
        <f t="shared" si="29"/>
        <v>6</v>
      </c>
      <c r="AP30" s="688">
        <f t="shared" si="30"/>
        <v>0</v>
      </c>
      <c r="AQ30" s="688">
        <f t="shared" si="31"/>
        <v>3</v>
      </c>
      <c r="AR30" s="688">
        <f t="shared" si="32"/>
        <v>1</v>
      </c>
      <c r="AS30" s="688">
        <f t="shared" si="33"/>
        <v>42</v>
      </c>
      <c r="AT30" s="688">
        <f t="shared" si="33"/>
        <v>2</v>
      </c>
      <c r="AU30" s="688">
        <f t="shared" si="34"/>
        <v>27</v>
      </c>
      <c r="AV30" s="17">
        <f t="shared" si="35"/>
        <v>173</v>
      </c>
    </row>
    <row r="31" spans="1:50" x14ac:dyDescent="0.2">
      <c r="A31" s="1093"/>
      <c r="B31" s="913">
        <f>B30/B$44</f>
        <v>0.15447154471544716</v>
      </c>
      <c r="C31" s="913">
        <f t="shared" ref="C31:K31" si="37">C30/C$44</f>
        <v>0.890625</v>
      </c>
      <c r="D31" s="913">
        <f t="shared" si="37"/>
        <v>9.8039215686274508E-2</v>
      </c>
      <c r="E31" s="913">
        <f t="shared" si="37"/>
        <v>3.4343434343434343E-2</v>
      </c>
      <c r="F31" s="913">
        <f t="shared" si="37"/>
        <v>7.2859744990892532E-3</v>
      </c>
      <c r="G31" s="913">
        <f t="shared" si="37"/>
        <v>2.6881720430107529E-3</v>
      </c>
      <c r="H31" s="913">
        <f t="shared" si="37"/>
        <v>9.5167286245353158E-2</v>
      </c>
      <c r="I31" s="913">
        <f t="shared" si="37"/>
        <v>5.4495912806539508E-3</v>
      </c>
      <c r="J31" s="913">
        <f t="shared" si="37"/>
        <v>0.14511041009463724</v>
      </c>
      <c r="K31" s="913">
        <f t="shared" si="37"/>
        <v>0.13049912552132384</v>
      </c>
      <c r="M31" s="251"/>
      <c r="N31" s="922" t="s">
        <v>367</v>
      </c>
      <c r="O31" s="894">
        <v>19</v>
      </c>
      <c r="P31" s="894">
        <v>17</v>
      </c>
      <c r="Q31" s="894">
        <v>41</v>
      </c>
      <c r="R31" s="894">
        <v>268</v>
      </c>
      <c r="S31" s="894">
        <v>141</v>
      </c>
      <c r="T31" s="894">
        <v>17</v>
      </c>
      <c r="U31" s="894">
        <v>5</v>
      </c>
      <c r="V31" s="894">
        <v>9</v>
      </c>
      <c r="W31" s="894">
        <v>2</v>
      </c>
      <c r="X31" s="894">
        <v>11</v>
      </c>
      <c r="Y31" s="894">
        <v>4</v>
      </c>
      <c r="Z31" s="894"/>
      <c r="AA31" s="894">
        <v>3</v>
      </c>
      <c r="AB31" s="894"/>
      <c r="AC31" s="894">
        <v>2</v>
      </c>
      <c r="AD31" s="894">
        <v>1</v>
      </c>
      <c r="AE31" s="894">
        <v>1</v>
      </c>
      <c r="AF31" s="894">
        <v>98</v>
      </c>
      <c r="AG31" s="894">
        <v>4</v>
      </c>
      <c r="AH31" s="894">
        <v>72</v>
      </c>
      <c r="AI31" s="894"/>
      <c r="AJ31" s="921"/>
      <c r="AK31" s="251"/>
      <c r="AL31" s="250" t="s">
        <v>367</v>
      </c>
      <c r="AM31" s="251">
        <f t="shared" si="27"/>
        <v>77</v>
      </c>
      <c r="AN31" s="688">
        <f t="shared" si="28"/>
        <v>409</v>
      </c>
      <c r="AO31" s="688">
        <f t="shared" si="29"/>
        <v>33</v>
      </c>
      <c r="AP31" s="688">
        <f t="shared" si="30"/>
        <v>15</v>
      </c>
      <c r="AQ31" s="688">
        <f t="shared" si="31"/>
        <v>3</v>
      </c>
      <c r="AR31" s="688">
        <f t="shared" si="32"/>
        <v>4</v>
      </c>
      <c r="AS31" s="688">
        <f t="shared" si="33"/>
        <v>98</v>
      </c>
      <c r="AT31" s="688">
        <f t="shared" si="33"/>
        <v>4</v>
      </c>
      <c r="AU31" s="688">
        <f t="shared" si="34"/>
        <v>72</v>
      </c>
      <c r="AV31" s="17">
        <f t="shared" si="35"/>
        <v>715</v>
      </c>
    </row>
    <row r="32" spans="1:50" x14ac:dyDescent="0.2">
      <c r="A32" s="1071" t="s">
        <v>358</v>
      </c>
      <c r="B32" s="908">
        <f>SUM(AM33:AM36)</f>
        <v>16</v>
      </c>
      <c r="C32" s="908">
        <f t="shared" ref="C32:J32" si="38">SUM(AN33:AN36)</f>
        <v>12</v>
      </c>
      <c r="D32" s="908">
        <f t="shared" si="38"/>
        <v>370</v>
      </c>
      <c r="E32" s="908">
        <f t="shared" si="38"/>
        <v>19</v>
      </c>
      <c r="F32" s="908">
        <f t="shared" si="38"/>
        <v>3</v>
      </c>
      <c r="G32" s="908">
        <f t="shared" si="38"/>
        <v>5</v>
      </c>
      <c r="H32" s="908">
        <f t="shared" si="38"/>
        <v>67</v>
      </c>
      <c r="I32" s="908">
        <f t="shared" si="38"/>
        <v>4</v>
      </c>
      <c r="J32" s="908">
        <f t="shared" si="38"/>
        <v>71</v>
      </c>
      <c r="K32" s="909">
        <f>SUM(B32:J32)</f>
        <v>567</v>
      </c>
      <c r="M32" s="251"/>
      <c r="N32" s="923" t="s">
        <v>368</v>
      </c>
      <c r="O32" s="921"/>
      <c r="P32" s="921">
        <v>4</v>
      </c>
      <c r="Q32" s="921">
        <v>14</v>
      </c>
      <c r="R32" s="921">
        <v>43</v>
      </c>
      <c r="S32" s="921">
        <v>118</v>
      </c>
      <c r="T32" s="921">
        <v>11</v>
      </c>
      <c r="U32" s="921">
        <v>5</v>
      </c>
      <c r="V32" s="921">
        <v>4</v>
      </c>
      <c r="W32" s="921">
        <v>2</v>
      </c>
      <c r="X32" s="921">
        <v>2</v>
      </c>
      <c r="Y32" s="921"/>
      <c r="Z32" s="921"/>
      <c r="AA32" s="921">
        <v>1</v>
      </c>
      <c r="AB32" s="921"/>
      <c r="AC32" s="921">
        <v>1</v>
      </c>
      <c r="AD32" s="921"/>
      <c r="AE32" s="921"/>
      <c r="AF32" s="921">
        <v>30</v>
      </c>
      <c r="AG32" s="921"/>
      <c r="AH32" s="921">
        <v>20</v>
      </c>
      <c r="AI32" s="921"/>
      <c r="AJ32" s="921"/>
      <c r="AK32" s="251"/>
      <c r="AL32" s="250" t="s">
        <v>368</v>
      </c>
      <c r="AM32" s="251">
        <f t="shared" si="27"/>
        <v>18</v>
      </c>
      <c r="AN32" s="688">
        <f t="shared" si="28"/>
        <v>161</v>
      </c>
      <c r="AO32" s="688">
        <f t="shared" si="29"/>
        <v>22</v>
      </c>
      <c r="AP32" s="688">
        <f t="shared" si="30"/>
        <v>2</v>
      </c>
      <c r="AQ32" s="688">
        <f t="shared" si="31"/>
        <v>1</v>
      </c>
      <c r="AR32" s="688">
        <f t="shared" si="32"/>
        <v>1</v>
      </c>
      <c r="AS32" s="688">
        <f t="shared" si="33"/>
        <v>30</v>
      </c>
      <c r="AT32" s="688">
        <f t="shared" si="33"/>
        <v>0</v>
      </c>
      <c r="AU32" s="688">
        <f t="shared" si="34"/>
        <v>20</v>
      </c>
      <c r="AV32" s="17">
        <f t="shared" si="35"/>
        <v>255</v>
      </c>
    </row>
    <row r="33" spans="1:48" x14ac:dyDescent="0.2">
      <c r="A33" s="1093"/>
      <c r="B33" s="913">
        <f>B32/B$44</f>
        <v>2.6016260162601626E-2</v>
      </c>
      <c r="C33" s="913">
        <f t="shared" ref="C33:K33" si="39">C32/C$44</f>
        <v>1.8749999999999999E-2</v>
      </c>
      <c r="D33" s="913">
        <f t="shared" si="39"/>
        <v>0.65953654188948307</v>
      </c>
      <c r="E33" s="913">
        <f t="shared" si="39"/>
        <v>3.8383838383838381E-2</v>
      </c>
      <c r="F33" s="913">
        <f t="shared" si="39"/>
        <v>5.4644808743169399E-3</v>
      </c>
      <c r="G33" s="913">
        <f t="shared" si="39"/>
        <v>2.6881720430107529E-3</v>
      </c>
      <c r="H33" s="913">
        <f t="shared" si="39"/>
        <v>4.9814126394052041E-2</v>
      </c>
      <c r="I33" s="913">
        <f t="shared" si="39"/>
        <v>5.4495912806539508E-3</v>
      </c>
      <c r="J33" s="913">
        <f t="shared" si="39"/>
        <v>0.11198738170347003</v>
      </c>
      <c r="K33" s="913">
        <f t="shared" si="39"/>
        <v>7.628144759854702E-2</v>
      </c>
      <c r="M33" s="251"/>
      <c r="N33" s="922" t="s">
        <v>369</v>
      </c>
      <c r="O33" s="894">
        <v>4</v>
      </c>
      <c r="P33" s="894">
        <v>6</v>
      </c>
      <c r="Q33" s="894">
        <v>2</v>
      </c>
      <c r="R33" s="894">
        <v>5</v>
      </c>
      <c r="S33" s="894">
        <v>5</v>
      </c>
      <c r="T33" s="894">
        <v>123</v>
      </c>
      <c r="U33" s="894">
        <v>25</v>
      </c>
      <c r="V33" s="894">
        <v>19</v>
      </c>
      <c r="W33" s="894">
        <v>9</v>
      </c>
      <c r="X33" s="894">
        <v>6</v>
      </c>
      <c r="Y33" s="894">
        <v>3</v>
      </c>
      <c r="Z33" s="894">
        <v>1</v>
      </c>
      <c r="AA33" s="894"/>
      <c r="AB33" s="894">
        <v>2</v>
      </c>
      <c r="AC33" s="894">
        <v>2</v>
      </c>
      <c r="AD33" s="894"/>
      <c r="AE33" s="894"/>
      <c r="AF33" s="894">
        <v>27</v>
      </c>
      <c r="AG33" s="894">
        <v>3</v>
      </c>
      <c r="AH33" s="894">
        <v>33</v>
      </c>
      <c r="AI33" s="894">
        <v>5</v>
      </c>
      <c r="AJ33" s="921"/>
      <c r="AK33" s="251"/>
      <c r="AL33" s="250" t="s">
        <v>369</v>
      </c>
      <c r="AM33" s="251">
        <f t="shared" si="27"/>
        <v>12</v>
      </c>
      <c r="AN33" s="688">
        <f t="shared" si="28"/>
        <v>10</v>
      </c>
      <c r="AO33" s="688">
        <f t="shared" si="29"/>
        <v>176</v>
      </c>
      <c r="AP33" s="688">
        <f t="shared" si="30"/>
        <v>10</v>
      </c>
      <c r="AQ33" s="688">
        <f t="shared" si="31"/>
        <v>2</v>
      </c>
      <c r="AR33" s="688">
        <f t="shared" si="32"/>
        <v>2</v>
      </c>
      <c r="AS33" s="688">
        <f t="shared" si="33"/>
        <v>27</v>
      </c>
      <c r="AT33" s="688">
        <f t="shared" si="33"/>
        <v>3</v>
      </c>
      <c r="AU33" s="688">
        <f t="shared" si="34"/>
        <v>38</v>
      </c>
      <c r="AV33" s="17">
        <f t="shared" si="35"/>
        <v>280</v>
      </c>
    </row>
    <row r="34" spans="1:48" x14ac:dyDescent="0.2">
      <c r="A34" s="1071" t="s">
        <v>359</v>
      </c>
      <c r="B34" s="908">
        <f>SUM(AM37:AM39)</f>
        <v>5</v>
      </c>
      <c r="C34" s="908">
        <f t="shared" ref="C34:J34" si="40">SUM(AN37:AN39)</f>
        <v>1</v>
      </c>
      <c r="D34" s="908">
        <f t="shared" si="40"/>
        <v>24</v>
      </c>
      <c r="E34" s="908">
        <f t="shared" si="40"/>
        <v>323</v>
      </c>
      <c r="F34" s="908">
        <f t="shared" si="40"/>
        <v>12</v>
      </c>
      <c r="G34" s="908">
        <f t="shared" si="40"/>
        <v>5</v>
      </c>
      <c r="H34" s="908">
        <f t="shared" si="40"/>
        <v>140</v>
      </c>
      <c r="I34" s="908">
        <f t="shared" si="40"/>
        <v>7</v>
      </c>
      <c r="J34" s="908">
        <f t="shared" si="40"/>
        <v>21</v>
      </c>
      <c r="K34" s="909">
        <f>SUM(B34:J34)</f>
        <v>538</v>
      </c>
      <c r="M34" s="251"/>
      <c r="N34" s="923" t="s">
        <v>370</v>
      </c>
      <c r="O34" s="921">
        <v>1</v>
      </c>
      <c r="P34" s="921"/>
      <c r="Q34" s="921"/>
      <c r="R34" s="921">
        <v>1</v>
      </c>
      <c r="S34" s="921"/>
      <c r="T34" s="921">
        <v>8</v>
      </c>
      <c r="U34" s="921">
        <v>39</v>
      </c>
      <c r="V34" s="921">
        <v>5</v>
      </c>
      <c r="W34" s="921">
        <v>18</v>
      </c>
      <c r="X34" s="921">
        <v>1</v>
      </c>
      <c r="Y34" s="921">
        <v>1</v>
      </c>
      <c r="Z34" s="921"/>
      <c r="AA34" s="921"/>
      <c r="AB34" s="921"/>
      <c r="AC34" s="921"/>
      <c r="AD34" s="921">
        <v>2</v>
      </c>
      <c r="AE34" s="921">
        <v>1</v>
      </c>
      <c r="AF34" s="921">
        <v>5</v>
      </c>
      <c r="AG34" s="921">
        <v>1</v>
      </c>
      <c r="AH34" s="921">
        <v>7</v>
      </c>
      <c r="AI34" s="921"/>
      <c r="AJ34" s="921"/>
      <c r="AK34" s="251"/>
      <c r="AL34" s="250" t="s">
        <v>370</v>
      </c>
      <c r="AM34" s="251">
        <f t="shared" si="27"/>
        <v>1</v>
      </c>
      <c r="AN34" s="688">
        <f t="shared" si="28"/>
        <v>1</v>
      </c>
      <c r="AO34" s="688">
        <f t="shared" si="29"/>
        <v>70</v>
      </c>
      <c r="AP34" s="688">
        <f t="shared" si="30"/>
        <v>2</v>
      </c>
      <c r="AQ34" s="688">
        <f t="shared" si="31"/>
        <v>0</v>
      </c>
      <c r="AR34" s="688">
        <f t="shared" si="32"/>
        <v>3</v>
      </c>
      <c r="AS34" s="688">
        <f t="shared" si="33"/>
        <v>5</v>
      </c>
      <c r="AT34" s="688">
        <f t="shared" si="33"/>
        <v>1</v>
      </c>
      <c r="AU34" s="688">
        <f t="shared" si="34"/>
        <v>7</v>
      </c>
      <c r="AV34" s="17">
        <f t="shared" si="35"/>
        <v>90</v>
      </c>
    </row>
    <row r="35" spans="1:48" x14ac:dyDescent="0.2">
      <c r="A35" s="1093"/>
      <c r="B35" s="913">
        <f>B34/B$44</f>
        <v>8.130081300813009E-3</v>
      </c>
      <c r="C35" s="913">
        <f t="shared" ref="C35:K35" si="41">C34/C$44</f>
        <v>1.5625000000000001E-3</v>
      </c>
      <c r="D35" s="913">
        <f t="shared" si="41"/>
        <v>4.2780748663101602E-2</v>
      </c>
      <c r="E35" s="913">
        <f t="shared" si="41"/>
        <v>0.65252525252525251</v>
      </c>
      <c r="F35" s="913">
        <f t="shared" si="41"/>
        <v>2.185792349726776E-2</v>
      </c>
      <c r="G35" s="913">
        <f t="shared" si="41"/>
        <v>2.6881720430107529E-3</v>
      </c>
      <c r="H35" s="913">
        <f t="shared" si="41"/>
        <v>0.10408921933085502</v>
      </c>
      <c r="I35" s="913">
        <f t="shared" si="41"/>
        <v>9.5367847411444145E-3</v>
      </c>
      <c r="J35" s="913">
        <f t="shared" si="41"/>
        <v>3.3123028391167195E-2</v>
      </c>
      <c r="K35" s="913">
        <f t="shared" si="41"/>
        <v>7.2379927351002293E-2</v>
      </c>
      <c r="M35" s="251"/>
      <c r="N35" s="922" t="s">
        <v>371</v>
      </c>
      <c r="O35" s="894"/>
      <c r="P35" s="894">
        <v>2</v>
      </c>
      <c r="Q35" s="894">
        <v>1</v>
      </c>
      <c r="R35" s="894"/>
      <c r="S35" s="894"/>
      <c r="T35" s="894"/>
      <c r="U35" s="894">
        <v>6</v>
      </c>
      <c r="V35" s="894">
        <v>59</v>
      </c>
      <c r="W35" s="894"/>
      <c r="X35" s="894">
        <v>2</v>
      </c>
      <c r="Y35" s="894">
        <v>1</v>
      </c>
      <c r="Z35" s="894"/>
      <c r="AA35" s="894">
        <v>1</v>
      </c>
      <c r="AB35" s="894"/>
      <c r="AC35" s="894"/>
      <c r="AD35" s="894"/>
      <c r="AE35" s="894"/>
      <c r="AF35" s="894">
        <v>28</v>
      </c>
      <c r="AG35" s="894"/>
      <c r="AH35" s="894">
        <v>2</v>
      </c>
      <c r="AI35" s="894"/>
      <c r="AJ35" s="921"/>
      <c r="AK35" s="251"/>
      <c r="AL35" s="250" t="s">
        <v>371</v>
      </c>
      <c r="AM35" s="251">
        <f t="shared" si="27"/>
        <v>3</v>
      </c>
      <c r="AN35" s="688">
        <f t="shared" si="28"/>
        <v>0</v>
      </c>
      <c r="AO35" s="688">
        <f t="shared" si="29"/>
        <v>65</v>
      </c>
      <c r="AP35" s="688">
        <f t="shared" si="30"/>
        <v>3</v>
      </c>
      <c r="AQ35" s="688">
        <f t="shared" si="31"/>
        <v>1</v>
      </c>
      <c r="AR35" s="688">
        <f t="shared" si="32"/>
        <v>0</v>
      </c>
      <c r="AS35" s="688">
        <f t="shared" si="33"/>
        <v>28</v>
      </c>
      <c r="AT35" s="688">
        <f t="shared" si="33"/>
        <v>0</v>
      </c>
      <c r="AU35" s="688">
        <f t="shared" si="34"/>
        <v>2</v>
      </c>
      <c r="AV35" s="17">
        <f t="shared" si="35"/>
        <v>102</v>
      </c>
    </row>
    <row r="36" spans="1:48" x14ac:dyDescent="0.2">
      <c r="A36" s="1071" t="s">
        <v>360</v>
      </c>
      <c r="B36" s="908">
        <f>SUM(AM40:AM41)</f>
        <v>6</v>
      </c>
      <c r="C36" s="908">
        <f t="shared" ref="C36:J36" si="42">SUM(AN40:AN41)</f>
        <v>3</v>
      </c>
      <c r="D36" s="908">
        <f t="shared" si="42"/>
        <v>16</v>
      </c>
      <c r="E36" s="908">
        <f t="shared" si="42"/>
        <v>32</v>
      </c>
      <c r="F36" s="908">
        <f t="shared" si="42"/>
        <v>363</v>
      </c>
      <c r="G36" s="908">
        <f t="shared" si="42"/>
        <v>13</v>
      </c>
      <c r="H36" s="908">
        <f t="shared" si="42"/>
        <v>140</v>
      </c>
      <c r="I36" s="908">
        <f t="shared" si="42"/>
        <v>73</v>
      </c>
      <c r="J36" s="908">
        <f t="shared" si="42"/>
        <v>33</v>
      </c>
      <c r="K36" s="909">
        <f>SUM(B36:J36)</f>
        <v>679</v>
      </c>
      <c r="M36" s="251"/>
      <c r="N36" s="923" t="s">
        <v>372</v>
      </c>
      <c r="O36" s="921"/>
      <c r="P36" s="921"/>
      <c r="Q36" s="921"/>
      <c r="R36" s="921"/>
      <c r="S36" s="921">
        <v>1</v>
      </c>
      <c r="T36" s="921">
        <v>3</v>
      </c>
      <c r="U36" s="921">
        <v>8</v>
      </c>
      <c r="V36" s="921">
        <v>2</v>
      </c>
      <c r="W36" s="921">
        <v>46</v>
      </c>
      <c r="X36" s="921">
        <v>4</v>
      </c>
      <c r="Y36" s="921"/>
      <c r="Z36" s="921"/>
      <c r="AA36" s="921"/>
      <c r="AB36" s="921"/>
      <c r="AC36" s="921"/>
      <c r="AD36" s="921"/>
      <c r="AE36" s="921"/>
      <c r="AF36" s="921">
        <v>7</v>
      </c>
      <c r="AG36" s="921"/>
      <c r="AH36" s="921">
        <v>24</v>
      </c>
      <c r="AI36" s="921"/>
      <c r="AJ36" s="921"/>
      <c r="AK36" s="251"/>
      <c r="AL36" s="250" t="s">
        <v>372</v>
      </c>
      <c r="AM36" s="251">
        <f t="shared" si="27"/>
        <v>0</v>
      </c>
      <c r="AN36" s="688">
        <f t="shared" si="28"/>
        <v>1</v>
      </c>
      <c r="AO36" s="688">
        <f t="shared" si="29"/>
        <v>59</v>
      </c>
      <c r="AP36" s="688">
        <f t="shared" si="30"/>
        <v>4</v>
      </c>
      <c r="AQ36" s="688">
        <f t="shared" si="31"/>
        <v>0</v>
      </c>
      <c r="AR36" s="688">
        <f t="shared" si="32"/>
        <v>0</v>
      </c>
      <c r="AS36" s="688">
        <f t="shared" si="33"/>
        <v>7</v>
      </c>
      <c r="AT36" s="688">
        <f t="shared" si="33"/>
        <v>0</v>
      </c>
      <c r="AU36" s="688">
        <f t="shared" si="34"/>
        <v>24</v>
      </c>
      <c r="AV36" s="17">
        <f t="shared" si="35"/>
        <v>95</v>
      </c>
    </row>
    <row r="37" spans="1:48" x14ac:dyDescent="0.2">
      <c r="A37" s="1093"/>
      <c r="B37" s="913">
        <f>B36/B$44</f>
        <v>9.7560975609756097E-3</v>
      </c>
      <c r="C37" s="913">
        <f t="shared" ref="C37:K37" si="43">C36/C$44</f>
        <v>4.6874999999999998E-3</v>
      </c>
      <c r="D37" s="913">
        <f t="shared" si="43"/>
        <v>2.8520499108734401E-2</v>
      </c>
      <c r="E37" s="913">
        <f t="shared" si="43"/>
        <v>6.4646464646464646E-2</v>
      </c>
      <c r="F37" s="913">
        <f t="shared" si="43"/>
        <v>0.66120218579234968</v>
      </c>
      <c r="G37" s="913">
        <f t="shared" si="43"/>
        <v>6.9892473118279572E-3</v>
      </c>
      <c r="H37" s="913">
        <f t="shared" si="43"/>
        <v>0.10408921933085502</v>
      </c>
      <c r="I37" s="913">
        <f t="shared" si="43"/>
        <v>9.9455040871934602E-2</v>
      </c>
      <c r="J37" s="913">
        <f t="shared" si="43"/>
        <v>5.2050473186119876E-2</v>
      </c>
      <c r="K37" s="913">
        <f t="shared" si="43"/>
        <v>9.1349387864926676E-2</v>
      </c>
      <c r="M37" s="251"/>
      <c r="N37" s="922" t="s">
        <v>373</v>
      </c>
      <c r="O37" s="894"/>
      <c r="P37" s="894">
        <v>3</v>
      </c>
      <c r="Q37" s="894"/>
      <c r="R37" s="894">
        <v>1</v>
      </c>
      <c r="S37" s="894"/>
      <c r="T37" s="894">
        <v>1</v>
      </c>
      <c r="U37" s="894">
        <v>4</v>
      </c>
      <c r="V37" s="894">
        <v>5</v>
      </c>
      <c r="W37" s="894">
        <v>9</v>
      </c>
      <c r="X37" s="894">
        <v>202</v>
      </c>
      <c r="Y37" s="894">
        <v>16</v>
      </c>
      <c r="Z37" s="894">
        <v>1</v>
      </c>
      <c r="AA37" s="894"/>
      <c r="AB37" s="894">
        <v>2</v>
      </c>
      <c r="AC37" s="894"/>
      <c r="AD37" s="894"/>
      <c r="AE37" s="894"/>
      <c r="AF37" s="894">
        <v>96</v>
      </c>
      <c r="AG37" s="894">
        <v>2</v>
      </c>
      <c r="AH37" s="894">
        <v>12</v>
      </c>
      <c r="AI37" s="894"/>
      <c r="AJ37" s="921"/>
      <c r="AK37" s="251"/>
      <c r="AL37" s="250" t="s">
        <v>373</v>
      </c>
      <c r="AM37" s="251">
        <f t="shared" si="27"/>
        <v>3</v>
      </c>
      <c r="AN37" s="688">
        <f t="shared" si="28"/>
        <v>1</v>
      </c>
      <c r="AO37" s="688">
        <f t="shared" si="29"/>
        <v>19</v>
      </c>
      <c r="AP37" s="688">
        <f t="shared" si="30"/>
        <v>219</v>
      </c>
      <c r="AQ37" s="688">
        <f t="shared" si="31"/>
        <v>2</v>
      </c>
      <c r="AR37" s="688">
        <f t="shared" si="32"/>
        <v>0</v>
      </c>
      <c r="AS37" s="688">
        <f t="shared" si="33"/>
        <v>96</v>
      </c>
      <c r="AT37" s="688">
        <f t="shared" si="33"/>
        <v>2</v>
      </c>
      <c r="AU37" s="688">
        <f t="shared" si="34"/>
        <v>12</v>
      </c>
      <c r="AV37" s="17">
        <f t="shared" si="35"/>
        <v>354</v>
      </c>
    </row>
    <row r="38" spans="1:48" x14ac:dyDescent="0.2">
      <c r="A38" s="1071" t="s">
        <v>361</v>
      </c>
      <c r="B38" s="908">
        <f>SUM(AM42:AM44)</f>
        <v>32</v>
      </c>
      <c r="C38" s="908">
        <f t="shared" ref="C38:J38" si="44">SUM(AN42:AN44)</f>
        <v>14</v>
      </c>
      <c r="D38" s="908">
        <f t="shared" si="44"/>
        <v>75</v>
      </c>
      <c r="E38" s="908">
        <f t="shared" si="44"/>
        <v>74</v>
      </c>
      <c r="F38" s="908">
        <f t="shared" si="44"/>
        <v>58</v>
      </c>
      <c r="G38" s="908">
        <f t="shared" si="44"/>
        <v>1800</v>
      </c>
      <c r="H38" s="908">
        <f t="shared" si="44"/>
        <v>440</v>
      </c>
      <c r="I38" s="908">
        <f t="shared" si="44"/>
        <v>185</v>
      </c>
      <c r="J38" s="908">
        <f t="shared" si="44"/>
        <v>229</v>
      </c>
      <c r="K38" s="909">
        <f>SUM(B38:J38)</f>
        <v>2907</v>
      </c>
      <c r="M38" s="251"/>
      <c r="N38" s="923" t="s">
        <v>386</v>
      </c>
      <c r="O38" s="921"/>
      <c r="P38" s="921"/>
      <c r="Q38" s="921">
        <v>1</v>
      </c>
      <c r="R38" s="921"/>
      <c r="S38" s="921"/>
      <c r="T38" s="921"/>
      <c r="U38" s="921"/>
      <c r="V38" s="921">
        <v>1</v>
      </c>
      <c r="W38" s="921">
        <v>1</v>
      </c>
      <c r="X38" s="921">
        <v>5</v>
      </c>
      <c r="Y38" s="921">
        <v>57</v>
      </c>
      <c r="Z38" s="921">
        <v>4</v>
      </c>
      <c r="AA38" s="921">
        <v>7</v>
      </c>
      <c r="AB38" s="921"/>
      <c r="AC38" s="921"/>
      <c r="AD38" s="921"/>
      <c r="AE38" s="921">
        <v>2</v>
      </c>
      <c r="AF38" s="921">
        <v>22</v>
      </c>
      <c r="AG38" s="921">
        <v>2</v>
      </c>
      <c r="AH38" s="921">
        <v>1</v>
      </c>
      <c r="AI38" s="921"/>
      <c r="AJ38" s="921"/>
      <c r="AK38" s="251"/>
      <c r="AL38" s="250" t="s">
        <v>386</v>
      </c>
      <c r="AM38" s="688">
        <f t="shared" si="27"/>
        <v>1</v>
      </c>
      <c r="AN38" s="688">
        <f t="shared" si="28"/>
        <v>0</v>
      </c>
      <c r="AO38" s="688">
        <f t="shared" si="29"/>
        <v>2</v>
      </c>
      <c r="AP38" s="688">
        <f t="shared" si="30"/>
        <v>66</v>
      </c>
      <c r="AQ38" s="688">
        <f t="shared" si="31"/>
        <v>7</v>
      </c>
      <c r="AR38" s="688">
        <f t="shared" si="32"/>
        <v>2</v>
      </c>
      <c r="AS38" s="688">
        <f t="shared" si="33"/>
        <v>22</v>
      </c>
      <c r="AT38" s="688">
        <f t="shared" si="33"/>
        <v>2</v>
      </c>
      <c r="AU38" s="688">
        <f t="shared" si="34"/>
        <v>1</v>
      </c>
      <c r="AV38" s="17">
        <f t="shared" si="35"/>
        <v>103</v>
      </c>
    </row>
    <row r="39" spans="1:48" x14ac:dyDescent="0.2">
      <c r="A39" s="1093"/>
      <c r="B39" s="913">
        <f>B38/B$44</f>
        <v>5.2032520325203252E-2</v>
      </c>
      <c r="C39" s="913">
        <f t="shared" ref="C39:K39" si="45">C38/C$44</f>
        <v>2.1874999999999999E-2</v>
      </c>
      <c r="D39" s="913">
        <f t="shared" si="45"/>
        <v>0.13368983957219252</v>
      </c>
      <c r="E39" s="913">
        <f t="shared" si="45"/>
        <v>0.14949494949494949</v>
      </c>
      <c r="F39" s="913">
        <f t="shared" si="45"/>
        <v>0.10564663023679417</v>
      </c>
      <c r="G39" s="913">
        <f t="shared" si="45"/>
        <v>0.967741935483871</v>
      </c>
      <c r="H39" s="913">
        <f t="shared" si="45"/>
        <v>0.32713754646840149</v>
      </c>
      <c r="I39" s="913">
        <f t="shared" si="45"/>
        <v>0.25204359673024523</v>
      </c>
      <c r="J39" s="913">
        <f t="shared" si="45"/>
        <v>0.36119873817034698</v>
      </c>
      <c r="K39" s="913">
        <f t="shared" si="45"/>
        <v>0.39109377102112203</v>
      </c>
      <c r="M39" s="251"/>
      <c r="N39" s="922" t="s">
        <v>387</v>
      </c>
      <c r="O39" s="894"/>
      <c r="P39" s="894"/>
      <c r="Q39" s="894">
        <v>1</v>
      </c>
      <c r="R39" s="894"/>
      <c r="S39" s="894"/>
      <c r="T39" s="894">
        <v>1</v>
      </c>
      <c r="U39" s="894">
        <v>1</v>
      </c>
      <c r="V39" s="894">
        <v>1</v>
      </c>
      <c r="W39" s="894"/>
      <c r="X39" s="894">
        <v>12</v>
      </c>
      <c r="Y39" s="894">
        <v>8</v>
      </c>
      <c r="Z39" s="894">
        <v>18</v>
      </c>
      <c r="AA39" s="894">
        <v>1</v>
      </c>
      <c r="AB39" s="894">
        <v>2</v>
      </c>
      <c r="AC39" s="894">
        <v>2</v>
      </c>
      <c r="AD39" s="894"/>
      <c r="AE39" s="894">
        <v>1</v>
      </c>
      <c r="AF39" s="894">
        <v>22</v>
      </c>
      <c r="AG39" s="894">
        <v>3</v>
      </c>
      <c r="AH39" s="894">
        <v>8</v>
      </c>
      <c r="AI39" s="894"/>
      <c r="AJ39" s="921"/>
      <c r="AK39" s="251"/>
      <c r="AL39" s="250" t="s">
        <v>387</v>
      </c>
      <c r="AM39" s="251">
        <f t="shared" si="27"/>
        <v>1</v>
      </c>
      <c r="AN39" s="688">
        <f t="shared" si="28"/>
        <v>0</v>
      </c>
      <c r="AO39" s="688">
        <f t="shared" si="29"/>
        <v>3</v>
      </c>
      <c r="AP39" s="688">
        <f t="shared" si="30"/>
        <v>38</v>
      </c>
      <c r="AQ39" s="688">
        <f t="shared" si="31"/>
        <v>3</v>
      </c>
      <c r="AR39" s="688">
        <f t="shared" si="32"/>
        <v>3</v>
      </c>
      <c r="AS39" s="688">
        <f t="shared" si="33"/>
        <v>22</v>
      </c>
      <c r="AT39" s="688">
        <f t="shared" si="33"/>
        <v>3</v>
      </c>
      <c r="AU39" s="688">
        <f t="shared" si="34"/>
        <v>8</v>
      </c>
      <c r="AV39" s="17">
        <f t="shared" si="35"/>
        <v>81</v>
      </c>
    </row>
    <row r="40" spans="1:48" x14ac:dyDescent="0.2">
      <c r="A40" s="1071" t="s">
        <v>380</v>
      </c>
      <c r="B40" s="908">
        <f>AM45</f>
        <v>0</v>
      </c>
      <c r="C40" s="908">
        <f t="shared" ref="C40:J40" si="46">AN45</f>
        <v>0</v>
      </c>
      <c r="D40" s="908">
        <f t="shared" si="46"/>
        <v>0</v>
      </c>
      <c r="E40" s="908">
        <f t="shared" si="46"/>
        <v>0</v>
      </c>
      <c r="F40" s="908">
        <f t="shared" si="46"/>
        <v>0</v>
      </c>
      <c r="G40" s="908">
        <f t="shared" si="46"/>
        <v>0</v>
      </c>
      <c r="H40" s="908">
        <f t="shared" si="46"/>
        <v>0</v>
      </c>
      <c r="I40" s="908">
        <f t="shared" si="46"/>
        <v>0</v>
      </c>
      <c r="J40" s="908">
        <f t="shared" si="46"/>
        <v>0</v>
      </c>
      <c r="K40" s="909">
        <f>SUM(B40:J40)</f>
        <v>0</v>
      </c>
      <c r="M40" s="251"/>
      <c r="N40" s="923" t="s">
        <v>388</v>
      </c>
      <c r="O40" s="921">
        <v>2</v>
      </c>
      <c r="P40" s="921"/>
      <c r="Q40" s="921"/>
      <c r="R40" s="921">
        <v>1</v>
      </c>
      <c r="S40" s="921"/>
      <c r="T40" s="921"/>
      <c r="U40" s="921"/>
      <c r="V40" s="921">
        <v>3</v>
      </c>
      <c r="W40" s="921"/>
      <c r="X40" s="921">
        <v>6</v>
      </c>
      <c r="Y40" s="921">
        <v>5</v>
      </c>
      <c r="Z40" s="921">
        <v>5</v>
      </c>
      <c r="AA40" s="921">
        <v>113</v>
      </c>
      <c r="AB40" s="921">
        <v>14</v>
      </c>
      <c r="AC40" s="921">
        <v>1</v>
      </c>
      <c r="AD40" s="921"/>
      <c r="AE40" s="921"/>
      <c r="AF40" s="921">
        <v>89</v>
      </c>
      <c r="AG40" s="921">
        <v>10</v>
      </c>
      <c r="AH40" s="921">
        <v>7</v>
      </c>
      <c r="AI40" s="921">
        <v>2</v>
      </c>
      <c r="AJ40" s="921"/>
      <c r="AK40" s="251"/>
      <c r="AL40" s="250" t="s">
        <v>388</v>
      </c>
      <c r="AM40" s="251">
        <f t="shared" si="27"/>
        <v>2</v>
      </c>
      <c r="AN40" s="688">
        <f t="shared" si="28"/>
        <v>1</v>
      </c>
      <c r="AO40" s="688">
        <f t="shared" si="29"/>
        <v>3</v>
      </c>
      <c r="AP40" s="688">
        <f t="shared" si="30"/>
        <v>16</v>
      </c>
      <c r="AQ40" s="688">
        <f t="shared" si="31"/>
        <v>127</v>
      </c>
      <c r="AR40" s="688">
        <f t="shared" si="32"/>
        <v>1</v>
      </c>
      <c r="AS40" s="688">
        <f t="shared" si="33"/>
        <v>89</v>
      </c>
      <c r="AT40" s="688">
        <f t="shared" si="33"/>
        <v>10</v>
      </c>
      <c r="AU40" s="688">
        <f t="shared" si="34"/>
        <v>9</v>
      </c>
      <c r="AV40" s="17">
        <f t="shared" si="35"/>
        <v>258</v>
      </c>
    </row>
    <row r="41" spans="1:48" x14ac:dyDescent="0.2">
      <c r="A41" s="1093"/>
      <c r="B41" s="913">
        <f>B40/B$44</f>
        <v>0</v>
      </c>
      <c r="C41" s="913">
        <f t="shared" ref="C41:K41" si="47">C40/C$44</f>
        <v>0</v>
      </c>
      <c r="D41" s="913">
        <f t="shared" si="47"/>
        <v>0</v>
      </c>
      <c r="E41" s="913">
        <f t="shared" si="47"/>
        <v>0</v>
      </c>
      <c r="F41" s="913">
        <f t="shared" si="47"/>
        <v>0</v>
      </c>
      <c r="G41" s="913">
        <f t="shared" si="47"/>
        <v>0</v>
      </c>
      <c r="H41" s="913">
        <f t="shared" si="47"/>
        <v>0</v>
      </c>
      <c r="I41" s="913">
        <f t="shared" si="47"/>
        <v>0</v>
      </c>
      <c r="J41" s="913">
        <f t="shared" si="47"/>
        <v>0</v>
      </c>
      <c r="K41" s="913">
        <f t="shared" si="47"/>
        <v>0</v>
      </c>
      <c r="M41" s="251"/>
      <c r="N41" s="922" t="s">
        <v>389</v>
      </c>
      <c r="O41" s="894"/>
      <c r="P41" s="894">
        <v>4</v>
      </c>
      <c r="Q41" s="894"/>
      <c r="R41" s="894">
        <v>1</v>
      </c>
      <c r="S41" s="894">
        <v>1</v>
      </c>
      <c r="T41" s="894">
        <v>5</v>
      </c>
      <c r="U41" s="894">
        <v>2</v>
      </c>
      <c r="V41" s="894">
        <v>5</v>
      </c>
      <c r="W41" s="894">
        <v>1</v>
      </c>
      <c r="X41" s="894">
        <v>5</v>
      </c>
      <c r="Y41" s="894">
        <v>10</v>
      </c>
      <c r="Z41" s="894">
        <v>1</v>
      </c>
      <c r="AA41" s="894">
        <v>33</v>
      </c>
      <c r="AB41" s="894">
        <v>203</v>
      </c>
      <c r="AC41" s="894">
        <v>10</v>
      </c>
      <c r="AD41" s="894">
        <v>1</v>
      </c>
      <c r="AE41" s="894">
        <v>1</v>
      </c>
      <c r="AF41" s="894">
        <v>51</v>
      </c>
      <c r="AG41" s="894">
        <v>63</v>
      </c>
      <c r="AH41" s="894">
        <v>23</v>
      </c>
      <c r="AI41" s="894">
        <v>1</v>
      </c>
      <c r="AJ41" s="921"/>
      <c r="AK41" s="251"/>
      <c r="AL41" s="250" t="s">
        <v>389</v>
      </c>
      <c r="AM41" s="251">
        <f t="shared" si="27"/>
        <v>4</v>
      </c>
      <c r="AN41" s="688">
        <f t="shared" si="28"/>
        <v>2</v>
      </c>
      <c r="AO41" s="688">
        <f t="shared" si="29"/>
        <v>13</v>
      </c>
      <c r="AP41" s="688">
        <f t="shared" si="30"/>
        <v>16</v>
      </c>
      <c r="AQ41" s="688">
        <f t="shared" si="31"/>
        <v>236</v>
      </c>
      <c r="AR41" s="688">
        <f t="shared" si="32"/>
        <v>12</v>
      </c>
      <c r="AS41" s="688">
        <f t="shared" si="33"/>
        <v>51</v>
      </c>
      <c r="AT41" s="688">
        <f t="shared" si="33"/>
        <v>63</v>
      </c>
      <c r="AU41" s="688">
        <f t="shared" si="34"/>
        <v>24</v>
      </c>
      <c r="AV41" s="17">
        <f t="shared" si="35"/>
        <v>421</v>
      </c>
    </row>
    <row r="42" spans="1:48" x14ac:dyDescent="0.2">
      <c r="A42" s="1071" t="s">
        <v>381</v>
      </c>
      <c r="B42" s="908">
        <f>AM46</f>
        <v>11</v>
      </c>
      <c r="C42" s="908">
        <f t="shared" ref="C42:J42" si="48">AN46</f>
        <v>3</v>
      </c>
      <c r="D42" s="908">
        <f t="shared" si="48"/>
        <v>5</v>
      </c>
      <c r="E42" s="908">
        <f t="shared" si="48"/>
        <v>25</v>
      </c>
      <c r="F42" s="908">
        <f t="shared" si="48"/>
        <v>104</v>
      </c>
      <c r="G42" s="908">
        <f t="shared" si="48"/>
        <v>30</v>
      </c>
      <c r="H42" s="908">
        <f t="shared" si="48"/>
        <v>245</v>
      </c>
      <c r="I42" s="908">
        <f t="shared" si="48"/>
        <v>457</v>
      </c>
      <c r="J42" s="908">
        <f t="shared" si="48"/>
        <v>29</v>
      </c>
      <c r="K42" s="909">
        <f>SUM(B42:J42)</f>
        <v>909</v>
      </c>
      <c r="M42" s="251"/>
      <c r="N42" s="923" t="s">
        <v>390</v>
      </c>
      <c r="O42" s="921"/>
      <c r="P42" s="921">
        <v>4</v>
      </c>
      <c r="Q42" s="921">
        <v>5</v>
      </c>
      <c r="R42" s="921">
        <v>3</v>
      </c>
      <c r="S42" s="921">
        <v>2</v>
      </c>
      <c r="T42" s="921">
        <v>8</v>
      </c>
      <c r="U42" s="921">
        <v>4</v>
      </c>
      <c r="V42" s="921">
        <v>6</v>
      </c>
      <c r="W42" s="921">
        <v>7</v>
      </c>
      <c r="X42" s="921">
        <v>20</v>
      </c>
      <c r="Y42" s="921">
        <v>7</v>
      </c>
      <c r="Z42" s="921">
        <v>4</v>
      </c>
      <c r="AA42" s="921">
        <v>10</v>
      </c>
      <c r="AB42" s="921">
        <v>13</v>
      </c>
      <c r="AC42" s="921">
        <v>385</v>
      </c>
      <c r="AD42" s="921">
        <v>30</v>
      </c>
      <c r="AE42" s="921">
        <v>12</v>
      </c>
      <c r="AF42" s="921">
        <v>156</v>
      </c>
      <c r="AG42" s="921">
        <v>102</v>
      </c>
      <c r="AH42" s="921">
        <v>55</v>
      </c>
      <c r="AI42" s="921">
        <v>3</v>
      </c>
      <c r="AJ42" s="921"/>
      <c r="AK42" s="251"/>
      <c r="AL42" s="250" t="s">
        <v>390</v>
      </c>
      <c r="AM42" s="251">
        <f t="shared" si="27"/>
        <v>9</v>
      </c>
      <c r="AN42" s="688">
        <f t="shared" si="28"/>
        <v>5</v>
      </c>
      <c r="AO42" s="688">
        <f t="shared" si="29"/>
        <v>25</v>
      </c>
      <c r="AP42" s="688">
        <f t="shared" si="30"/>
        <v>31</v>
      </c>
      <c r="AQ42" s="688">
        <f t="shared" si="31"/>
        <v>23</v>
      </c>
      <c r="AR42" s="688">
        <f t="shared" si="32"/>
        <v>427</v>
      </c>
      <c r="AS42" s="688">
        <f t="shared" si="33"/>
        <v>156</v>
      </c>
      <c r="AT42" s="688">
        <f t="shared" si="33"/>
        <v>102</v>
      </c>
      <c r="AU42" s="688">
        <f t="shared" si="34"/>
        <v>58</v>
      </c>
      <c r="AV42" s="17">
        <f t="shared" si="35"/>
        <v>836</v>
      </c>
    </row>
    <row r="43" spans="1:48" x14ac:dyDescent="0.2">
      <c r="A43" s="1093"/>
      <c r="B43" s="913">
        <f>B42/B$44</f>
        <v>1.7886178861788619E-2</v>
      </c>
      <c r="C43" s="913">
        <f t="shared" ref="C43:K43" si="49">C42/C$44</f>
        <v>4.6874999999999998E-3</v>
      </c>
      <c r="D43" s="913">
        <f t="shared" si="49"/>
        <v>8.9126559714795012E-3</v>
      </c>
      <c r="E43" s="913">
        <f t="shared" si="49"/>
        <v>5.0505050505050504E-2</v>
      </c>
      <c r="F43" s="913">
        <f t="shared" si="49"/>
        <v>0.18943533697632059</v>
      </c>
      <c r="G43" s="913">
        <f t="shared" si="49"/>
        <v>1.6129032258064516E-2</v>
      </c>
      <c r="H43" s="913">
        <f t="shared" si="49"/>
        <v>0.18215613382899629</v>
      </c>
      <c r="I43" s="913">
        <f t="shared" si="49"/>
        <v>0.62261580381471393</v>
      </c>
      <c r="J43" s="913">
        <f t="shared" si="49"/>
        <v>4.5741324921135647E-2</v>
      </c>
      <c r="K43" s="913">
        <f t="shared" si="49"/>
        <v>0.12229247948338491</v>
      </c>
      <c r="M43" s="251"/>
      <c r="N43" s="922" t="s">
        <v>391</v>
      </c>
      <c r="O43" s="894">
        <v>5</v>
      </c>
      <c r="P43" s="894">
        <v>8</v>
      </c>
      <c r="Q43" s="894">
        <v>6</v>
      </c>
      <c r="R43" s="894">
        <v>5</v>
      </c>
      <c r="S43" s="894">
        <v>2</v>
      </c>
      <c r="T43" s="894">
        <v>5</v>
      </c>
      <c r="U43" s="894">
        <v>6</v>
      </c>
      <c r="V43" s="894">
        <v>7</v>
      </c>
      <c r="W43" s="894">
        <v>5</v>
      </c>
      <c r="X43" s="894">
        <v>18</v>
      </c>
      <c r="Y43" s="894">
        <v>6</v>
      </c>
      <c r="Z43" s="894">
        <v>5</v>
      </c>
      <c r="AA43" s="894">
        <v>13</v>
      </c>
      <c r="AB43" s="894">
        <v>17</v>
      </c>
      <c r="AC43" s="894">
        <v>74</v>
      </c>
      <c r="AD43" s="894">
        <v>701</v>
      </c>
      <c r="AE43" s="894">
        <v>80</v>
      </c>
      <c r="AF43" s="894">
        <v>215</v>
      </c>
      <c r="AG43" s="894">
        <v>65</v>
      </c>
      <c r="AH43" s="894">
        <v>100</v>
      </c>
      <c r="AI43" s="894">
        <v>13</v>
      </c>
      <c r="AJ43" s="921"/>
      <c r="AK43" s="251"/>
      <c r="AL43" s="250" t="s">
        <v>391</v>
      </c>
      <c r="AM43" s="251">
        <f t="shared" si="27"/>
        <v>19</v>
      </c>
      <c r="AN43" s="688">
        <f t="shared" si="28"/>
        <v>7</v>
      </c>
      <c r="AO43" s="688">
        <f t="shared" si="29"/>
        <v>23</v>
      </c>
      <c r="AP43" s="688">
        <f t="shared" si="30"/>
        <v>29</v>
      </c>
      <c r="AQ43" s="688">
        <f t="shared" si="31"/>
        <v>30</v>
      </c>
      <c r="AR43" s="688">
        <f t="shared" si="32"/>
        <v>855</v>
      </c>
      <c r="AS43" s="688">
        <f t="shared" si="33"/>
        <v>215</v>
      </c>
      <c r="AT43" s="688">
        <f t="shared" si="33"/>
        <v>65</v>
      </c>
      <c r="AU43" s="688">
        <f t="shared" si="34"/>
        <v>113</v>
      </c>
      <c r="AV43" s="17">
        <f t="shared" si="35"/>
        <v>1356</v>
      </c>
    </row>
    <row r="44" spans="1:48" x14ac:dyDescent="0.2">
      <c r="A44" s="1103" t="s">
        <v>11</v>
      </c>
      <c r="B44" s="924">
        <f t="shared" ref="B44:K45" si="50">SUM(B28,B30,B32,B34,B36,B38,B40,B42)</f>
        <v>615</v>
      </c>
      <c r="C44" s="924">
        <f t="shared" si="50"/>
        <v>640</v>
      </c>
      <c r="D44" s="924">
        <f t="shared" si="50"/>
        <v>561</v>
      </c>
      <c r="E44" s="924">
        <f t="shared" si="50"/>
        <v>495</v>
      </c>
      <c r="F44" s="924">
        <f t="shared" si="50"/>
        <v>549</v>
      </c>
      <c r="G44" s="924">
        <f t="shared" si="50"/>
        <v>1860</v>
      </c>
      <c r="H44" s="924">
        <f t="shared" si="50"/>
        <v>1345</v>
      </c>
      <c r="I44" s="924">
        <f t="shared" si="50"/>
        <v>734</v>
      </c>
      <c r="J44" s="924">
        <f t="shared" si="50"/>
        <v>634</v>
      </c>
      <c r="K44" s="924">
        <f t="shared" si="50"/>
        <v>7433</v>
      </c>
      <c r="M44" s="251"/>
      <c r="N44" s="923" t="s">
        <v>392</v>
      </c>
      <c r="O44" s="921">
        <v>2</v>
      </c>
      <c r="P44" s="921">
        <v>2</v>
      </c>
      <c r="Q44" s="921"/>
      <c r="R44" s="921">
        <v>1</v>
      </c>
      <c r="S44" s="921">
        <v>1</v>
      </c>
      <c r="T44" s="921">
        <v>8</v>
      </c>
      <c r="U44" s="921">
        <v>4</v>
      </c>
      <c r="V44" s="921">
        <v>12</v>
      </c>
      <c r="W44" s="921">
        <v>3</v>
      </c>
      <c r="X44" s="921">
        <v>5</v>
      </c>
      <c r="Y44" s="921">
        <v>8</v>
      </c>
      <c r="Z44" s="921">
        <v>1</v>
      </c>
      <c r="AA44" s="921">
        <v>1</v>
      </c>
      <c r="AB44" s="921">
        <v>4</v>
      </c>
      <c r="AC44" s="921">
        <v>28</v>
      </c>
      <c r="AD44" s="921">
        <v>55</v>
      </c>
      <c r="AE44" s="921">
        <v>435</v>
      </c>
      <c r="AF44" s="921">
        <v>69</v>
      </c>
      <c r="AG44" s="921">
        <v>18</v>
      </c>
      <c r="AH44" s="921">
        <v>55</v>
      </c>
      <c r="AI44" s="921">
        <v>3</v>
      </c>
      <c r="AJ44" s="921"/>
      <c r="AK44" s="251"/>
      <c r="AL44" s="250" t="s">
        <v>392</v>
      </c>
      <c r="AM44" s="251">
        <f t="shared" si="27"/>
        <v>4</v>
      </c>
      <c r="AN44" s="688">
        <f t="shared" si="28"/>
        <v>2</v>
      </c>
      <c r="AO44" s="688">
        <f t="shared" si="29"/>
        <v>27</v>
      </c>
      <c r="AP44" s="688">
        <f t="shared" si="30"/>
        <v>14</v>
      </c>
      <c r="AQ44" s="688">
        <f t="shared" si="31"/>
        <v>5</v>
      </c>
      <c r="AR44" s="688">
        <f t="shared" si="32"/>
        <v>518</v>
      </c>
      <c r="AS44" s="688">
        <f t="shared" si="33"/>
        <v>69</v>
      </c>
      <c r="AT44" s="688">
        <f t="shared" si="33"/>
        <v>18</v>
      </c>
      <c r="AU44" s="688">
        <f t="shared" si="34"/>
        <v>58</v>
      </c>
      <c r="AV44" s="17">
        <f t="shared" si="35"/>
        <v>715</v>
      </c>
    </row>
    <row r="45" spans="1:48" x14ac:dyDescent="0.2">
      <c r="A45" s="1104"/>
      <c r="B45" s="925">
        <f>SUM(B29,B31,B33,B35,B37,B39,B41,B43)</f>
        <v>1</v>
      </c>
      <c r="C45" s="925">
        <f t="shared" si="50"/>
        <v>1</v>
      </c>
      <c r="D45" s="925">
        <f t="shared" si="50"/>
        <v>1</v>
      </c>
      <c r="E45" s="925">
        <f t="shared" si="50"/>
        <v>0.99999999999999989</v>
      </c>
      <c r="F45" s="925">
        <f t="shared" si="50"/>
        <v>1</v>
      </c>
      <c r="G45" s="925">
        <f t="shared" si="50"/>
        <v>1</v>
      </c>
      <c r="H45" s="925">
        <f t="shared" si="50"/>
        <v>1</v>
      </c>
      <c r="I45" s="925">
        <f t="shared" si="50"/>
        <v>1</v>
      </c>
      <c r="J45" s="925">
        <f t="shared" si="50"/>
        <v>1</v>
      </c>
      <c r="K45" s="925">
        <f t="shared" si="50"/>
        <v>1</v>
      </c>
      <c r="M45" s="251"/>
      <c r="N45" s="926" t="s">
        <v>394</v>
      </c>
      <c r="O45" s="894">
        <v>2</v>
      </c>
      <c r="P45" s="894">
        <v>7</v>
      </c>
      <c r="Q45" s="894">
        <v>2</v>
      </c>
      <c r="R45" s="894">
        <v>1</v>
      </c>
      <c r="S45" s="894">
        <v>2</v>
      </c>
      <c r="T45" s="894">
        <v>1</v>
      </c>
      <c r="U45" s="894">
        <v>2</v>
      </c>
      <c r="V45" s="894">
        <v>1</v>
      </c>
      <c r="W45" s="894">
        <v>1</v>
      </c>
      <c r="X45" s="894">
        <v>17</v>
      </c>
      <c r="Y45" s="894">
        <v>6</v>
      </c>
      <c r="Z45" s="894">
        <v>2</v>
      </c>
      <c r="AA45" s="894">
        <v>74</v>
      </c>
      <c r="AB45" s="894">
        <v>30</v>
      </c>
      <c r="AC45" s="894">
        <v>17</v>
      </c>
      <c r="AD45" s="894">
        <v>9</v>
      </c>
      <c r="AE45" s="894">
        <v>4</v>
      </c>
      <c r="AF45" s="894">
        <v>245</v>
      </c>
      <c r="AG45" s="894">
        <v>457</v>
      </c>
      <c r="AH45" s="894">
        <v>23</v>
      </c>
      <c r="AI45" s="894">
        <v>6</v>
      </c>
      <c r="AJ45" s="372"/>
      <c r="AK45" s="251"/>
      <c r="AL45" s="250" t="s">
        <v>393</v>
      </c>
      <c r="AV45" s="17">
        <f t="shared" si="35"/>
        <v>0</v>
      </c>
    </row>
    <row r="46" spans="1:48" x14ac:dyDescent="0.2">
      <c r="N46" s="922" t="s">
        <v>244</v>
      </c>
      <c r="O46" s="894">
        <v>179</v>
      </c>
      <c r="P46" s="894">
        <v>237</v>
      </c>
      <c r="Q46" s="894">
        <v>199</v>
      </c>
      <c r="R46" s="894">
        <v>358</v>
      </c>
      <c r="S46" s="894">
        <v>282</v>
      </c>
      <c r="T46" s="894">
        <v>197</v>
      </c>
      <c r="U46" s="894">
        <v>115</v>
      </c>
      <c r="V46" s="894">
        <v>144</v>
      </c>
      <c r="W46" s="894">
        <v>105</v>
      </c>
      <c r="X46" s="894">
        <v>320</v>
      </c>
      <c r="Y46" s="894">
        <v>133</v>
      </c>
      <c r="Z46" s="894">
        <v>42</v>
      </c>
      <c r="AA46" s="894">
        <v>260</v>
      </c>
      <c r="AB46" s="894">
        <v>289</v>
      </c>
      <c r="AC46" s="894">
        <v>522</v>
      </c>
      <c r="AD46" s="894">
        <v>800</v>
      </c>
      <c r="AE46" s="894">
        <v>538</v>
      </c>
      <c r="AF46" s="894">
        <v>1345</v>
      </c>
      <c r="AG46" s="894">
        <v>734</v>
      </c>
      <c r="AH46" s="894">
        <v>596</v>
      </c>
      <c r="AI46" s="894">
        <v>38</v>
      </c>
      <c r="AJ46" s="921"/>
      <c r="AK46" s="688"/>
      <c r="AL46" s="250" t="s">
        <v>394</v>
      </c>
      <c r="AM46" s="251">
        <f>SUM(O45:Q45)</f>
        <v>11</v>
      </c>
      <c r="AN46" s="688">
        <f>SUM(R45:S45)</f>
        <v>3</v>
      </c>
      <c r="AO46" s="688">
        <f>SUM(T45:W45)</f>
        <v>5</v>
      </c>
      <c r="AP46" s="688">
        <f>SUM(X45:Z45)</f>
        <v>25</v>
      </c>
      <c r="AQ46" s="688">
        <f>SUM(AA45:AB45)</f>
        <v>104</v>
      </c>
      <c r="AR46" s="688">
        <f>SUM(AC45:AE45)</f>
        <v>30</v>
      </c>
      <c r="AS46" s="688">
        <f>AF45</f>
        <v>245</v>
      </c>
      <c r="AT46" s="688">
        <f>AG45</f>
        <v>457</v>
      </c>
      <c r="AU46" s="688">
        <f>SUM(AH45:AI45)</f>
        <v>29</v>
      </c>
      <c r="AV46" s="17">
        <f t="shared" si="35"/>
        <v>909</v>
      </c>
    </row>
    <row r="47" spans="1:48" x14ac:dyDescent="0.2">
      <c r="A47" s="220"/>
      <c r="B47" s="220"/>
      <c r="C47" s="220"/>
      <c r="D47" s="220"/>
      <c r="E47" s="220"/>
      <c r="F47" s="220"/>
      <c r="G47" s="220"/>
      <c r="H47" s="220"/>
      <c r="I47" s="220"/>
      <c r="J47" s="220"/>
      <c r="K47" s="220"/>
      <c r="L47" s="220"/>
      <c r="M47" s="220"/>
      <c r="N47" s="923"/>
      <c r="AJ47" s="921"/>
      <c r="AM47" s="911">
        <f>SUM(O46:Q46)</f>
        <v>615</v>
      </c>
      <c r="AN47" s="688">
        <f>SUM(R46:S46)</f>
        <v>640</v>
      </c>
      <c r="AO47" s="688">
        <f>SUM(T46:W46)</f>
        <v>561</v>
      </c>
      <c r="AP47" s="688">
        <f>SUM(X46:Z46)</f>
        <v>495</v>
      </c>
      <c r="AQ47" s="688">
        <f>SUM(AA46:AB46)</f>
        <v>549</v>
      </c>
      <c r="AR47" s="688">
        <f>SUM(AC46:AE46)</f>
        <v>1860</v>
      </c>
      <c r="AS47" s="688">
        <f>AF46</f>
        <v>1345</v>
      </c>
      <c r="AT47" s="688">
        <f>AG46</f>
        <v>734</v>
      </c>
      <c r="AU47" s="688">
        <f>SUM(AH46:AI46)</f>
        <v>634</v>
      </c>
      <c r="AV47" s="17">
        <f t="shared" si="35"/>
        <v>7433</v>
      </c>
    </row>
    <row r="48" spans="1:48" x14ac:dyDescent="0.2">
      <c r="A48" s="41"/>
      <c r="N48" s="926"/>
      <c r="AJ48" s="372"/>
    </row>
    <row r="49" spans="1:14" x14ac:dyDescent="0.2">
      <c r="A49" s="41"/>
      <c r="N49" s="351" t="s">
        <v>570</v>
      </c>
    </row>
    <row r="50" spans="1:14" x14ac:dyDescent="0.2">
      <c r="A50" s="41"/>
    </row>
    <row r="51" spans="1:14" x14ac:dyDescent="0.2">
      <c r="A51" s="41"/>
    </row>
    <row r="52" spans="1:14" x14ac:dyDescent="0.2">
      <c r="A52" s="41"/>
    </row>
    <row r="53" spans="1:14" x14ac:dyDescent="0.2">
      <c r="A53" s="41"/>
      <c r="H53" s="927"/>
    </row>
    <row r="54" spans="1:14" x14ac:dyDescent="0.2">
      <c r="A54" s="41"/>
    </row>
    <row r="55" spans="1:14" x14ac:dyDescent="0.2">
      <c r="A55" s="41"/>
    </row>
  </sheetData>
  <mergeCells count="22">
    <mergeCell ref="A11:A12"/>
    <mergeCell ref="A3:A4"/>
    <mergeCell ref="B3:K3"/>
    <mergeCell ref="A5:A6"/>
    <mergeCell ref="A7:A8"/>
    <mergeCell ref="A9:A10"/>
    <mergeCell ref="A13:A14"/>
    <mergeCell ref="A15:A16"/>
    <mergeCell ref="A17:A18"/>
    <mergeCell ref="A19:A20"/>
    <mergeCell ref="A21:A22"/>
    <mergeCell ref="A38:A39"/>
    <mergeCell ref="A40:A41"/>
    <mergeCell ref="A42:A43"/>
    <mergeCell ref="A44:A45"/>
    <mergeCell ref="B26:K26"/>
    <mergeCell ref="A28:A29"/>
    <mergeCell ref="A30:A31"/>
    <mergeCell ref="A32:A33"/>
    <mergeCell ref="A34:A35"/>
    <mergeCell ref="A36:A37"/>
    <mergeCell ref="A26:A27"/>
  </mergeCells>
  <phoneticPr fontId="2"/>
  <printOptions horizontalCentered="1"/>
  <pageMargins left="0.70866141732283472" right="0.70866141732283472" top="0.74803149606299213" bottom="0.74803149606299213"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49" r:id="rId4" name="Button 1">
              <controlPr defaultSize="0" print="0" autoFill="0" autoPict="0" macro="[0]!データ削除_圏域圏域">
                <anchor moveWithCells="1" sizeWithCells="1">
                  <from>
                    <xdr:col>11</xdr:col>
                    <xdr:colOff>274320</xdr:colOff>
                    <xdr:row>0</xdr:row>
                    <xdr:rowOff>106680</xdr:rowOff>
                  </from>
                  <to>
                    <xdr:col>15</xdr:col>
                    <xdr:colOff>464820</xdr:colOff>
                    <xdr:row>2</xdr:row>
                    <xdr:rowOff>99060</xdr:rowOff>
                  </to>
                </anchor>
              </controlPr>
            </control>
          </mc:Choice>
        </mc:AlternateContent>
      </controls>
    </mc:Choice>
  </mc:AlternateContent>
  <tableParts count="2">
    <tablePart r:id="rId5"/>
    <tablePart r:id="rId6"/>
  </tablePart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6BF-A189-426A-8EC5-3BA82B11F1B4}">
  <sheetPr codeName="Sheet47">
    <tabColor rgb="FFFFFF00"/>
  </sheetPr>
  <dimension ref="A1:T91"/>
  <sheetViews>
    <sheetView showGridLines="0" view="pageBreakPreview" topLeftCell="B1" zoomScaleNormal="100" zoomScaleSheetLayoutView="100" workbookViewId="0">
      <selection activeCell="B1" sqref="B1"/>
    </sheetView>
  </sheetViews>
  <sheetFormatPr defaultColWidth="9" defaultRowHeight="17.399999999999999" x14ac:dyDescent="0.2"/>
  <cols>
    <col min="1" max="1" width="4" style="676" hidden="1" customWidth="1"/>
    <col min="2" max="2" width="10.88671875" style="364" customWidth="1"/>
    <col min="3" max="3" width="4.33203125" style="364" bestFit="1" customWidth="1"/>
    <col min="4" max="4" width="4.21875" style="364" customWidth="1"/>
    <col min="5" max="8" width="5.33203125" style="364" bestFit="1" customWidth="1"/>
    <col min="9" max="9" width="7" style="364" bestFit="1" customWidth="1"/>
    <col min="10" max="10" width="4.33203125" style="364" bestFit="1" customWidth="1"/>
    <col min="11" max="14" width="5.33203125" style="364" bestFit="1" customWidth="1"/>
    <col min="15" max="15" width="5" style="364" bestFit="1" customWidth="1"/>
    <col min="16" max="16" width="7" style="364" bestFit="1" customWidth="1"/>
    <col min="17" max="17" width="6.88671875" style="364" customWidth="1"/>
    <col min="18" max="18" width="9" style="676"/>
    <col min="19" max="20" width="9" style="676" hidden="1" customWidth="1"/>
    <col min="21" max="23" width="0" style="676" hidden="1" customWidth="1"/>
    <col min="24" max="16384" width="9" style="676"/>
  </cols>
  <sheetData>
    <row r="1" spans="1:17" x14ac:dyDescent="0.2">
      <c r="B1" s="4" t="s">
        <v>571</v>
      </c>
    </row>
    <row r="3" spans="1:17" x14ac:dyDescent="0.2">
      <c r="B3" s="928"/>
      <c r="C3" s="1117" t="s">
        <v>572</v>
      </c>
      <c r="D3" s="1118"/>
      <c r="E3" s="1118"/>
      <c r="F3" s="1118"/>
      <c r="G3" s="1118"/>
      <c r="H3" s="1118"/>
      <c r="I3" s="1119"/>
      <c r="J3" s="1117" t="s">
        <v>573</v>
      </c>
      <c r="K3" s="1118"/>
      <c r="L3" s="1118"/>
      <c r="M3" s="1118"/>
      <c r="N3" s="1118"/>
      <c r="O3" s="1118"/>
      <c r="P3" s="1119"/>
      <c r="Q3" s="1120" t="s">
        <v>61</v>
      </c>
    </row>
    <row r="4" spans="1:17" ht="44.25" customHeight="1" x14ac:dyDescent="0.2">
      <c r="B4" s="929"/>
      <c r="C4" s="934" t="s">
        <v>257</v>
      </c>
      <c r="D4" s="931" t="s">
        <v>258</v>
      </c>
      <c r="E4" s="930" t="s">
        <v>382</v>
      </c>
      <c r="F4" s="930" t="s">
        <v>383</v>
      </c>
      <c r="G4" s="930" t="s">
        <v>384</v>
      </c>
      <c r="H4" s="930" t="s">
        <v>385</v>
      </c>
      <c r="I4" s="930" t="s">
        <v>574</v>
      </c>
      <c r="J4" s="930" t="s">
        <v>257</v>
      </c>
      <c r="K4" s="931" t="s">
        <v>258</v>
      </c>
      <c r="L4" s="930" t="s">
        <v>382</v>
      </c>
      <c r="M4" s="930" t="s">
        <v>383</v>
      </c>
      <c r="N4" s="930" t="s">
        <v>384</v>
      </c>
      <c r="O4" s="930" t="s">
        <v>385</v>
      </c>
      <c r="P4" s="930" t="s">
        <v>574</v>
      </c>
      <c r="Q4" s="1121"/>
    </row>
    <row r="5" spans="1:17" s="145" customFormat="1" x14ac:dyDescent="0.2">
      <c r="A5" s="145">
        <v>1</v>
      </c>
      <c r="B5" s="947" t="s">
        <v>575</v>
      </c>
      <c r="C5" s="951"/>
      <c r="D5" s="957">
        <v>2</v>
      </c>
      <c r="E5" s="951">
        <v>8</v>
      </c>
      <c r="F5" s="951">
        <v>20</v>
      </c>
      <c r="G5" s="951">
        <v>14</v>
      </c>
      <c r="H5" s="951">
        <v>2</v>
      </c>
      <c r="I5" s="951">
        <f>SUM(C5:H5)</f>
        <v>46</v>
      </c>
      <c r="J5" s="951">
        <v>1</v>
      </c>
      <c r="K5" s="951">
        <v>7</v>
      </c>
      <c r="L5" s="951">
        <v>8</v>
      </c>
      <c r="M5" s="951">
        <v>18</v>
      </c>
      <c r="N5" s="951">
        <v>7</v>
      </c>
      <c r="O5" s="951">
        <v>1</v>
      </c>
      <c r="P5" s="951">
        <f>SUM(J5:O5)</f>
        <v>42</v>
      </c>
      <c r="Q5" s="952">
        <f>SUM(I5,P5)</f>
        <v>88</v>
      </c>
    </row>
    <row r="6" spans="1:17" s="145" customFormat="1" x14ac:dyDescent="0.2">
      <c r="A6" s="145">
        <v>2</v>
      </c>
      <c r="B6" s="932" t="s">
        <v>576</v>
      </c>
      <c r="C6" s="949"/>
      <c r="D6" s="951">
        <v>6</v>
      </c>
      <c r="E6" s="951">
        <v>16</v>
      </c>
      <c r="F6" s="951">
        <v>54</v>
      </c>
      <c r="G6" s="951">
        <v>30</v>
      </c>
      <c r="H6" s="951">
        <v>2</v>
      </c>
      <c r="I6" s="951">
        <f t="shared" ref="I6:I45" si="0">SUM(C6:H6)</f>
        <v>108</v>
      </c>
      <c r="J6" s="951">
        <v>2</v>
      </c>
      <c r="K6" s="951">
        <v>5</v>
      </c>
      <c r="L6" s="951">
        <v>19</v>
      </c>
      <c r="M6" s="951">
        <v>33</v>
      </c>
      <c r="N6" s="951">
        <v>22</v>
      </c>
      <c r="O6" s="951">
        <v>4</v>
      </c>
      <c r="P6" s="951">
        <f t="shared" ref="P6:P45" si="1">SUM(J6:O6)</f>
        <v>85</v>
      </c>
      <c r="Q6" s="952">
        <f t="shared" ref="Q6:Q71" si="2">SUM(I6,P6)</f>
        <v>193</v>
      </c>
    </row>
    <row r="7" spans="1:17" s="145" customFormat="1" x14ac:dyDescent="0.2">
      <c r="A7" s="145">
        <v>3</v>
      </c>
      <c r="B7" s="932" t="s">
        <v>577</v>
      </c>
      <c r="C7" s="951"/>
      <c r="D7" s="951"/>
      <c r="E7" s="951"/>
      <c r="F7" s="951">
        <v>5</v>
      </c>
      <c r="G7" s="951">
        <v>4</v>
      </c>
      <c r="H7" s="951"/>
      <c r="I7" s="951">
        <f t="shared" si="0"/>
        <v>9</v>
      </c>
      <c r="J7" s="951">
        <v>1</v>
      </c>
      <c r="K7" s="951">
        <v>6</v>
      </c>
      <c r="L7" s="951">
        <v>3</v>
      </c>
      <c r="M7" s="951"/>
      <c r="N7" s="951">
        <v>1</v>
      </c>
      <c r="O7" s="951"/>
      <c r="P7" s="951">
        <f t="shared" si="1"/>
        <v>11</v>
      </c>
      <c r="Q7" s="952">
        <f t="shared" si="2"/>
        <v>20</v>
      </c>
    </row>
    <row r="8" spans="1:17" s="145" customFormat="1" x14ac:dyDescent="0.2">
      <c r="A8" s="145">
        <v>4</v>
      </c>
      <c r="B8" s="932" t="s">
        <v>578</v>
      </c>
      <c r="C8" s="951"/>
      <c r="D8" s="951"/>
      <c r="E8" s="951">
        <v>3</v>
      </c>
      <c r="F8" s="951">
        <v>7</v>
      </c>
      <c r="G8" s="951">
        <v>6</v>
      </c>
      <c r="H8" s="951"/>
      <c r="I8" s="951">
        <f t="shared" si="0"/>
        <v>16</v>
      </c>
      <c r="J8" s="951"/>
      <c r="K8" s="951"/>
      <c r="L8" s="951">
        <v>1</v>
      </c>
      <c r="M8" s="951">
        <v>4</v>
      </c>
      <c r="N8" s="951">
        <v>1</v>
      </c>
      <c r="O8" s="951"/>
      <c r="P8" s="951">
        <f t="shared" si="1"/>
        <v>6</v>
      </c>
      <c r="Q8" s="952">
        <f t="shared" si="2"/>
        <v>22</v>
      </c>
    </row>
    <row r="9" spans="1:17" s="145" customFormat="1" x14ac:dyDescent="0.2">
      <c r="A9" s="145">
        <v>5</v>
      </c>
      <c r="B9" s="932" t="s">
        <v>579</v>
      </c>
      <c r="C9" s="951">
        <v>1</v>
      </c>
      <c r="D9" s="951">
        <v>13</v>
      </c>
      <c r="E9" s="951">
        <v>30</v>
      </c>
      <c r="F9" s="951">
        <v>113</v>
      </c>
      <c r="G9" s="951">
        <v>70</v>
      </c>
      <c r="H9" s="951">
        <v>10</v>
      </c>
      <c r="I9" s="951">
        <f t="shared" si="0"/>
        <v>237</v>
      </c>
      <c r="J9" s="951">
        <v>13</v>
      </c>
      <c r="K9" s="951">
        <v>28</v>
      </c>
      <c r="L9" s="951">
        <v>52</v>
      </c>
      <c r="M9" s="951">
        <v>75</v>
      </c>
      <c r="N9" s="951">
        <v>41</v>
      </c>
      <c r="O9" s="951">
        <v>6</v>
      </c>
      <c r="P9" s="951">
        <f t="shared" si="1"/>
        <v>215</v>
      </c>
      <c r="Q9" s="952">
        <f t="shared" si="2"/>
        <v>452</v>
      </c>
    </row>
    <row r="10" spans="1:17" s="145" customFormat="1" x14ac:dyDescent="0.2">
      <c r="A10" s="145">
        <v>6</v>
      </c>
      <c r="B10" s="932" t="s">
        <v>580</v>
      </c>
      <c r="C10" s="951">
        <v>5</v>
      </c>
      <c r="D10" s="951">
        <v>12</v>
      </c>
      <c r="E10" s="951">
        <v>27</v>
      </c>
      <c r="F10" s="951">
        <v>88</v>
      </c>
      <c r="G10" s="951">
        <v>54</v>
      </c>
      <c r="H10" s="951">
        <v>13</v>
      </c>
      <c r="I10" s="951">
        <f t="shared" si="0"/>
        <v>199</v>
      </c>
      <c r="J10" s="951">
        <v>9</v>
      </c>
      <c r="K10" s="951">
        <v>23</v>
      </c>
      <c r="L10" s="951">
        <v>32</v>
      </c>
      <c r="M10" s="951">
        <v>70</v>
      </c>
      <c r="N10" s="951">
        <v>37</v>
      </c>
      <c r="O10" s="951">
        <v>3</v>
      </c>
      <c r="P10" s="951">
        <f t="shared" si="1"/>
        <v>174</v>
      </c>
      <c r="Q10" s="952">
        <f t="shared" si="2"/>
        <v>373</v>
      </c>
    </row>
    <row r="11" spans="1:17" s="145" customFormat="1" x14ac:dyDescent="0.2">
      <c r="A11" s="145">
        <v>7</v>
      </c>
      <c r="B11" s="932" t="s">
        <v>581</v>
      </c>
      <c r="C11" s="951"/>
      <c r="D11" s="951">
        <v>4</v>
      </c>
      <c r="E11" s="951">
        <v>10</v>
      </c>
      <c r="F11" s="951">
        <v>12</v>
      </c>
      <c r="G11" s="951">
        <v>15</v>
      </c>
      <c r="H11" s="951">
        <v>4</v>
      </c>
      <c r="I11" s="951">
        <f t="shared" si="0"/>
        <v>45</v>
      </c>
      <c r="J11" s="951">
        <v>3</v>
      </c>
      <c r="K11" s="951">
        <v>4</v>
      </c>
      <c r="L11" s="951">
        <v>14</v>
      </c>
      <c r="M11" s="951">
        <v>27</v>
      </c>
      <c r="N11" s="951">
        <v>10</v>
      </c>
      <c r="O11" s="951">
        <v>3</v>
      </c>
      <c r="P11" s="951">
        <f t="shared" si="1"/>
        <v>61</v>
      </c>
      <c r="Q11" s="952">
        <f t="shared" si="2"/>
        <v>106</v>
      </c>
    </row>
    <row r="12" spans="1:17" s="145" customFormat="1" x14ac:dyDescent="0.2">
      <c r="A12" s="145">
        <v>8</v>
      </c>
      <c r="B12" s="932" t="s">
        <v>582</v>
      </c>
      <c r="C12" s="951"/>
      <c r="D12" s="951">
        <v>14</v>
      </c>
      <c r="E12" s="951">
        <v>39</v>
      </c>
      <c r="F12" s="951">
        <v>134</v>
      </c>
      <c r="G12" s="951">
        <v>97</v>
      </c>
      <c r="H12" s="951">
        <v>14</v>
      </c>
      <c r="I12" s="951">
        <f t="shared" si="0"/>
        <v>298</v>
      </c>
      <c r="J12" s="951">
        <v>10</v>
      </c>
      <c r="K12" s="951">
        <v>14</v>
      </c>
      <c r="L12" s="951">
        <v>34</v>
      </c>
      <c r="M12" s="951">
        <v>87</v>
      </c>
      <c r="N12" s="951">
        <v>64</v>
      </c>
      <c r="O12" s="951">
        <v>20</v>
      </c>
      <c r="P12" s="951">
        <f t="shared" si="1"/>
        <v>229</v>
      </c>
      <c r="Q12" s="952">
        <f t="shared" si="2"/>
        <v>527</v>
      </c>
    </row>
    <row r="13" spans="1:17" s="145" customFormat="1" x14ac:dyDescent="0.2">
      <c r="A13" s="145">
        <v>9</v>
      </c>
      <c r="B13" s="932" t="s">
        <v>583</v>
      </c>
      <c r="C13" s="951"/>
      <c r="D13" s="951"/>
      <c r="E13" s="951">
        <v>5</v>
      </c>
      <c r="F13" s="951">
        <v>5</v>
      </c>
      <c r="G13" s="951">
        <v>3</v>
      </c>
      <c r="H13" s="951">
        <v>2</v>
      </c>
      <c r="I13" s="951">
        <f t="shared" si="0"/>
        <v>15</v>
      </c>
      <c r="J13" s="951">
        <v>1</v>
      </c>
      <c r="K13" s="951">
        <v>3</v>
      </c>
      <c r="L13" s="951"/>
      <c r="M13" s="951">
        <v>3</v>
      </c>
      <c r="N13" s="951">
        <v>3</v>
      </c>
      <c r="O13" s="951">
        <v>4</v>
      </c>
      <c r="P13" s="951">
        <f t="shared" si="1"/>
        <v>14</v>
      </c>
      <c r="Q13" s="952">
        <f t="shared" si="2"/>
        <v>29</v>
      </c>
    </row>
    <row r="14" spans="1:17" s="145" customFormat="1" x14ac:dyDescent="0.2">
      <c r="A14" s="145">
        <v>10</v>
      </c>
      <c r="B14" s="932" t="s">
        <v>584</v>
      </c>
      <c r="C14" s="951"/>
      <c r="D14" s="951">
        <v>11</v>
      </c>
      <c r="E14" s="951">
        <v>50</v>
      </c>
      <c r="F14" s="951">
        <v>117</v>
      </c>
      <c r="G14" s="951">
        <v>82</v>
      </c>
      <c r="H14" s="951">
        <v>22</v>
      </c>
      <c r="I14" s="951">
        <f t="shared" si="0"/>
        <v>282</v>
      </c>
      <c r="J14" s="951">
        <v>19</v>
      </c>
      <c r="K14" s="951">
        <v>38</v>
      </c>
      <c r="L14" s="951">
        <v>55</v>
      </c>
      <c r="M14" s="951">
        <v>78</v>
      </c>
      <c r="N14" s="951">
        <v>60</v>
      </c>
      <c r="O14" s="951">
        <v>20</v>
      </c>
      <c r="P14" s="951">
        <f t="shared" si="1"/>
        <v>270</v>
      </c>
      <c r="Q14" s="952">
        <f t="shared" si="2"/>
        <v>552</v>
      </c>
    </row>
    <row r="15" spans="1:17" s="145" customFormat="1" x14ac:dyDescent="0.2">
      <c r="A15" s="145">
        <v>11</v>
      </c>
      <c r="B15" s="932" t="s">
        <v>585</v>
      </c>
      <c r="C15" s="951">
        <v>1</v>
      </c>
      <c r="D15" s="951">
        <v>11</v>
      </c>
      <c r="E15" s="951">
        <v>26</v>
      </c>
      <c r="F15" s="951">
        <v>99</v>
      </c>
      <c r="G15" s="951">
        <v>49</v>
      </c>
      <c r="H15" s="951">
        <v>11</v>
      </c>
      <c r="I15" s="951">
        <f t="shared" si="0"/>
        <v>197</v>
      </c>
      <c r="J15" s="951">
        <v>3</v>
      </c>
      <c r="K15" s="951">
        <v>23</v>
      </c>
      <c r="L15" s="951">
        <v>35</v>
      </c>
      <c r="M15" s="951">
        <v>106</v>
      </c>
      <c r="N15" s="951">
        <v>61</v>
      </c>
      <c r="O15" s="951">
        <v>11</v>
      </c>
      <c r="P15" s="951">
        <f t="shared" si="1"/>
        <v>239</v>
      </c>
      <c r="Q15" s="952">
        <f t="shared" si="2"/>
        <v>436</v>
      </c>
    </row>
    <row r="16" spans="1:17" s="145" customFormat="1" x14ac:dyDescent="0.2">
      <c r="A16" s="145">
        <v>12</v>
      </c>
      <c r="B16" s="932" t="s">
        <v>586</v>
      </c>
      <c r="C16" s="951">
        <v>1</v>
      </c>
      <c r="D16" s="951">
        <v>7</v>
      </c>
      <c r="E16" s="951">
        <v>21</v>
      </c>
      <c r="F16" s="951">
        <v>46</v>
      </c>
      <c r="G16" s="951">
        <v>37</v>
      </c>
      <c r="H16" s="951">
        <v>3</v>
      </c>
      <c r="I16" s="951">
        <f t="shared" si="0"/>
        <v>115</v>
      </c>
      <c r="J16" s="951">
        <v>5</v>
      </c>
      <c r="K16" s="951">
        <v>20</v>
      </c>
      <c r="L16" s="951">
        <v>39</v>
      </c>
      <c r="M16" s="951">
        <v>47</v>
      </c>
      <c r="N16" s="951">
        <v>26</v>
      </c>
      <c r="O16" s="951">
        <v>4</v>
      </c>
      <c r="P16" s="951">
        <f t="shared" si="1"/>
        <v>141</v>
      </c>
      <c r="Q16" s="952">
        <f t="shared" si="2"/>
        <v>256</v>
      </c>
    </row>
    <row r="17" spans="1:17" s="145" customFormat="1" x14ac:dyDescent="0.2">
      <c r="A17" s="145">
        <v>13</v>
      </c>
      <c r="B17" s="932" t="s">
        <v>587</v>
      </c>
      <c r="C17" s="951">
        <v>1</v>
      </c>
      <c r="D17" s="951"/>
      <c r="E17" s="951">
        <v>2</v>
      </c>
      <c r="F17" s="951">
        <v>5</v>
      </c>
      <c r="G17" s="951">
        <v>7</v>
      </c>
      <c r="H17" s="951"/>
      <c r="I17" s="951">
        <f t="shared" si="0"/>
        <v>15</v>
      </c>
      <c r="J17" s="951">
        <v>2</v>
      </c>
      <c r="K17" s="951">
        <v>4</v>
      </c>
      <c r="L17" s="951">
        <v>6</v>
      </c>
      <c r="M17" s="951">
        <v>15</v>
      </c>
      <c r="N17" s="951">
        <v>10</v>
      </c>
      <c r="O17" s="951">
        <v>2</v>
      </c>
      <c r="P17" s="951">
        <f t="shared" si="1"/>
        <v>39</v>
      </c>
      <c r="Q17" s="952">
        <f t="shared" si="2"/>
        <v>54</v>
      </c>
    </row>
    <row r="18" spans="1:17" s="145" customFormat="1" x14ac:dyDescent="0.2">
      <c r="A18" s="145">
        <v>14</v>
      </c>
      <c r="B18" s="932" t="s">
        <v>588</v>
      </c>
      <c r="C18" s="951">
        <v>1</v>
      </c>
      <c r="D18" s="951">
        <v>2</v>
      </c>
      <c r="E18" s="951">
        <v>7</v>
      </c>
      <c r="F18" s="951">
        <v>27</v>
      </c>
      <c r="G18" s="951">
        <v>12</v>
      </c>
      <c r="H18" s="951">
        <v>3</v>
      </c>
      <c r="I18" s="951">
        <f t="shared" si="0"/>
        <v>52</v>
      </c>
      <c r="J18" s="951">
        <v>1</v>
      </c>
      <c r="K18" s="951">
        <v>7</v>
      </c>
      <c r="L18" s="951">
        <v>8</v>
      </c>
      <c r="M18" s="951">
        <v>19</v>
      </c>
      <c r="N18" s="951">
        <v>8</v>
      </c>
      <c r="O18" s="951">
        <v>1</v>
      </c>
      <c r="P18" s="951">
        <f t="shared" si="1"/>
        <v>44</v>
      </c>
      <c r="Q18" s="952">
        <f t="shared" si="2"/>
        <v>96</v>
      </c>
    </row>
    <row r="19" spans="1:17" s="145" customFormat="1" x14ac:dyDescent="0.2">
      <c r="A19" s="145">
        <v>15</v>
      </c>
      <c r="B19" s="932" t="s">
        <v>589</v>
      </c>
      <c r="C19" s="951">
        <v>1</v>
      </c>
      <c r="D19" s="951">
        <v>3</v>
      </c>
      <c r="E19" s="951">
        <v>6</v>
      </c>
      <c r="F19" s="951">
        <v>19</v>
      </c>
      <c r="G19" s="951">
        <v>9</v>
      </c>
      <c r="H19" s="951"/>
      <c r="I19" s="951">
        <f t="shared" si="0"/>
        <v>38</v>
      </c>
      <c r="J19" s="951">
        <v>2</v>
      </c>
      <c r="K19" s="951">
        <v>11</v>
      </c>
      <c r="L19" s="951">
        <v>22</v>
      </c>
      <c r="M19" s="951">
        <v>15</v>
      </c>
      <c r="N19" s="951">
        <v>11</v>
      </c>
      <c r="O19" s="951">
        <v>2</v>
      </c>
      <c r="P19" s="951">
        <f t="shared" si="1"/>
        <v>63</v>
      </c>
      <c r="Q19" s="952">
        <f t="shared" si="2"/>
        <v>101</v>
      </c>
    </row>
    <row r="20" spans="1:17" s="145" customFormat="1" x14ac:dyDescent="0.2">
      <c r="A20" s="145">
        <v>16</v>
      </c>
      <c r="B20" s="932" t="s">
        <v>590</v>
      </c>
      <c r="C20" s="951"/>
      <c r="D20" s="951">
        <v>6</v>
      </c>
      <c r="E20" s="951">
        <v>10</v>
      </c>
      <c r="F20" s="951">
        <v>35</v>
      </c>
      <c r="G20" s="951">
        <v>22</v>
      </c>
      <c r="H20" s="951">
        <v>8</v>
      </c>
      <c r="I20" s="951">
        <f t="shared" si="0"/>
        <v>81</v>
      </c>
      <c r="J20" s="951">
        <v>3</v>
      </c>
      <c r="K20" s="951">
        <v>11</v>
      </c>
      <c r="L20" s="951">
        <v>16</v>
      </c>
      <c r="M20" s="951">
        <v>35</v>
      </c>
      <c r="N20" s="951">
        <v>25</v>
      </c>
      <c r="O20" s="951">
        <v>10</v>
      </c>
      <c r="P20" s="951">
        <f t="shared" si="1"/>
        <v>100</v>
      </c>
      <c r="Q20" s="952">
        <f t="shared" si="2"/>
        <v>181</v>
      </c>
    </row>
    <row r="21" spans="1:17" s="145" customFormat="1" x14ac:dyDescent="0.2">
      <c r="A21" s="145">
        <v>17</v>
      </c>
      <c r="B21" s="932" t="s">
        <v>591</v>
      </c>
      <c r="C21" s="951"/>
      <c r="D21" s="951">
        <v>1</v>
      </c>
      <c r="E21" s="951">
        <v>9</v>
      </c>
      <c r="F21" s="951">
        <v>22</v>
      </c>
      <c r="G21" s="951">
        <v>24</v>
      </c>
      <c r="H21" s="951">
        <v>7</v>
      </c>
      <c r="I21" s="951">
        <f t="shared" si="0"/>
        <v>63</v>
      </c>
      <c r="J21" s="951">
        <v>2</v>
      </c>
      <c r="K21" s="951">
        <v>8</v>
      </c>
      <c r="L21" s="951">
        <v>7</v>
      </c>
      <c r="M21" s="951">
        <v>21</v>
      </c>
      <c r="N21" s="951">
        <v>14</v>
      </c>
      <c r="O21" s="951">
        <v>7</v>
      </c>
      <c r="P21" s="951">
        <f t="shared" si="1"/>
        <v>59</v>
      </c>
      <c r="Q21" s="952">
        <f t="shared" si="2"/>
        <v>122</v>
      </c>
    </row>
    <row r="22" spans="1:17" s="145" customFormat="1" x14ac:dyDescent="0.2">
      <c r="A22" s="145">
        <v>18</v>
      </c>
      <c r="B22" s="932" t="s">
        <v>592</v>
      </c>
      <c r="C22" s="951">
        <v>5</v>
      </c>
      <c r="D22" s="951">
        <v>27</v>
      </c>
      <c r="E22" s="951">
        <v>83</v>
      </c>
      <c r="F22" s="951">
        <v>153</v>
      </c>
      <c r="G22" s="951">
        <v>48</v>
      </c>
      <c r="H22" s="951">
        <v>4</v>
      </c>
      <c r="I22" s="951">
        <f t="shared" si="0"/>
        <v>320</v>
      </c>
      <c r="J22" s="951">
        <v>16</v>
      </c>
      <c r="K22" s="951">
        <v>56</v>
      </c>
      <c r="L22" s="951">
        <v>105</v>
      </c>
      <c r="M22" s="951">
        <v>110</v>
      </c>
      <c r="N22" s="951">
        <v>42</v>
      </c>
      <c r="O22" s="951">
        <v>6</v>
      </c>
      <c r="P22" s="951">
        <f t="shared" si="1"/>
        <v>335</v>
      </c>
      <c r="Q22" s="952">
        <f t="shared" si="2"/>
        <v>655</v>
      </c>
    </row>
    <row r="23" spans="1:17" s="145" customFormat="1" x14ac:dyDescent="0.2">
      <c r="A23" s="145">
        <v>19</v>
      </c>
      <c r="B23" s="932" t="s">
        <v>593</v>
      </c>
      <c r="C23" s="951">
        <v>3</v>
      </c>
      <c r="D23" s="951">
        <v>18</v>
      </c>
      <c r="E23" s="951">
        <v>28</v>
      </c>
      <c r="F23" s="951">
        <v>51</v>
      </c>
      <c r="G23" s="951">
        <v>27</v>
      </c>
      <c r="H23" s="951">
        <v>6</v>
      </c>
      <c r="I23" s="951">
        <f t="shared" si="0"/>
        <v>133</v>
      </c>
      <c r="J23" s="951">
        <v>15</v>
      </c>
      <c r="K23" s="951">
        <v>44</v>
      </c>
      <c r="L23" s="951">
        <v>46</v>
      </c>
      <c r="M23" s="951">
        <v>41</v>
      </c>
      <c r="N23" s="951">
        <v>25</v>
      </c>
      <c r="O23" s="951">
        <v>6</v>
      </c>
      <c r="P23" s="951">
        <f t="shared" si="1"/>
        <v>177</v>
      </c>
      <c r="Q23" s="952">
        <f t="shared" si="2"/>
        <v>310</v>
      </c>
    </row>
    <row r="24" spans="1:17" s="145" customFormat="1" x14ac:dyDescent="0.2">
      <c r="A24" s="145">
        <v>20</v>
      </c>
      <c r="B24" s="932" t="s">
        <v>594</v>
      </c>
      <c r="C24" s="951"/>
      <c r="D24" s="951">
        <v>4</v>
      </c>
      <c r="E24" s="951">
        <v>8</v>
      </c>
      <c r="F24" s="951">
        <v>21</v>
      </c>
      <c r="G24" s="951">
        <v>4</v>
      </c>
      <c r="H24" s="951">
        <v>5</v>
      </c>
      <c r="I24" s="951">
        <f t="shared" si="0"/>
        <v>42</v>
      </c>
      <c r="J24" s="951"/>
      <c r="K24" s="951">
        <v>12</v>
      </c>
      <c r="L24" s="951">
        <v>12</v>
      </c>
      <c r="M24" s="951">
        <v>12</v>
      </c>
      <c r="N24" s="951">
        <v>4</v>
      </c>
      <c r="O24" s="951">
        <v>4</v>
      </c>
      <c r="P24" s="951">
        <f t="shared" si="1"/>
        <v>44</v>
      </c>
      <c r="Q24" s="952">
        <f t="shared" si="2"/>
        <v>86</v>
      </c>
    </row>
    <row r="25" spans="1:17" s="145" customFormat="1" x14ac:dyDescent="0.2">
      <c r="A25" s="145">
        <v>21</v>
      </c>
      <c r="B25" s="932" t="s">
        <v>595</v>
      </c>
      <c r="C25" s="951"/>
      <c r="D25" s="951">
        <v>13</v>
      </c>
      <c r="E25" s="951">
        <v>20</v>
      </c>
      <c r="F25" s="951">
        <v>61</v>
      </c>
      <c r="G25" s="951">
        <v>49</v>
      </c>
      <c r="H25" s="951">
        <v>6</v>
      </c>
      <c r="I25" s="951">
        <f t="shared" si="0"/>
        <v>149</v>
      </c>
      <c r="J25" s="951">
        <v>7</v>
      </c>
      <c r="K25" s="951">
        <v>17</v>
      </c>
      <c r="L25" s="951">
        <v>31</v>
      </c>
      <c r="M25" s="951">
        <v>31</v>
      </c>
      <c r="N25" s="951">
        <v>21</v>
      </c>
      <c r="O25" s="951">
        <v>4</v>
      </c>
      <c r="P25" s="951">
        <f t="shared" si="1"/>
        <v>111</v>
      </c>
      <c r="Q25" s="952">
        <f t="shared" si="2"/>
        <v>260</v>
      </c>
    </row>
    <row r="26" spans="1:17" s="145" customFormat="1" x14ac:dyDescent="0.2">
      <c r="A26" s="145">
        <v>22</v>
      </c>
      <c r="B26" s="932" t="s">
        <v>596</v>
      </c>
      <c r="C26" s="951"/>
      <c r="D26" s="951">
        <v>2</v>
      </c>
      <c r="E26" s="951">
        <v>6</v>
      </c>
      <c r="F26" s="951">
        <v>19</v>
      </c>
      <c r="G26" s="951">
        <v>5</v>
      </c>
      <c r="H26" s="951">
        <v>1</v>
      </c>
      <c r="I26" s="951">
        <f t="shared" si="0"/>
        <v>33</v>
      </c>
      <c r="J26" s="951">
        <v>2</v>
      </c>
      <c r="K26" s="951">
        <v>6</v>
      </c>
      <c r="L26" s="951">
        <v>11</v>
      </c>
      <c r="M26" s="951">
        <v>9</v>
      </c>
      <c r="N26" s="951">
        <v>4</v>
      </c>
      <c r="O26" s="951">
        <v>2</v>
      </c>
      <c r="P26" s="951">
        <f t="shared" si="1"/>
        <v>34</v>
      </c>
      <c r="Q26" s="952">
        <f t="shared" si="2"/>
        <v>67</v>
      </c>
    </row>
    <row r="27" spans="1:17" s="145" customFormat="1" x14ac:dyDescent="0.2">
      <c r="A27" s="145">
        <v>23</v>
      </c>
      <c r="B27" s="932" t="s">
        <v>597</v>
      </c>
      <c r="C27" s="951">
        <v>1</v>
      </c>
      <c r="D27" s="951">
        <v>6</v>
      </c>
      <c r="E27" s="951">
        <v>18</v>
      </c>
      <c r="F27" s="951">
        <v>30</v>
      </c>
      <c r="G27" s="951">
        <v>20</v>
      </c>
      <c r="H27" s="951">
        <v>3</v>
      </c>
      <c r="I27" s="951">
        <f t="shared" si="0"/>
        <v>78</v>
      </c>
      <c r="J27" s="951">
        <v>5</v>
      </c>
      <c r="K27" s="951">
        <v>9</v>
      </c>
      <c r="L27" s="951">
        <v>12</v>
      </c>
      <c r="M27" s="951">
        <v>22</v>
      </c>
      <c r="N27" s="951">
        <v>18</v>
      </c>
      <c r="O27" s="951">
        <v>5</v>
      </c>
      <c r="P27" s="951">
        <f t="shared" si="1"/>
        <v>71</v>
      </c>
      <c r="Q27" s="952">
        <f t="shared" si="2"/>
        <v>149</v>
      </c>
    </row>
    <row r="28" spans="1:17" s="145" customFormat="1" x14ac:dyDescent="0.2">
      <c r="A28" s="145">
        <v>24</v>
      </c>
      <c r="B28" s="932" t="s">
        <v>598</v>
      </c>
      <c r="C28" s="951"/>
      <c r="D28" s="951">
        <v>2</v>
      </c>
      <c r="E28" s="951">
        <v>12</v>
      </c>
      <c r="F28" s="951">
        <v>28</v>
      </c>
      <c r="G28" s="951">
        <v>20</v>
      </c>
      <c r="H28" s="951">
        <v>3</v>
      </c>
      <c r="I28" s="951">
        <f t="shared" si="0"/>
        <v>65</v>
      </c>
      <c r="J28" s="951"/>
      <c r="K28" s="951">
        <v>6</v>
      </c>
      <c r="L28" s="951">
        <v>8</v>
      </c>
      <c r="M28" s="951">
        <v>25</v>
      </c>
      <c r="N28" s="951">
        <v>5</v>
      </c>
      <c r="O28" s="951">
        <v>1</v>
      </c>
      <c r="P28" s="951">
        <f t="shared" si="1"/>
        <v>45</v>
      </c>
      <c r="Q28" s="952">
        <f t="shared" si="2"/>
        <v>110</v>
      </c>
    </row>
    <row r="29" spans="1:17" s="145" customFormat="1" x14ac:dyDescent="0.2">
      <c r="A29" s="145">
        <v>25</v>
      </c>
      <c r="B29" s="932" t="s">
        <v>599</v>
      </c>
      <c r="C29" s="951">
        <v>2</v>
      </c>
      <c r="D29" s="951">
        <v>8</v>
      </c>
      <c r="E29" s="951">
        <v>26</v>
      </c>
      <c r="F29" s="951">
        <v>47</v>
      </c>
      <c r="G29" s="951">
        <v>36</v>
      </c>
      <c r="H29" s="951">
        <v>11</v>
      </c>
      <c r="I29" s="951">
        <f t="shared" si="0"/>
        <v>130</v>
      </c>
      <c r="J29" s="951">
        <v>5</v>
      </c>
      <c r="K29" s="951">
        <v>13</v>
      </c>
      <c r="L29" s="951">
        <v>26</v>
      </c>
      <c r="M29" s="951">
        <v>36</v>
      </c>
      <c r="N29" s="951">
        <v>17</v>
      </c>
      <c r="O29" s="951">
        <v>6</v>
      </c>
      <c r="P29" s="951">
        <f t="shared" si="1"/>
        <v>103</v>
      </c>
      <c r="Q29" s="952">
        <f t="shared" si="2"/>
        <v>233</v>
      </c>
    </row>
    <row r="30" spans="1:17" s="145" customFormat="1" x14ac:dyDescent="0.2">
      <c r="A30" s="145">
        <v>26</v>
      </c>
      <c r="B30" s="932" t="s">
        <v>600</v>
      </c>
      <c r="C30" s="951"/>
      <c r="D30" s="951"/>
      <c r="E30" s="951"/>
      <c r="F30" s="951">
        <v>6</v>
      </c>
      <c r="G30" s="951">
        <v>1</v>
      </c>
      <c r="H30" s="951">
        <v>1</v>
      </c>
      <c r="I30" s="951">
        <f t="shared" si="0"/>
        <v>8</v>
      </c>
      <c r="J30" s="951"/>
      <c r="K30" s="951">
        <v>1</v>
      </c>
      <c r="L30" s="951">
        <v>3</v>
      </c>
      <c r="M30" s="951">
        <v>1</v>
      </c>
      <c r="N30" s="951">
        <v>1</v>
      </c>
      <c r="O30" s="951"/>
      <c r="P30" s="951">
        <f t="shared" si="1"/>
        <v>6</v>
      </c>
      <c r="Q30" s="952">
        <f t="shared" si="2"/>
        <v>14</v>
      </c>
    </row>
    <row r="31" spans="1:17" s="145" customFormat="1" x14ac:dyDescent="0.2">
      <c r="A31" s="145">
        <v>27</v>
      </c>
      <c r="B31" s="932" t="s">
        <v>601</v>
      </c>
      <c r="C31" s="951"/>
      <c r="D31" s="951">
        <v>1</v>
      </c>
      <c r="E31" s="951">
        <v>1</v>
      </c>
      <c r="F31" s="951">
        <v>2</v>
      </c>
      <c r="G31" s="951"/>
      <c r="H31" s="951">
        <v>1</v>
      </c>
      <c r="I31" s="951">
        <f t="shared" si="0"/>
        <v>5</v>
      </c>
      <c r="J31" s="951"/>
      <c r="K31" s="951">
        <v>1</v>
      </c>
      <c r="L31" s="951">
        <v>2</v>
      </c>
      <c r="M31" s="951">
        <v>3</v>
      </c>
      <c r="N31" s="951">
        <v>3</v>
      </c>
      <c r="O31" s="951"/>
      <c r="P31" s="951">
        <f t="shared" si="1"/>
        <v>9</v>
      </c>
      <c r="Q31" s="952">
        <f t="shared" si="2"/>
        <v>14</v>
      </c>
    </row>
    <row r="32" spans="1:17" s="145" customFormat="1" x14ac:dyDescent="0.2">
      <c r="A32" s="145">
        <v>28</v>
      </c>
      <c r="B32" s="932" t="s">
        <v>602</v>
      </c>
      <c r="C32" s="951"/>
      <c r="D32" s="951">
        <v>1</v>
      </c>
      <c r="E32" s="951"/>
      <c r="F32" s="951">
        <v>1</v>
      </c>
      <c r="G32" s="951">
        <v>1</v>
      </c>
      <c r="H32" s="951"/>
      <c r="I32" s="951">
        <f t="shared" si="0"/>
        <v>3</v>
      </c>
      <c r="J32" s="951">
        <v>1</v>
      </c>
      <c r="K32" s="951"/>
      <c r="L32" s="951"/>
      <c r="M32" s="951">
        <v>1</v>
      </c>
      <c r="N32" s="951">
        <v>4</v>
      </c>
      <c r="O32" s="951"/>
      <c r="P32" s="951">
        <f t="shared" si="1"/>
        <v>6</v>
      </c>
      <c r="Q32" s="952">
        <f t="shared" si="2"/>
        <v>9</v>
      </c>
    </row>
    <row r="33" spans="1:17" s="145" customFormat="1" x14ac:dyDescent="0.2">
      <c r="A33" s="145">
        <v>29</v>
      </c>
      <c r="B33" s="932" t="s">
        <v>603</v>
      </c>
      <c r="C33" s="951"/>
      <c r="D33" s="951">
        <v>4</v>
      </c>
      <c r="E33" s="951">
        <v>22</v>
      </c>
      <c r="F33" s="951">
        <v>33</v>
      </c>
      <c r="G33" s="951">
        <v>16</v>
      </c>
      <c r="H33" s="951">
        <v>3</v>
      </c>
      <c r="I33" s="951">
        <f t="shared" si="0"/>
        <v>78</v>
      </c>
      <c r="J33" s="951">
        <v>5</v>
      </c>
      <c r="K33" s="951">
        <v>14</v>
      </c>
      <c r="L33" s="951">
        <v>24</v>
      </c>
      <c r="M33" s="951">
        <v>43</v>
      </c>
      <c r="N33" s="951">
        <v>30</v>
      </c>
      <c r="O33" s="951">
        <v>6</v>
      </c>
      <c r="P33" s="951">
        <f t="shared" si="1"/>
        <v>122</v>
      </c>
      <c r="Q33" s="952">
        <f t="shared" si="2"/>
        <v>200</v>
      </c>
    </row>
    <row r="34" spans="1:17" s="145" customFormat="1" x14ac:dyDescent="0.2">
      <c r="A34" s="145">
        <v>31</v>
      </c>
      <c r="B34" s="932" t="s">
        <v>604</v>
      </c>
      <c r="C34" s="951">
        <v>2</v>
      </c>
      <c r="D34" s="951">
        <v>19</v>
      </c>
      <c r="E34" s="951">
        <v>28</v>
      </c>
      <c r="F34" s="951">
        <v>105</v>
      </c>
      <c r="G34" s="951">
        <v>77</v>
      </c>
      <c r="H34" s="951">
        <v>7</v>
      </c>
      <c r="I34" s="951">
        <f t="shared" si="0"/>
        <v>238</v>
      </c>
      <c r="J34" s="951">
        <v>2</v>
      </c>
      <c r="K34" s="951">
        <v>28</v>
      </c>
      <c r="L34" s="951">
        <v>48</v>
      </c>
      <c r="M34" s="951">
        <v>73</v>
      </c>
      <c r="N34" s="951">
        <v>39</v>
      </c>
      <c r="O34" s="951">
        <v>9</v>
      </c>
      <c r="P34" s="951">
        <f t="shared" si="1"/>
        <v>199</v>
      </c>
      <c r="Q34" s="952">
        <f t="shared" si="2"/>
        <v>437</v>
      </c>
    </row>
    <row r="35" spans="1:17" s="145" customFormat="1" x14ac:dyDescent="0.2">
      <c r="A35" s="145">
        <v>32</v>
      </c>
      <c r="B35" s="932" t="s">
        <v>605</v>
      </c>
      <c r="C35" s="951"/>
      <c r="D35" s="951">
        <v>4</v>
      </c>
      <c r="E35" s="951">
        <v>17</v>
      </c>
      <c r="F35" s="951">
        <v>45</v>
      </c>
      <c r="G35" s="951">
        <v>20</v>
      </c>
      <c r="H35" s="951">
        <v>2</v>
      </c>
      <c r="I35" s="951">
        <f t="shared" si="0"/>
        <v>88</v>
      </c>
      <c r="J35" s="951">
        <v>2</v>
      </c>
      <c r="K35" s="951">
        <v>7</v>
      </c>
      <c r="L35" s="951">
        <v>16</v>
      </c>
      <c r="M35" s="951">
        <v>17</v>
      </c>
      <c r="N35" s="951">
        <v>11</v>
      </c>
      <c r="O35" s="951"/>
      <c r="P35" s="951">
        <f t="shared" si="1"/>
        <v>53</v>
      </c>
      <c r="Q35" s="952">
        <f t="shared" si="2"/>
        <v>141</v>
      </c>
    </row>
    <row r="36" spans="1:17" s="145" customFormat="1" x14ac:dyDescent="0.2">
      <c r="A36" s="145">
        <v>33</v>
      </c>
      <c r="B36" s="932" t="s">
        <v>606</v>
      </c>
      <c r="C36" s="951"/>
      <c r="D36" s="951">
        <v>3</v>
      </c>
      <c r="E36" s="951">
        <v>25</v>
      </c>
      <c r="F36" s="951">
        <v>78</v>
      </c>
      <c r="G36" s="951">
        <v>57</v>
      </c>
      <c r="H36" s="951">
        <v>4</v>
      </c>
      <c r="I36" s="951">
        <f t="shared" si="0"/>
        <v>167</v>
      </c>
      <c r="J36" s="951"/>
      <c r="K36" s="951">
        <v>6</v>
      </c>
      <c r="L36" s="951">
        <v>28</v>
      </c>
      <c r="M36" s="951">
        <v>24</v>
      </c>
      <c r="N36" s="951">
        <v>12</v>
      </c>
      <c r="O36" s="951">
        <v>1</v>
      </c>
      <c r="P36" s="951">
        <f t="shared" si="1"/>
        <v>71</v>
      </c>
      <c r="Q36" s="952">
        <f t="shared" si="2"/>
        <v>238</v>
      </c>
    </row>
    <row r="37" spans="1:17" s="145" customFormat="1" x14ac:dyDescent="0.2">
      <c r="A37" s="145">
        <v>34</v>
      </c>
      <c r="B37" s="932" t="s">
        <v>607</v>
      </c>
      <c r="C37" s="951"/>
      <c r="D37" s="951">
        <v>1</v>
      </c>
      <c r="E37" s="951">
        <v>6</v>
      </c>
      <c r="F37" s="951">
        <v>13</v>
      </c>
      <c r="G37" s="951">
        <v>9</v>
      </c>
      <c r="H37" s="951"/>
      <c r="I37" s="951">
        <f t="shared" si="0"/>
        <v>29</v>
      </c>
      <c r="J37" s="951"/>
      <c r="K37" s="951">
        <v>5</v>
      </c>
      <c r="L37" s="951">
        <v>5</v>
      </c>
      <c r="M37" s="951">
        <v>8</v>
      </c>
      <c r="N37" s="951">
        <v>4</v>
      </c>
      <c r="O37" s="951"/>
      <c r="P37" s="951">
        <f t="shared" si="1"/>
        <v>22</v>
      </c>
      <c r="Q37" s="952">
        <f t="shared" si="2"/>
        <v>51</v>
      </c>
    </row>
    <row r="38" spans="1:17" s="145" customFormat="1" x14ac:dyDescent="0.2">
      <c r="A38" s="145">
        <v>35</v>
      </c>
      <c r="B38" s="932" t="s">
        <v>608</v>
      </c>
      <c r="C38" s="951">
        <v>1</v>
      </c>
      <c r="D38" s="951">
        <v>19</v>
      </c>
      <c r="E38" s="951">
        <v>47</v>
      </c>
      <c r="F38" s="951">
        <v>144</v>
      </c>
      <c r="G38" s="951">
        <v>159</v>
      </c>
      <c r="H38" s="951">
        <v>10</v>
      </c>
      <c r="I38" s="951">
        <f t="shared" si="0"/>
        <v>380</v>
      </c>
      <c r="J38" s="951">
        <v>2</v>
      </c>
      <c r="K38" s="951">
        <v>33</v>
      </c>
      <c r="L38" s="951">
        <v>46</v>
      </c>
      <c r="M38" s="951">
        <v>95</v>
      </c>
      <c r="N38" s="951">
        <v>78</v>
      </c>
      <c r="O38" s="951">
        <v>8</v>
      </c>
      <c r="P38" s="951">
        <f t="shared" si="1"/>
        <v>262</v>
      </c>
      <c r="Q38" s="952">
        <f t="shared" si="2"/>
        <v>642</v>
      </c>
    </row>
    <row r="39" spans="1:17" s="145" customFormat="1" x14ac:dyDescent="0.2">
      <c r="A39" s="145">
        <v>36</v>
      </c>
      <c r="B39" s="932" t="s">
        <v>609</v>
      </c>
      <c r="C39" s="951"/>
      <c r="D39" s="951">
        <v>46</v>
      </c>
      <c r="E39" s="951">
        <v>80</v>
      </c>
      <c r="F39" s="951">
        <v>203</v>
      </c>
      <c r="G39" s="951">
        <v>88</v>
      </c>
      <c r="H39" s="951">
        <v>3</v>
      </c>
      <c r="I39" s="951">
        <f t="shared" si="0"/>
        <v>420</v>
      </c>
      <c r="J39" s="951">
        <v>3</v>
      </c>
      <c r="K39" s="951">
        <v>18</v>
      </c>
      <c r="L39" s="951">
        <v>33</v>
      </c>
      <c r="M39" s="951">
        <v>73</v>
      </c>
      <c r="N39" s="951">
        <v>35</v>
      </c>
      <c r="O39" s="951">
        <v>2</v>
      </c>
      <c r="P39" s="951">
        <f t="shared" si="1"/>
        <v>164</v>
      </c>
      <c r="Q39" s="952">
        <f t="shared" si="2"/>
        <v>584</v>
      </c>
    </row>
    <row r="40" spans="1:17" s="145" customFormat="1" x14ac:dyDescent="0.2">
      <c r="A40" s="145">
        <v>37</v>
      </c>
      <c r="B40" s="932" t="s">
        <v>610</v>
      </c>
      <c r="C40" s="951"/>
      <c r="D40" s="951">
        <v>2</v>
      </c>
      <c r="E40" s="951">
        <v>12</v>
      </c>
      <c r="F40" s="951">
        <v>45</v>
      </c>
      <c r="G40" s="951">
        <v>21</v>
      </c>
      <c r="H40" s="951">
        <v>3</v>
      </c>
      <c r="I40" s="951">
        <f t="shared" si="0"/>
        <v>83</v>
      </c>
      <c r="J40" s="951"/>
      <c r="K40" s="951">
        <v>3</v>
      </c>
      <c r="L40" s="951">
        <v>14</v>
      </c>
      <c r="M40" s="951">
        <v>30</v>
      </c>
      <c r="N40" s="951">
        <v>13</v>
      </c>
      <c r="O40" s="951">
        <v>2</v>
      </c>
      <c r="P40" s="951">
        <f t="shared" si="1"/>
        <v>62</v>
      </c>
      <c r="Q40" s="952">
        <f t="shared" si="2"/>
        <v>145</v>
      </c>
    </row>
    <row r="41" spans="1:17" s="145" customFormat="1" x14ac:dyDescent="0.2">
      <c r="A41" s="145">
        <v>38</v>
      </c>
      <c r="B41" s="932" t="s">
        <v>611</v>
      </c>
      <c r="C41" s="951">
        <v>1</v>
      </c>
      <c r="D41" s="951">
        <v>6</v>
      </c>
      <c r="E41" s="951">
        <v>38</v>
      </c>
      <c r="F41" s="951">
        <v>85</v>
      </c>
      <c r="G41" s="951">
        <v>53</v>
      </c>
      <c r="H41" s="951">
        <v>9</v>
      </c>
      <c r="I41" s="951">
        <f t="shared" si="0"/>
        <v>192</v>
      </c>
      <c r="J41" s="951">
        <v>1</v>
      </c>
      <c r="K41" s="951">
        <v>12</v>
      </c>
      <c r="L41" s="951">
        <v>28</v>
      </c>
      <c r="M41" s="951">
        <v>51</v>
      </c>
      <c r="N41" s="951">
        <v>13</v>
      </c>
      <c r="O41" s="951">
        <v>1</v>
      </c>
      <c r="P41" s="951">
        <f t="shared" si="1"/>
        <v>106</v>
      </c>
      <c r="Q41" s="952">
        <f t="shared" si="2"/>
        <v>298</v>
      </c>
    </row>
    <row r="42" spans="1:17" s="145" customFormat="1" x14ac:dyDescent="0.2">
      <c r="A42" s="145">
        <v>39</v>
      </c>
      <c r="B42" s="932" t="s">
        <v>612</v>
      </c>
      <c r="C42" s="951"/>
      <c r="D42" s="951"/>
      <c r="E42" s="951">
        <v>4</v>
      </c>
      <c r="F42" s="951">
        <v>4</v>
      </c>
      <c r="G42" s="951">
        <v>4</v>
      </c>
      <c r="H42" s="951"/>
      <c r="I42" s="951">
        <f t="shared" si="0"/>
        <v>12</v>
      </c>
      <c r="J42" s="951"/>
      <c r="K42" s="951">
        <v>1</v>
      </c>
      <c r="L42" s="951">
        <v>3</v>
      </c>
      <c r="M42" s="951">
        <v>1</v>
      </c>
      <c r="N42" s="951">
        <v>1</v>
      </c>
      <c r="O42" s="951"/>
      <c r="P42" s="951">
        <f t="shared" si="1"/>
        <v>6</v>
      </c>
      <c r="Q42" s="952">
        <f t="shared" si="2"/>
        <v>18</v>
      </c>
    </row>
    <row r="43" spans="1:17" s="145" customFormat="1" x14ac:dyDescent="0.2">
      <c r="A43" s="145">
        <v>40</v>
      </c>
      <c r="B43" s="932" t="s">
        <v>613</v>
      </c>
      <c r="C43" s="951"/>
      <c r="D43" s="951">
        <v>6</v>
      </c>
      <c r="E43" s="951">
        <v>27</v>
      </c>
      <c r="F43" s="951">
        <v>67</v>
      </c>
      <c r="G43" s="951">
        <v>55</v>
      </c>
      <c r="H43" s="951">
        <v>6</v>
      </c>
      <c r="I43" s="951">
        <f t="shared" si="0"/>
        <v>161</v>
      </c>
      <c r="J43" s="951"/>
      <c r="K43" s="951">
        <v>8</v>
      </c>
      <c r="L43" s="951">
        <v>32</v>
      </c>
      <c r="M43" s="951">
        <v>50</v>
      </c>
      <c r="N43" s="951">
        <v>19</v>
      </c>
      <c r="O43" s="951">
        <v>1</v>
      </c>
      <c r="P43" s="951">
        <f>SUM(J43:O43)</f>
        <v>110</v>
      </c>
      <c r="Q43" s="952">
        <f t="shared" si="2"/>
        <v>271</v>
      </c>
    </row>
    <row r="44" spans="1:17" s="145" customFormat="1" x14ac:dyDescent="0.2">
      <c r="A44" s="145">
        <v>41</v>
      </c>
      <c r="B44" s="932" t="s">
        <v>614</v>
      </c>
      <c r="C44" s="951"/>
      <c r="D44" s="951">
        <v>2</v>
      </c>
      <c r="E44" s="951">
        <v>9</v>
      </c>
      <c r="F44" s="951">
        <v>40</v>
      </c>
      <c r="G44" s="951">
        <v>20</v>
      </c>
      <c r="H44" s="951">
        <v>1</v>
      </c>
      <c r="I44" s="951">
        <f t="shared" si="0"/>
        <v>72</v>
      </c>
      <c r="J44" s="951">
        <v>1</v>
      </c>
      <c r="K44" s="951">
        <v>2</v>
      </c>
      <c r="L44" s="951">
        <v>13</v>
      </c>
      <c r="M44" s="951">
        <v>37</v>
      </c>
      <c r="N44" s="951">
        <v>3</v>
      </c>
      <c r="O44" s="951">
        <v>1</v>
      </c>
      <c r="P44" s="951">
        <f t="shared" si="1"/>
        <v>57</v>
      </c>
      <c r="Q44" s="952">
        <f t="shared" si="2"/>
        <v>129</v>
      </c>
    </row>
    <row r="45" spans="1:17" s="145" customFormat="1" x14ac:dyDescent="0.2">
      <c r="A45" s="145">
        <v>42</v>
      </c>
      <c r="B45" s="932" t="s">
        <v>615</v>
      </c>
      <c r="C45" s="951"/>
      <c r="D45" s="951">
        <v>1</v>
      </c>
      <c r="E45" s="951">
        <v>1</v>
      </c>
      <c r="F45" s="951">
        <v>10</v>
      </c>
      <c r="G45" s="951">
        <v>6</v>
      </c>
      <c r="H45" s="951"/>
      <c r="I45" s="951">
        <f t="shared" si="0"/>
        <v>18</v>
      </c>
      <c r="J45" s="951"/>
      <c r="K45" s="951">
        <v>1</v>
      </c>
      <c r="L45" s="951">
        <v>4</v>
      </c>
      <c r="M45" s="951">
        <v>4</v>
      </c>
      <c r="N45" s="951">
        <v>2</v>
      </c>
      <c r="O45" s="951"/>
      <c r="P45" s="951">
        <f t="shared" si="1"/>
        <v>11</v>
      </c>
      <c r="Q45" s="952">
        <f t="shared" si="2"/>
        <v>29</v>
      </c>
    </row>
    <row r="46" spans="1:17" x14ac:dyDescent="0.2">
      <c r="B46" s="928"/>
      <c r="C46" s="1117" t="s">
        <v>572</v>
      </c>
      <c r="D46" s="1118"/>
      <c r="E46" s="1118"/>
      <c r="F46" s="1118"/>
      <c r="G46" s="1118"/>
      <c r="H46" s="1118"/>
      <c r="I46" s="1119"/>
      <c r="J46" s="1117" t="s">
        <v>573</v>
      </c>
      <c r="K46" s="1118"/>
      <c r="L46" s="1118"/>
      <c r="M46" s="1118"/>
      <c r="N46" s="1118"/>
      <c r="O46" s="1118"/>
      <c r="P46" s="1119"/>
      <c r="Q46" s="1120" t="s">
        <v>61</v>
      </c>
    </row>
    <row r="47" spans="1:17" ht="44.25" customHeight="1" thickBot="1" x14ac:dyDescent="0.25">
      <c r="B47" s="933"/>
      <c r="C47" s="934" t="s">
        <v>257</v>
      </c>
      <c r="D47" s="935" t="s">
        <v>258</v>
      </c>
      <c r="E47" s="934" t="s">
        <v>382</v>
      </c>
      <c r="F47" s="934" t="s">
        <v>383</v>
      </c>
      <c r="G47" s="934" t="s">
        <v>384</v>
      </c>
      <c r="H47" s="934" t="s">
        <v>385</v>
      </c>
      <c r="I47" s="934" t="s">
        <v>574</v>
      </c>
      <c r="J47" s="934" t="s">
        <v>257</v>
      </c>
      <c r="K47" s="935" t="s">
        <v>258</v>
      </c>
      <c r="L47" s="934" t="s">
        <v>382</v>
      </c>
      <c r="M47" s="934" t="s">
        <v>383</v>
      </c>
      <c r="N47" s="934" t="s">
        <v>384</v>
      </c>
      <c r="O47" s="934" t="s">
        <v>385</v>
      </c>
      <c r="P47" s="934" t="s">
        <v>574</v>
      </c>
      <c r="Q47" s="1122"/>
    </row>
    <row r="48" spans="1:17" s="145" customFormat="1" ht="18" thickBot="1" x14ac:dyDescent="0.25">
      <c r="B48" s="936" t="s">
        <v>362</v>
      </c>
      <c r="C48" s="948">
        <f>SUM(C49:C73)</f>
        <v>5</v>
      </c>
      <c r="D48" s="948">
        <f t="shared" ref="D48:H48" si="3">SUM(D49:D73)</f>
        <v>104</v>
      </c>
      <c r="E48" s="948">
        <f t="shared" si="3"/>
        <v>249</v>
      </c>
      <c r="F48" s="948">
        <f t="shared" si="3"/>
        <v>573</v>
      </c>
      <c r="G48" s="948">
        <f t="shared" si="3"/>
        <v>352</v>
      </c>
      <c r="H48" s="948">
        <f t="shared" si="3"/>
        <v>62</v>
      </c>
      <c r="I48" s="948">
        <f>SUM(I49:I73)</f>
        <v>1345</v>
      </c>
      <c r="J48" s="948">
        <f>SUM(J49:J73)</f>
        <v>79</v>
      </c>
      <c r="K48" s="948">
        <f t="shared" ref="K48:O48" si="4">SUM(K49:K73)</f>
        <v>231</v>
      </c>
      <c r="L48" s="948">
        <f t="shared" si="4"/>
        <v>368</v>
      </c>
      <c r="M48" s="948">
        <f t="shared" si="4"/>
        <v>488</v>
      </c>
      <c r="N48" s="948">
        <f t="shared" si="4"/>
        <v>256</v>
      </c>
      <c r="O48" s="948">
        <f t="shared" si="4"/>
        <v>50</v>
      </c>
      <c r="P48" s="948">
        <f>SUM(P49:P73)</f>
        <v>1472</v>
      </c>
      <c r="Q48" s="948">
        <f>SUM(I48,P48)</f>
        <v>2817</v>
      </c>
    </row>
    <row r="49" spans="1:17" s="145" customFormat="1" x14ac:dyDescent="0.2">
      <c r="A49" s="145">
        <v>43</v>
      </c>
      <c r="B49" s="937" t="s">
        <v>616</v>
      </c>
      <c r="C49" s="949"/>
      <c r="D49" s="949">
        <v>2</v>
      </c>
      <c r="E49" s="949">
        <v>11</v>
      </c>
      <c r="F49" s="949">
        <v>16</v>
      </c>
      <c r="G49" s="949">
        <v>12</v>
      </c>
      <c r="H49" s="949">
        <v>1</v>
      </c>
      <c r="I49" s="949">
        <f t="shared" ref="I49:I90" si="5">SUM(C49:H49)</f>
        <v>42</v>
      </c>
      <c r="J49" s="949"/>
      <c r="K49" s="949">
        <v>4</v>
      </c>
      <c r="L49" s="949">
        <v>12</v>
      </c>
      <c r="M49" s="949">
        <v>14</v>
      </c>
      <c r="N49" s="949">
        <v>5</v>
      </c>
      <c r="O49" s="949">
        <v>1</v>
      </c>
      <c r="P49" s="949">
        <f t="shared" ref="P49:P73" si="6">SUM(J49:O49)</f>
        <v>36</v>
      </c>
      <c r="Q49" s="950">
        <f>SUM(I49,P49)</f>
        <v>78</v>
      </c>
    </row>
    <row r="50" spans="1:17" s="145" customFormat="1" x14ac:dyDescent="0.2">
      <c r="A50" s="145">
        <v>44</v>
      </c>
      <c r="B50" s="938" t="s">
        <v>617</v>
      </c>
      <c r="C50" s="951"/>
      <c r="D50" s="951">
        <v>1</v>
      </c>
      <c r="E50" s="951">
        <v>6</v>
      </c>
      <c r="F50" s="951">
        <v>16</v>
      </c>
      <c r="G50" s="951">
        <v>9</v>
      </c>
      <c r="H50" s="951">
        <v>2</v>
      </c>
      <c r="I50" s="951">
        <f t="shared" si="5"/>
        <v>34</v>
      </c>
      <c r="J50" s="951">
        <v>1</v>
      </c>
      <c r="K50" s="951">
        <v>9</v>
      </c>
      <c r="L50" s="951">
        <v>11</v>
      </c>
      <c r="M50" s="951">
        <v>14</v>
      </c>
      <c r="N50" s="951">
        <v>7</v>
      </c>
      <c r="O50" s="951"/>
      <c r="P50" s="951">
        <f t="shared" si="6"/>
        <v>42</v>
      </c>
      <c r="Q50" s="952">
        <f t="shared" si="2"/>
        <v>76</v>
      </c>
    </row>
    <row r="51" spans="1:17" s="145" customFormat="1" x14ac:dyDescent="0.2">
      <c r="A51" s="145">
        <v>45</v>
      </c>
      <c r="B51" s="938" t="s">
        <v>618</v>
      </c>
      <c r="C51" s="951"/>
      <c r="D51" s="951">
        <v>3</v>
      </c>
      <c r="E51" s="951">
        <v>5</v>
      </c>
      <c r="F51" s="951">
        <v>12</v>
      </c>
      <c r="G51" s="951">
        <v>8</v>
      </c>
      <c r="H51" s="951">
        <v>3</v>
      </c>
      <c r="I51" s="951">
        <f t="shared" si="5"/>
        <v>31</v>
      </c>
      <c r="J51" s="951">
        <v>1</v>
      </c>
      <c r="K51" s="951">
        <v>3</v>
      </c>
      <c r="L51" s="951">
        <v>2</v>
      </c>
      <c r="M51" s="951">
        <v>6</v>
      </c>
      <c r="N51" s="951">
        <v>6</v>
      </c>
      <c r="O51" s="951">
        <v>1</v>
      </c>
      <c r="P51" s="951">
        <f t="shared" si="6"/>
        <v>19</v>
      </c>
      <c r="Q51" s="952">
        <f t="shared" si="2"/>
        <v>50</v>
      </c>
    </row>
    <row r="52" spans="1:17" s="145" customFormat="1" x14ac:dyDescent="0.2">
      <c r="A52" s="145">
        <v>46</v>
      </c>
      <c r="B52" s="938" t="s">
        <v>619</v>
      </c>
      <c r="C52" s="951">
        <v>1</v>
      </c>
      <c r="D52" s="951">
        <v>1</v>
      </c>
      <c r="E52" s="951">
        <v>7</v>
      </c>
      <c r="F52" s="951">
        <v>17</v>
      </c>
      <c r="G52" s="951">
        <v>15</v>
      </c>
      <c r="H52" s="951">
        <v>2</v>
      </c>
      <c r="I52" s="951">
        <f t="shared" si="5"/>
        <v>43</v>
      </c>
      <c r="J52" s="951">
        <v>2</v>
      </c>
      <c r="K52" s="951">
        <v>2</v>
      </c>
      <c r="L52" s="951">
        <v>9</v>
      </c>
      <c r="M52" s="951">
        <v>11</v>
      </c>
      <c r="N52" s="951">
        <v>2</v>
      </c>
      <c r="O52" s="951">
        <v>1</v>
      </c>
      <c r="P52" s="951">
        <f t="shared" si="6"/>
        <v>27</v>
      </c>
      <c r="Q52" s="952">
        <f t="shared" si="2"/>
        <v>70</v>
      </c>
    </row>
    <row r="53" spans="1:17" s="145" customFormat="1" x14ac:dyDescent="0.2">
      <c r="A53" s="145">
        <v>47</v>
      </c>
      <c r="B53" s="938" t="s">
        <v>620</v>
      </c>
      <c r="C53" s="951"/>
      <c r="D53" s="951">
        <v>4</v>
      </c>
      <c r="E53" s="951">
        <v>4</v>
      </c>
      <c r="F53" s="951">
        <v>8</v>
      </c>
      <c r="G53" s="951">
        <v>7</v>
      </c>
      <c r="H53" s="951">
        <v>1</v>
      </c>
      <c r="I53" s="951">
        <f t="shared" si="5"/>
        <v>24</v>
      </c>
      <c r="J53" s="951">
        <v>1</v>
      </c>
      <c r="K53" s="951">
        <v>3</v>
      </c>
      <c r="L53" s="951">
        <v>7</v>
      </c>
      <c r="M53" s="951">
        <v>16</v>
      </c>
      <c r="N53" s="951">
        <v>8</v>
      </c>
      <c r="O53" s="951">
        <v>1</v>
      </c>
      <c r="P53" s="951">
        <f t="shared" si="6"/>
        <v>36</v>
      </c>
      <c r="Q53" s="952">
        <f t="shared" si="2"/>
        <v>60</v>
      </c>
    </row>
    <row r="54" spans="1:17" s="145" customFormat="1" x14ac:dyDescent="0.2">
      <c r="A54" s="145">
        <v>48</v>
      </c>
      <c r="B54" s="938" t="s">
        <v>621</v>
      </c>
      <c r="C54" s="951"/>
      <c r="D54" s="951">
        <v>2</v>
      </c>
      <c r="E54" s="951">
        <v>7</v>
      </c>
      <c r="F54" s="951">
        <v>11</v>
      </c>
      <c r="G54" s="951">
        <v>2</v>
      </c>
      <c r="H54" s="951">
        <v>1</v>
      </c>
      <c r="I54" s="951">
        <f t="shared" si="5"/>
        <v>23</v>
      </c>
      <c r="J54" s="951">
        <v>1</v>
      </c>
      <c r="K54" s="951">
        <v>3</v>
      </c>
      <c r="L54" s="951">
        <v>9</v>
      </c>
      <c r="M54" s="951">
        <v>11</v>
      </c>
      <c r="N54" s="951">
        <v>4</v>
      </c>
      <c r="O54" s="951">
        <v>3</v>
      </c>
      <c r="P54" s="951">
        <f t="shared" si="6"/>
        <v>31</v>
      </c>
      <c r="Q54" s="952">
        <f t="shared" si="2"/>
        <v>54</v>
      </c>
    </row>
    <row r="55" spans="1:17" s="145" customFormat="1" x14ac:dyDescent="0.2">
      <c r="A55" s="145">
        <v>49</v>
      </c>
      <c r="B55" s="938" t="s">
        <v>622</v>
      </c>
      <c r="C55" s="951"/>
      <c r="D55" s="951">
        <v>3</v>
      </c>
      <c r="E55" s="951">
        <v>7</v>
      </c>
      <c r="F55" s="951">
        <v>17</v>
      </c>
      <c r="G55" s="951">
        <v>14</v>
      </c>
      <c r="H55" s="951">
        <v>3</v>
      </c>
      <c r="I55" s="951">
        <f t="shared" si="5"/>
        <v>44</v>
      </c>
      <c r="J55" s="951">
        <v>3</v>
      </c>
      <c r="K55" s="951">
        <v>10</v>
      </c>
      <c r="L55" s="951">
        <v>7</v>
      </c>
      <c r="M55" s="951">
        <v>9</v>
      </c>
      <c r="N55" s="951">
        <v>5</v>
      </c>
      <c r="O55" s="951"/>
      <c r="P55" s="951">
        <f t="shared" si="6"/>
        <v>34</v>
      </c>
      <c r="Q55" s="952">
        <f t="shared" si="2"/>
        <v>78</v>
      </c>
    </row>
    <row r="56" spans="1:17" s="145" customFormat="1" x14ac:dyDescent="0.2">
      <c r="A56" s="145">
        <v>50</v>
      </c>
      <c r="B56" s="938" t="s">
        <v>623</v>
      </c>
      <c r="C56" s="951"/>
      <c r="D56" s="951">
        <v>2</v>
      </c>
      <c r="E56" s="951">
        <v>4</v>
      </c>
      <c r="F56" s="951">
        <v>11</v>
      </c>
      <c r="G56" s="951">
        <v>9</v>
      </c>
      <c r="H56" s="951">
        <v>1</v>
      </c>
      <c r="I56" s="951">
        <f t="shared" si="5"/>
        <v>27</v>
      </c>
      <c r="J56" s="951">
        <v>3</v>
      </c>
      <c r="K56" s="951">
        <v>6</v>
      </c>
      <c r="L56" s="951">
        <v>7</v>
      </c>
      <c r="M56" s="951">
        <v>6</v>
      </c>
      <c r="N56" s="951">
        <v>8</v>
      </c>
      <c r="O56" s="951"/>
      <c r="P56" s="951">
        <f t="shared" si="6"/>
        <v>30</v>
      </c>
      <c r="Q56" s="952">
        <f t="shared" si="2"/>
        <v>57</v>
      </c>
    </row>
    <row r="57" spans="1:17" s="145" customFormat="1" x14ac:dyDescent="0.2">
      <c r="A57" s="145">
        <v>51</v>
      </c>
      <c r="B57" s="938" t="s">
        <v>624</v>
      </c>
      <c r="C57" s="951"/>
      <c r="D57" s="951">
        <v>3</v>
      </c>
      <c r="E57" s="951">
        <v>5</v>
      </c>
      <c r="F57" s="951">
        <v>12</v>
      </c>
      <c r="G57" s="951">
        <v>6</v>
      </c>
      <c r="H57" s="951"/>
      <c r="I57" s="951">
        <f t="shared" si="5"/>
        <v>26</v>
      </c>
      <c r="J57" s="951">
        <v>2</v>
      </c>
      <c r="K57" s="951">
        <v>4</v>
      </c>
      <c r="L57" s="951">
        <v>9</v>
      </c>
      <c r="M57" s="951">
        <v>10</v>
      </c>
      <c r="N57" s="951">
        <v>3</v>
      </c>
      <c r="O57" s="951">
        <v>1</v>
      </c>
      <c r="P57" s="951">
        <f t="shared" si="6"/>
        <v>29</v>
      </c>
      <c r="Q57" s="952">
        <f t="shared" si="2"/>
        <v>55</v>
      </c>
    </row>
    <row r="58" spans="1:17" s="145" customFormat="1" x14ac:dyDescent="0.2">
      <c r="A58" s="145">
        <v>52</v>
      </c>
      <c r="B58" s="938" t="s">
        <v>625</v>
      </c>
      <c r="C58" s="951">
        <v>1</v>
      </c>
      <c r="D58" s="951">
        <v>1</v>
      </c>
      <c r="E58" s="951">
        <v>5</v>
      </c>
      <c r="F58" s="951">
        <v>5</v>
      </c>
      <c r="G58" s="951">
        <v>4</v>
      </c>
      <c r="H58" s="951">
        <v>1</v>
      </c>
      <c r="I58" s="951">
        <f t="shared" si="5"/>
        <v>17</v>
      </c>
      <c r="J58" s="951">
        <v>1</v>
      </c>
      <c r="K58" s="951">
        <v>1</v>
      </c>
      <c r="L58" s="951">
        <v>9</v>
      </c>
      <c r="M58" s="951">
        <v>11</v>
      </c>
      <c r="N58" s="951">
        <v>8</v>
      </c>
      <c r="O58" s="951">
        <v>2</v>
      </c>
      <c r="P58" s="951">
        <f t="shared" si="6"/>
        <v>32</v>
      </c>
      <c r="Q58" s="952">
        <f t="shared" si="2"/>
        <v>49</v>
      </c>
    </row>
    <row r="59" spans="1:17" s="145" customFormat="1" x14ac:dyDescent="0.2">
      <c r="A59" s="145">
        <v>53</v>
      </c>
      <c r="B59" s="938" t="s">
        <v>626</v>
      </c>
      <c r="C59" s="951"/>
      <c r="D59" s="951">
        <v>3</v>
      </c>
      <c r="E59" s="951">
        <v>2</v>
      </c>
      <c r="F59" s="951">
        <v>13</v>
      </c>
      <c r="G59" s="951">
        <v>14</v>
      </c>
      <c r="H59" s="951">
        <v>3</v>
      </c>
      <c r="I59" s="951">
        <f t="shared" si="5"/>
        <v>35</v>
      </c>
      <c r="J59" s="951">
        <v>1</v>
      </c>
      <c r="K59" s="951">
        <v>6</v>
      </c>
      <c r="L59" s="951">
        <v>9</v>
      </c>
      <c r="M59" s="951">
        <v>12</v>
      </c>
      <c r="N59" s="951">
        <v>6</v>
      </c>
      <c r="O59" s="951"/>
      <c r="P59" s="951">
        <f t="shared" si="6"/>
        <v>34</v>
      </c>
      <c r="Q59" s="952">
        <f t="shared" si="2"/>
        <v>69</v>
      </c>
    </row>
    <row r="60" spans="1:17" s="145" customFormat="1" x14ac:dyDescent="0.2">
      <c r="A60" s="145">
        <v>54</v>
      </c>
      <c r="B60" s="938" t="s">
        <v>627</v>
      </c>
      <c r="C60" s="951"/>
      <c r="D60" s="951">
        <v>4</v>
      </c>
      <c r="E60" s="951">
        <v>9</v>
      </c>
      <c r="F60" s="951">
        <v>38</v>
      </c>
      <c r="G60" s="951">
        <v>28</v>
      </c>
      <c r="H60" s="951">
        <v>8</v>
      </c>
      <c r="I60" s="951">
        <f t="shared" si="5"/>
        <v>87</v>
      </c>
      <c r="J60" s="951">
        <v>5</v>
      </c>
      <c r="K60" s="951">
        <v>10</v>
      </c>
      <c r="L60" s="951">
        <v>21</v>
      </c>
      <c r="M60" s="951">
        <v>30</v>
      </c>
      <c r="N60" s="951">
        <v>12</v>
      </c>
      <c r="O60" s="951">
        <v>2</v>
      </c>
      <c r="P60" s="951">
        <f t="shared" si="6"/>
        <v>80</v>
      </c>
      <c r="Q60" s="952">
        <f t="shared" si="2"/>
        <v>167</v>
      </c>
    </row>
    <row r="61" spans="1:17" s="145" customFormat="1" x14ac:dyDescent="0.2">
      <c r="A61" s="145">
        <v>55</v>
      </c>
      <c r="B61" s="938" t="s">
        <v>628</v>
      </c>
      <c r="C61" s="951">
        <v>1</v>
      </c>
      <c r="D61" s="951">
        <v>6</v>
      </c>
      <c r="E61" s="951">
        <v>21</v>
      </c>
      <c r="F61" s="951">
        <v>31</v>
      </c>
      <c r="G61" s="951">
        <v>31</v>
      </c>
      <c r="H61" s="951">
        <v>4</v>
      </c>
      <c r="I61" s="951">
        <f t="shared" si="5"/>
        <v>94</v>
      </c>
      <c r="J61" s="951">
        <v>8</v>
      </c>
      <c r="K61" s="951">
        <v>12</v>
      </c>
      <c r="L61" s="951">
        <v>27</v>
      </c>
      <c r="M61" s="951">
        <v>34</v>
      </c>
      <c r="N61" s="951">
        <v>19</v>
      </c>
      <c r="O61" s="951">
        <v>4</v>
      </c>
      <c r="P61" s="951">
        <f t="shared" si="6"/>
        <v>104</v>
      </c>
      <c r="Q61" s="952">
        <f t="shared" si="2"/>
        <v>198</v>
      </c>
    </row>
    <row r="62" spans="1:17" s="145" customFormat="1" x14ac:dyDescent="0.2">
      <c r="A62" s="145">
        <v>56</v>
      </c>
      <c r="B62" s="938" t="s">
        <v>629</v>
      </c>
      <c r="C62" s="951"/>
      <c r="D62" s="951">
        <v>2</v>
      </c>
      <c r="E62" s="951">
        <v>9</v>
      </c>
      <c r="F62" s="951">
        <v>19</v>
      </c>
      <c r="G62" s="951">
        <v>4</v>
      </c>
      <c r="H62" s="951"/>
      <c r="I62" s="951">
        <f t="shared" si="5"/>
        <v>34</v>
      </c>
      <c r="J62" s="951">
        <v>3</v>
      </c>
      <c r="K62" s="951">
        <v>6</v>
      </c>
      <c r="L62" s="951">
        <v>10</v>
      </c>
      <c r="M62" s="951">
        <v>16</v>
      </c>
      <c r="N62" s="951">
        <v>9</v>
      </c>
      <c r="O62" s="951">
        <v>2</v>
      </c>
      <c r="P62" s="951">
        <f t="shared" si="6"/>
        <v>46</v>
      </c>
      <c r="Q62" s="952">
        <f t="shared" si="2"/>
        <v>80</v>
      </c>
    </row>
    <row r="63" spans="1:17" s="145" customFormat="1" x14ac:dyDescent="0.2">
      <c r="A63" s="145">
        <v>57</v>
      </c>
      <c r="B63" s="938" t="s">
        <v>630</v>
      </c>
      <c r="C63" s="951"/>
      <c r="D63" s="951">
        <v>9</v>
      </c>
      <c r="E63" s="951">
        <v>14</v>
      </c>
      <c r="F63" s="951">
        <v>32</v>
      </c>
      <c r="G63" s="951">
        <v>23</v>
      </c>
      <c r="H63" s="951">
        <v>3</v>
      </c>
      <c r="I63" s="951">
        <f t="shared" si="5"/>
        <v>81</v>
      </c>
      <c r="J63" s="951">
        <v>6</v>
      </c>
      <c r="K63" s="951">
        <v>12</v>
      </c>
      <c r="L63" s="951">
        <v>23</v>
      </c>
      <c r="M63" s="951">
        <v>28</v>
      </c>
      <c r="N63" s="951">
        <v>9</v>
      </c>
      <c r="O63" s="951"/>
      <c r="P63" s="951">
        <f t="shared" si="6"/>
        <v>78</v>
      </c>
      <c r="Q63" s="952">
        <f t="shared" si="2"/>
        <v>159</v>
      </c>
    </row>
    <row r="64" spans="1:17" s="145" customFormat="1" x14ac:dyDescent="0.2">
      <c r="A64" s="145">
        <v>58</v>
      </c>
      <c r="B64" s="938" t="s">
        <v>631</v>
      </c>
      <c r="C64" s="951">
        <v>1</v>
      </c>
      <c r="D64" s="951">
        <v>3</v>
      </c>
      <c r="E64" s="951">
        <v>7</v>
      </c>
      <c r="F64" s="951">
        <v>26</v>
      </c>
      <c r="G64" s="951">
        <v>13</v>
      </c>
      <c r="H64" s="951">
        <v>3</v>
      </c>
      <c r="I64" s="951">
        <f t="shared" si="5"/>
        <v>53</v>
      </c>
      <c r="J64" s="951"/>
      <c r="K64" s="951">
        <v>5</v>
      </c>
      <c r="L64" s="951">
        <v>8</v>
      </c>
      <c r="M64" s="951">
        <v>25</v>
      </c>
      <c r="N64" s="951">
        <v>10</v>
      </c>
      <c r="O64" s="951">
        <v>4</v>
      </c>
      <c r="P64" s="951">
        <f t="shared" si="6"/>
        <v>52</v>
      </c>
      <c r="Q64" s="952">
        <f t="shared" si="2"/>
        <v>105</v>
      </c>
    </row>
    <row r="65" spans="1:17" s="145" customFormat="1" x14ac:dyDescent="0.2">
      <c r="A65" s="145">
        <v>59</v>
      </c>
      <c r="B65" s="938" t="s">
        <v>632</v>
      </c>
      <c r="C65" s="951"/>
      <c r="D65" s="951">
        <v>5</v>
      </c>
      <c r="E65" s="951">
        <v>16</v>
      </c>
      <c r="F65" s="951">
        <v>42</v>
      </c>
      <c r="G65" s="951">
        <v>7</v>
      </c>
      <c r="H65" s="951">
        <v>1</v>
      </c>
      <c r="I65" s="951">
        <f t="shared" si="5"/>
        <v>71</v>
      </c>
      <c r="J65" s="951">
        <v>6</v>
      </c>
      <c r="K65" s="951">
        <v>11</v>
      </c>
      <c r="L65" s="951">
        <v>18</v>
      </c>
      <c r="M65" s="951">
        <v>27</v>
      </c>
      <c r="N65" s="951">
        <v>16</v>
      </c>
      <c r="O65" s="951">
        <v>4</v>
      </c>
      <c r="P65" s="951">
        <f t="shared" si="6"/>
        <v>82</v>
      </c>
      <c r="Q65" s="952">
        <f t="shared" si="2"/>
        <v>153</v>
      </c>
    </row>
    <row r="66" spans="1:17" s="145" customFormat="1" x14ac:dyDescent="0.2">
      <c r="A66" s="145">
        <v>60</v>
      </c>
      <c r="B66" s="938" t="s">
        <v>633</v>
      </c>
      <c r="C66" s="951"/>
      <c r="D66" s="951">
        <v>4</v>
      </c>
      <c r="E66" s="951">
        <v>7</v>
      </c>
      <c r="F66" s="951">
        <v>24</v>
      </c>
      <c r="G66" s="951">
        <v>7</v>
      </c>
      <c r="H66" s="951">
        <v>1</v>
      </c>
      <c r="I66" s="951">
        <f t="shared" si="5"/>
        <v>43</v>
      </c>
      <c r="J66" s="951"/>
      <c r="K66" s="951">
        <v>6</v>
      </c>
      <c r="L66" s="951">
        <v>9</v>
      </c>
      <c r="M66" s="951">
        <v>22</v>
      </c>
      <c r="N66" s="951">
        <v>7</v>
      </c>
      <c r="O66" s="951">
        <v>3</v>
      </c>
      <c r="P66" s="951">
        <f t="shared" si="6"/>
        <v>47</v>
      </c>
      <c r="Q66" s="952">
        <f t="shared" si="2"/>
        <v>90</v>
      </c>
    </row>
    <row r="67" spans="1:17" s="145" customFormat="1" x14ac:dyDescent="0.2">
      <c r="A67" s="145">
        <v>61</v>
      </c>
      <c r="B67" s="938" t="s">
        <v>634</v>
      </c>
      <c r="C67" s="951"/>
      <c r="D67" s="951">
        <v>5</v>
      </c>
      <c r="E67" s="951">
        <v>10</v>
      </c>
      <c r="F67" s="951">
        <v>31</v>
      </c>
      <c r="G67" s="951">
        <v>8</v>
      </c>
      <c r="H67" s="951">
        <v>2</v>
      </c>
      <c r="I67" s="951">
        <f t="shared" si="5"/>
        <v>56</v>
      </c>
      <c r="J67" s="951">
        <v>3</v>
      </c>
      <c r="K67" s="951">
        <v>11</v>
      </c>
      <c r="L67" s="951">
        <v>14</v>
      </c>
      <c r="M67" s="951">
        <v>17</v>
      </c>
      <c r="N67" s="951">
        <v>10</v>
      </c>
      <c r="O67" s="951"/>
      <c r="P67" s="951">
        <f t="shared" si="6"/>
        <v>55</v>
      </c>
      <c r="Q67" s="952">
        <f t="shared" si="2"/>
        <v>111</v>
      </c>
    </row>
    <row r="68" spans="1:17" s="145" customFormat="1" x14ac:dyDescent="0.2">
      <c r="A68" s="145">
        <v>62</v>
      </c>
      <c r="B68" s="938" t="s">
        <v>635</v>
      </c>
      <c r="C68" s="951"/>
      <c r="D68" s="951">
        <v>2</v>
      </c>
      <c r="E68" s="951">
        <v>12</v>
      </c>
      <c r="F68" s="951">
        <v>29</v>
      </c>
      <c r="G68" s="951">
        <v>25</v>
      </c>
      <c r="H68" s="951">
        <v>3</v>
      </c>
      <c r="I68" s="951">
        <f t="shared" si="5"/>
        <v>71</v>
      </c>
      <c r="J68" s="951">
        <v>3</v>
      </c>
      <c r="K68" s="951">
        <v>11</v>
      </c>
      <c r="L68" s="951">
        <v>15</v>
      </c>
      <c r="M68" s="951">
        <v>25</v>
      </c>
      <c r="N68" s="951">
        <v>12</v>
      </c>
      <c r="O68" s="951">
        <v>4</v>
      </c>
      <c r="P68" s="951">
        <f t="shared" si="6"/>
        <v>70</v>
      </c>
      <c r="Q68" s="952">
        <f t="shared" si="2"/>
        <v>141</v>
      </c>
    </row>
    <row r="69" spans="1:17" s="145" customFormat="1" x14ac:dyDescent="0.2">
      <c r="A69" s="145">
        <v>63</v>
      </c>
      <c r="B69" s="938" t="s">
        <v>636</v>
      </c>
      <c r="C69" s="951"/>
      <c r="D69" s="951">
        <v>11</v>
      </c>
      <c r="E69" s="951">
        <v>16</v>
      </c>
      <c r="F69" s="951">
        <v>41</v>
      </c>
      <c r="G69" s="951">
        <v>26</v>
      </c>
      <c r="H69" s="951">
        <v>2</v>
      </c>
      <c r="I69" s="951">
        <f t="shared" si="5"/>
        <v>96</v>
      </c>
      <c r="J69" s="951">
        <v>6</v>
      </c>
      <c r="K69" s="951">
        <v>24</v>
      </c>
      <c r="L69" s="951">
        <v>26</v>
      </c>
      <c r="M69" s="951">
        <v>33</v>
      </c>
      <c r="N69" s="951">
        <v>24</v>
      </c>
      <c r="O69" s="951">
        <v>3</v>
      </c>
      <c r="P69" s="951">
        <f t="shared" si="6"/>
        <v>116</v>
      </c>
      <c r="Q69" s="952">
        <f t="shared" si="2"/>
        <v>212</v>
      </c>
    </row>
    <row r="70" spans="1:17" s="145" customFormat="1" x14ac:dyDescent="0.2">
      <c r="A70" s="145">
        <v>64</v>
      </c>
      <c r="B70" s="938" t="s">
        <v>637</v>
      </c>
      <c r="C70" s="951"/>
      <c r="D70" s="951">
        <v>5</v>
      </c>
      <c r="E70" s="951">
        <v>20</v>
      </c>
      <c r="F70" s="951">
        <v>21</v>
      </c>
      <c r="G70" s="951">
        <v>19</v>
      </c>
      <c r="H70" s="951">
        <v>4</v>
      </c>
      <c r="I70" s="951">
        <f t="shared" si="5"/>
        <v>69</v>
      </c>
      <c r="J70" s="951">
        <v>2</v>
      </c>
      <c r="K70" s="951">
        <v>19</v>
      </c>
      <c r="L70" s="951">
        <v>29</v>
      </c>
      <c r="M70" s="951">
        <v>32</v>
      </c>
      <c r="N70" s="951">
        <v>14</v>
      </c>
      <c r="O70" s="951">
        <v>5</v>
      </c>
      <c r="P70" s="951">
        <f t="shared" si="6"/>
        <v>101</v>
      </c>
      <c r="Q70" s="952">
        <f t="shared" si="2"/>
        <v>170</v>
      </c>
    </row>
    <row r="71" spans="1:17" s="145" customFormat="1" x14ac:dyDescent="0.2">
      <c r="A71" s="145">
        <v>65</v>
      </c>
      <c r="B71" s="938" t="s">
        <v>638</v>
      </c>
      <c r="C71" s="951"/>
      <c r="D71" s="951">
        <v>14</v>
      </c>
      <c r="E71" s="951">
        <v>25</v>
      </c>
      <c r="F71" s="951">
        <v>47</v>
      </c>
      <c r="G71" s="951">
        <v>35</v>
      </c>
      <c r="H71" s="951">
        <v>6</v>
      </c>
      <c r="I71" s="951">
        <f t="shared" si="5"/>
        <v>127</v>
      </c>
      <c r="J71" s="951">
        <v>12</v>
      </c>
      <c r="K71" s="951">
        <v>30</v>
      </c>
      <c r="L71" s="951">
        <v>43</v>
      </c>
      <c r="M71" s="951">
        <v>35</v>
      </c>
      <c r="N71" s="951">
        <v>23</v>
      </c>
      <c r="O71" s="951">
        <v>5</v>
      </c>
      <c r="P71" s="951">
        <f t="shared" si="6"/>
        <v>148</v>
      </c>
      <c r="Q71" s="952">
        <f t="shared" si="2"/>
        <v>275</v>
      </c>
    </row>
    <row r="72" spans="1:17" s="145" customFormat="1" x14ac:dyDescent="0.2">
      <c r="A72" s="145">
        <v>66</v>
      </c>
      <c r="B72" s="938" t="s">
        <v>639</v>
      </c>
      <c r="C72" s="951">
        <v>1</v>
      </c>
      <c r="D72" s="951">
        <v>9</v>
      </c>
      <c r="E72" s="951">
        <v>20</v>
      </c>
      <c r="F72" s="951">
        <v>54</v>
      </c>
      <c r="G72" s="951">
        <v>26</v>
      </c>
      <c r="H72" s="951">
        <v>7</v>
      </c>
      <c r="I72" s="951">
        <f t="shared" si="5"/>
        <v>117</v>
      </c>
      <c r="J72" s="951">
        <v>9</v>
      </c>
      <c r="K72" s="951">
        <v>23</v>
      </c>
      <c r="L72" s="951">
        <v>34</v>
      </c>
      <c r="M72" s="951">
        <v>44</v>
      </c>
      <c r="N72" s="951">
        <v>29</v>
      </c>
      <c r="O72" s="951">
        <v>4</v>
      </c>
      <c r="P72" s="951">
        <f t="shared" si="6"/>
        <v>143</v>
      </c>
      <c r="Q72" s="952">
        <f t="shared" ref="Q72:Q90" si="7">SUM(I72,P72)</f>
        <v>260</v>
      </c>
    </row>
    <row r="73" spans="1:17" s="145" customFormat="1" ht="18" thickBot="1" x14ac:dyDescent="0.25">
      <c r="B73" s="939" t="s">
        <v>640</v>
      </c>
      <c r="C73" s="953"/>
      <c r="D73" s="953"/>
      <c r="E73" s="953"/>
      <c r="F73" s="953"/>
      <c r="G73" s="953"/>
      <c r="H73" s="953"/>
      <c r="I73" s="951">
        <f t="shared" si="5"/>
        <v>0</v>
      </c>
      <c r="J73" s="953"/>
      <c r="K73" s="953"/>
      <c r="L73" s="953"/>
      <c r="M73" s="953"/>
      <c r="N73" s="953"/>
      <c r="O73" s="953"/>
      <c r="P73" s="951">
        <f t="shared" si="6"/>
        <v>0</v>
      </c>
      <c r="Q73" s="952">
        <f t="shared" si="7"/>
        <v>0</v>
      </c>
    </row>
    <row r="74" spans="1:17" s="145" customFormat="1" ht="18" thickBot="1" x14ac:dyDescent="0.25">
      <c r="A74" s="145">
        <v>30</v>
      </c>
      <c r="B74" s="936" t="s">
        <v>363</v>
      </c>
      <c r="C74" s="948">
        <f>SUM(C75:C82)</f>
        <v>5</v>
      </c>
      <c r="D74" s="948">
        <f t="shared" ref="D74:P74" si="8">SUM(D75:D82)</f>
        <v>50</v>
      </c>
      <c r="E74" s="948">
        <f t="shared" si="8"/>
        <v>144</v>
      </c>
      <c r="F74" s="948">
        <f t="shared" si="8"/>
        <v>341</v>
      </c>
      <c r="G74" s="948">
        <f t="shared" si="8"/>
        <v>182</v>
      </c>
      <c r="H74" s="948">
        <f t="shared" si="8"/>
        <v>12</v>
      </c>
      <c r="I74" s="948">
        <f t="shared" si="8"/>
        <v>734</v>
      </c>
      <c r="J74" s="948">
        <f t="shared" si="8"/>
        <v>9</v>
      </c>
      <c r="K74" s="948">
        <f t="shared" si="8"/>
        <v>80</v>
      </c>
      <c r="L74" s="948">
        <f t="shared" si="8"/>
        <v>175</v>
      </c>
      <c r="M74" s="948">
        <f t="shared" si="8"/>
        <v>225</v>
      </c>
      <c r="N74" s="948">
        <f>SUM(N75:N82)</f>
        <v>145</v>
      </c>
      <c r="O74" s="948">
        <f t="shared" si="8"/>
        <v>12</v>
      </c>
      <c r="P74" s="948">
        <f t="shared" si="8"/>
        <v>646</v>
      </c>
      <c r="Q74" s="948">
        <f>SUM(I74,P74)</f>
        <v>1380</v>
      </c>
    </row>
    <row r="75" spans="1:17" s="145" customFormat="1" x14ac:dyDescent="0.2">
      <c r="A75" s="145">
        <v>70</v>
      </c>
      <c r="B75" s="940" t="s">
        <v>641</v>
      </c>
      <c r="C75" s="949">
        <v>2</v>
      </c>
      <c r="D75" s="949">
        <v>22</v>
      </c>
      <c r="E75" s="949">
        <v>67</v>
      </c>
      <c r="F75" s="949">
        <v>91</v>
      </c>
      <c r="G75" s="949">
        <v>45</v>
      </c>
      <c r="H75" s="949">
        <v>3</v>
      </c>
      <c r="I75" s="949">
        <f t="shared" si="5"/>
        <v>230</v>
      </c>
      <c r="J75" s="949"/>
      <c r="K75" s="949">
        <v>21</v>
      </c>
      <c r="L75" s="949">
        <v>37</v>
      </c>
      <c r="M75" s="949">
        <v>54</v>
      </c>
      <c r="N75" s="949">
        <v>27</v>
      </c>
      <c r="O75" s="949">
        <v>4</v>
      </c>
      <c r="P75" s="949">
        <f t="shared" ref="P75:P82" si="9">SUM(J75:O75)</f>
        <v>143</v>
      </c>
      <c r="Q75" s="950">
        <f>SUM(I75,P75)</f>
        <v>373</v>
      </c>
    </row>
    <row r="76" spans="1:17" s="145" customFormat="1" x14ac:dyDescent="0.2">
      <c r="A76" s="145">
        <v>71</v>
      </c>
      <c r="B76" s="932" t="s">
        <v>642</v>
      </c>
      <c r="C76" s="951">
        <v>1</v>
      </c>
      <c r="D76" s="951">
        <v>5</v>
      </c>
      <c r="E76" s="951">
        <v>12</v>
      </c>
      <c r="F76" s="951">
        <v>47</v>
      </c>
      <c r="G76" s="951">
        <v>31</v>
      </c>
      <c r="H76" s="951">
        <v>2</v>
      </c>
      <c r="I76" s="951">
        <f t="shared" si="5"/>
        <v>98</v>
      </c>
      <c r="J76" s="951">
        <v>1</v>
      </c>
      <c r="K76" s="951">
        <v>4</v>
      </c>
      <c r="L76" s="951">
        <v>23</v>
      </c>
      <c r="M76" s="951">
        <v>28</v>
      </c>
      <c r="N76" s="951">
        <v>15</v>
      </c>
      <c r="O76" s="951">
        <v>1</v>
      </c>
      <c r="P76" s="951">
        <f t="shared" si="9"/>
        <v>72</v>
      </c>
      <c r="Q76" s="952">
        <f t="shared" si="7"/>
        <v>170</v>
      </c>
    </row>
    <row r="77" spans="1:17" s="145" customFormat="1" x14ac:dyDescent="0.2">
      <c r="A77" s="145">
        <v>72</v>
      </c>
      <c r="B77" s="932" t="s">
        <v>643</v>
      </c>
      <c r="C77" s="951">
        <v>1</v>
      </c>
      <c r="D77" s="951">
        <v>3</v>
      </c>
      <c r="E77" s="951">
        <v>9</v>
      </c>
      <c r="F77" s="951">
        <v>50</v>
      </c>
      <c r="G77" s="951">
        <v>25</v>
      </c>
      <c r="H77" s="951">
        <v>1</v>
      </c>
      <c r="I77" s="951">
        <f t="shared" si="5"/>
        <v>89</v>
      </c>
      <c r="J77" s="951">
        <v>1</v>
      </c>
      <c r="K77" s="951">
        <v>8</v>
      </c>
      <c r="L77" s="951">
        <v>27</v>
      </c>
      <c r="M77" s="951">
        <v>39</v>
      </c>
      <c r="N77" s="951">
        <v>25</v>
      </c>
      <c r="O77" s="951">
        <v>1</v>
      </c>
      <c r="P77" s="951">
        <f t="shared" si="9"/>
        <v>101</v>
      </c>
      <c r="Q77" s="952">
        <f t="shared" si="7"/>
        <v>190</v>
      </c>
    </row>
    <row r="78" spans="1:17" s="145" customFormat="1" x14ac:dyDescent="0.2">
      <c r="A78" s="145">
        <v>73</v>
      </c>
      <c r="B78" s="932" t="s">
        <v>644</v>
      </c>
      <c r="C78" s="951"/>
      <c r="D78" s="951">
        <v>6</v>
      </c>
      <c r="E78" s="951">
        <v>16</v>
      </c>
      <c r="F78" s="951">
        <v>34</v>
      </c>
      <c r="G78" s="951">
        <v>14</v>
      </c>
      <c r="H78" s="951">
        <v>1</v>
      </c>
      <c r="I78" s="951">
        <f t="shared" si="5"/>
        <v>71</v>
      </c>
      <c r="J78" s="951">
        <v>2</v>
      </c>
      <c r="K78" s="951">
        <v>23</v>
      </c>
      <c r="L78" s="951">
        <v>25</v>
      </c>
      <c r="M78" s="951">
        <v>33</v>
      </c>
      <c r="N78" s="951">
        <v>28</v>
      </c>
      <c r="O78" s="951">
        <v>2</v>
      </c>
      <c r="P78" s="951">
        <f t="shared" si="9"/>
        <v>113</v>
      </c>
      <c r="Q78" s="952">
        <f t="shared" si="7"/>
        <v>184</v>
      </c>
    </row>
    <row r="79" spans="1:17" s="145" customFormat="1" x14ac:dyDescent="0.2">
      <c r="A79" s="145">
        <v>74</v>
      </c>
      <c r="B79" s="932" t="s">
        <v>645</v>
      </c>
      <c r="C79" s="951">
        <v>1</v>
      </c>
      <c r="D79" s="951">
        <v>8</v>
      </c>
      <c r="E79" s="951">
        <v>16</v>
      </c>
      <c r="F79" s="951">
        <v>64</v>
      </c>
      <c r="G79" s="951">
        <v>42</v>
      </c>
      <c r="H79" s="951">
        <v>1</v>
      </c>
      <c r="I79" s="951">
        <f t="shared" si="5"/>
        <v>132</v>
      </c>
      <c r="J79" s="951">
        <v>4</v>
      </c>
      <c r="K79" s="951">
        <v>8</v>
      </c>
      <c r="L79" s="951">
        <v>33</v>
      </c>
      <c r="M79" s="951">
        <v>33</v>
      </c>
      <c r="N79" s="951">
        <v>18</v>
      </c>
      <c r="O79" s="951">
        <v>3</v>
      </c>
      <c r="P79" s="951">
        <f t="shared" si="9"/>
        <v>99</v>
      </c>
      <c r="Q79" s="952">
        <f t="shared" si="7"/>
        <v>231</v>
      </c>
    </row>
    <row r="80" spans="1:17" s="145" customFormat="1" x14ac:dyDescent="0.2">
      <c r="A80" s="145">
        <v>75</v>
      </c>
      <c r="B80" s="932" t="s">
        <v>646</v>
      </c>
      <c r="C80" s="951"/>
      <c r="D80" s="951">
        <v>3</v>
      </c>
      <c r="E80" s="951">
        <v>10</v>
      </c>
      <c r="F80" s="951">
        <v>28</v>
      </c>
      <c r="G80" s="951">
        <v>18</v>
      </c>
      <c r="H80" s="951">
        <v>3</v>
      </c>
      <c r="I80" s="951">
        <f t="shared" si="5"/>
        <v>62</v>
      </c>
      <c r="J80" s="951"/>
      <c r="K80" s="951">
        <v>9</v>
      </c>
      <c r="L80" s="951">
        <v>18</v>
      </c>
      <c r="M80" s="951">
        <v>19</v>
      </c>
      <c r="N80" s="951">
        <v>18</v>
      </c>
      <c r="O80" s="951">
        <v>1</v>
      </c>
      <c r="P80" s="951">
        <f t="shared" si="9"/>
        <v>65</v>
      </c>
      <c r="Q80" s="952">
        <f t="shared" si="7"/>
        <v>127</v>
      </c>
    </row>
    <row r="81" spans="1:17" s="145" customFormat="1" x14ac:dyDescent="0.2">
      <c r="A81" s="145">
        <v>76</v>
      </c>
      <c r="B81" s="932" t="s">
        <v>647</v>
      </c>
      <c r="C81" s="951"/>
      <c r="D81" s="951">
        <v>3</v>
      </c>
      <c r="E81" s="951">
        <v>14</v>
      </c>
      <c r="F81" s="951">
        <v>27</v>
      </c>
      <c r="G81" s="951">
        <v>7</v>
      </c>
      <c r="H81" s="951">
        <v>1</v>
      </c>
      <c r="I81" s="951">
        <f t="shared" si="5"/>
        <v>52</v>
      </c>
      <c r="J81" s="951">
        <v>1</v>
      </c>
      <c r="K81" s="951">
        <v>7</v>
      </c>
      <c r="L81" s="951">
        <v>12</v>
      </c>
      <c r="M81" s="951">
        <v>19</v>
      </c>
      <c r="N81" s="951">
        <v>14</v>
      </c>
      <c r="O81" s="951"/>
      <c r="P81" s="951">
        <f t="shared" si="9"/>
        <v>53</v>
      </c>
      <c r="Q81" s="952">
        <f t="shared" si="7"/>
        <v>105</v>
      </c>
    </row>
    <row r="82" spans="1:17" s="145" customFormat="1" ht="18" thickBot="1" x14ac:dyDescent="0.25">
      <c r="B82" s="941" t="s">
        <v>648</v>
      </c>
      <c r="C82" s="953"/>
      <c r="D82" s="953"/>
      <c r="E82" s="953"/>
      <c r="F82" s="953"/>
      <c r="G82" s="953"/>
      <c r="H82" s="953"/>
      <c r="I82" s="953">
        <f t="shared" si="5"/>
        <v>0</v>
      </c>
      <c r="J82" s="953"/>
      <c r="K82" s="953"/>
      <c r="L82" s="953"/>
      <c r="M82" s="953"/>
      <c r="N82" s="953"/>
      <c r="O82" s="953"/>
      <c r="P82" s="953">
        <f t="shared" si="9"/>
        <v>0</v>
      </c>
      <c r="Q82" s="952">
        <f t="shared" si="7"/>
        <v>0</v>
      </c>
    </row>
    <row r="83" spans="1:17" s="145" customFormat="1" ht="18" thickBot="1" x14ac:dyDescent="0.25">
      <c r="B83" s="936" t="s">
        <v>649</v>
      </c>
      <c r="C83" s="948">
        <f>SUM(C84:C89)</f>
        <v>4</v>
      </c>
      <c r="D83" s="948">
        <f t="shared" ref="D83:O83" si="10">SUM(D84:D89)</f>
        <v>43</v>
      </c>
      <c r="E83" s="948">
        <f t="shared" si="10"/>
        <v>84</v>
      </c>
      <c r="F83" s="948">
        <f t="shared" si="10"/>
        <v>262</v>
      </c>
      <c r="G83" s="948">
        <f t="shared" si="10"/>
        <v>170</v>
      </c>
      <c r="H83" s="948">
        <f t="shared" si="10"/>
        <v>33</v>
      </c>
      <c r="I83" s="948">
        <f t="shared" si="10"/>
        <v>596</v>
      </c>
      <c r="J83" s="948">
        <f t="shared" si="10"/>
        <v>25</v>
      </c>
      <c r="K83" s="948">
        <f t="shared" si="10"/>
        <v>49</v>
      </c>
      <c r="L83" s="948">
        <f t="shared" si="10"/>
        <v>93</v>
      </c>
      <c r="M83" s="948">
        <f t="shared" si="10"/>
        <v>175</v>
      </c>
      <c r="N83" s="948">
        <f t="shared" si="10"/>
        <v>97</v>
      </c>
      <c r="O83" s="948">
        <f t="shared" si="10"/>
        <v>19</v>
      </c>
      <c r="P83" s="948">
        <f>SUM(P84:P89)</f>
        <v>458</v>
      </c>
      <c r="Q83" s="948">
        <f>SUM(I83,P83)</f>
        <v>1054</v>
      </c>
    </row>
    <row r="84" spans="1:17" s="145" customFormat="1" x14ac:dyDescent="0.2">
      <c r="A84" s="145">
        <v>80</v>
      </c>
      <c r="B84" s="937" t="s">
        <v>650</v>
      </c>
      <c r="C84" s="949"/>
      <c r="D84" s="949"/>
      <c r="E84" s="949">
        <v>2</v>
      </c>
      <c r="F84" s="949">
        <v>2</v>
      </c>
      <c r="G84" s="949">
        <v>4</v>
      </c>
      <c r="H84" s="949">
        <v>1</v>
      </c>
      <c r="I84" s="949">
        <f t="shared" si="5"/>
        <v>9</v>
      </c>
      <c r="J84" s="949">
        <v>3</v>
      </c>
      <c r="K84" s="949">
        <v>2</v>
      </c>
      <c r="L84" s="949">
        <v>7</v>
      </c>
      <c r="M84" s="949">
        <v>4</v>
      </c>
      <c r="N84" s="949">
        <v>1</v>
      </c>
      <c r="O84" s="949">
        <v>1</v>
      </c>
      <c r="P84" s="949">
        <f>SUM(J84:O84)</f>
        <v>18</v>
      </c>
      <c r="Q84" s="950">
        <f t="shared" si="7"/>
        <v>27</v>
      </c>
    </row>
    <row r="85" spans="1:17" s="145" customFormat="1" x14ac:dyDescent="0.2">
      <c r="A85" s="145">
        <v>81</v>
      </c>
      <c r="B85" s="938" t="s">
        <v>651</v>
      </c>
      <c r="C85" s="951"/>
      <c r="D85" s="951">
        <v>9</v>
      </c>
      <c r="E85" s="951">
        <v>6</v>
      </c>
      <c r="F85" s="951">
        <v>34</v>
      </c>
      <c r="G85" s="951">
        <v>17</v>
      </c>
      <c r="H85" s="951">
        <v>6</v>
      </c>
      <c r="I85" s="951">
        <f t="shared" si="5"/>
        <v>72</v>
      </c>
      <c r="J85" s="951">
        <v>3</v>
      </c>
      <c r="K85" s="951">
        <v>9</v>
      </c>
      <c r="L85" s="951">
        <v>12</v>
      </c>
      <c r="M85" s="951">
        <v>26</v>
      </c>
      <c r="N85" s="951">
        <v>17</v>
      </c>
      <c r="O85" s="951"/>
      <c r="P85" s="951">
        <f t="shared" ref="P85:P90" si="11">SUM(J85:O85)</f>
        <v>67</v>
      </c>
      <c r="Q85" s="952">
        <f t="shared" si="7"/>
        <v>139</v>
      </c>
    </row>
    <row r="86" spans="1:17" s="145" customFormat="1" x14ac:dyDescent="0.2">
      <c r="A86" s="145">
        <v>82</v>
      </c>
      <c r="B86" s="938" t="s">
        <v>652</v>
      </c>
      <c r="C86" s="951">
        <v>2</v>
      </c>
      <c r="D86" s="951">
        <v>11</v>
      </c>
      <c r="E86" s="951">
        <v>15</v>
      </c>
      <c r="F86" s="951">
        <v>26</v>
      </c>
      <c r="G86" s="951">
        <v>23</v>
      </c>
      <c r="H86" s="951">
        <v>8</v>
      </c>
      <c r="I86" s="951">
        <f t="shared" si="5"/>
        <v>85</v>
      </c>
      <c r="J86" s="951">
        <v>4</v>
      </c>
      <c r="K86" s="951">
        <v>9</v>
      </c>
      <c r="L86" s="951">
        <v>19</v>
      </c>
      <c r="M86" s="951">
        <v>27</v>
      </c>
      <c r="N86" s="951">
        <v>18</v>
      </c>
      <c r="O86" s="951">
        <v>4</v>
      </c>
      <c r="P86" s="951">
        <f t="shared" si="11"/>
        <v>81</v>
      </c>
      <c r="Q86" s="952">
        <f t="shared" si="7"/>
        <v>166</v>
      </c>
    </row>
    <row r="87" spans="1:17" s="145" customFormat="1" x14ac:dyDescent="0.2">
      <c r="A87" s="145">
        <v>83</v>
      </c>
      <c r="B87" s="938" t="s">
        <v>653</v>
      </c>
      <c r="C87" s="951">
        <v>1</v>
      </c>
      <c r="D87" s="951">
        <v>12</v>
      </c>
      <c r="E87" s="951">
        <v>31</v>
      </c>
      <c r="F87" s="951">
        <v>118</v>
      </c>
      <c r="G87" s="951">
        <v>78</v>
      </c>
      <c r="H87" s="951">
        <v>14</v>
      </c>
      <c r="I87" s="951">
        <f t="shared" si="5"/>
        <v>254</v>
      </c>
      <c r="J87" s="951">
        <v>9</v>
      </c>
      <c r="K87" s="951">
        <v>21</v>
      </c>
      <c r="L87" s="951">
        <v>30</v>
      </c>
      <c r="M87" s="951">
        <v>72</v>
      </c>
      <c r="N87" s="951">
        <v>41</v>
      </c>
      <c r="O87" s="951">
        <v>11</v>
      </c>
      <c r="P87" s="951">
        <f t="shared" si="11"/>
        <v>184</v>
      </c>
      <c r="Q87" s="952">
        <f t="shared" si="7"/>
        <v>438</v>
      </c>
    </row>
    <row r="88" spans="1:17" s="145" customFormat="1" x14ac:dyDescent="0.2">
      <c r="A88" s="145">
        <v>84</v>
      </c>
      <c r="B88" s="938" t="s">
        <v>654</v>
      </c>
      <c r="C88" s="951"/>
      <c r="D88" s="951">
        <v>4</v>
      </c>
      <c r="E88" s="951">
        <v>20</v>
      </c>
      <c r="F88" s="951">
        <v>57</v>
      </c>
      <c r="G88" s="951">
        <v>28</v>
      </c>
      <c r="H88" s="951">
        <v>1</v>
      </c>
      <c r="I88" s="951">
        <f t="shared" si="5"/>
        <v>110</v>
      </c>
      <c r="J88" s="951">
        <v>4</v>
      </c>
      <c r="K88" s="951">
        <v>2</v>
      </c>
      <c r="L88" s="951">
        <v>16</v>
      </c>
      <c r="M88" s="951">
        <v>25</v>
      </c>
      <c r="N88" s="951">
        <v>13</v>
      </c>
      <c r="O88" s="951">
        <v>1</v>
      </c>
      <c r="P88" s="951">
        <f t="shared" si="11"/>
        <v>61</v>
      </c>
      <c r="Q88" s="952">
        <f t="shared" si="7"/>
        <v>171</v>
      </c>
    </row>
    <row r="89" spans="1:17" s="145" customFormat="1" ht="18" thickBot="1" x14ac:dyDescent="0.25">
      <c r="A89" s="145">
        <v>85</v>
      </c>
      <c r="B89" s="942" t="s">
        <v>18</v>
      </c>
      <c r="C89" s="954">
        <v>1</v>
      </c>
      <c r="D89" s="954">
        <v>7</v>
      </c>
      <c r="E89" s="954">
        <v>10</v>
      </c>
      <c r="F89" s="954">
        <v>25</v>
      </c>
      <c r="G89" s="954">
        <v>20</v>
      </c>
      <c r="H89" s="954">
        <v>3</v>
      </c>
      <c r="I89" s="954">
        <f t="shared" si="5"/>
        <v>66</v>
      </c>
      <c r="J89" s="954">
        <v>2</v>
      </c>
      <c r="K89" s="954">
        <v>6</v>
      </c>
      <c r="L89" s="954">
        <v>9</v>
      </c>
      <c r="M89" s="954">
        <v>21</v>
      </c>
      <c r="N89" s="954">
        <v>7</v>
      </c>
      <c r="O89" s="954">
        <v>2</v>
      </c>
      <c r="P89" s="954">
        <f t="shared" si="11"/>
        <v>47</v>
      </c>
      <c r="Q89" s="955">
        <f t="shared" si="7"/>
        <v>113</v>
      </c>
    </row>
    <row r="90" spans="1:17" s="145" customFormat="1" ht="18" thickBot="1" x14ac:dyDescent="0.25">
      <c r="A90" s="145">
        <v>99</v>
      </c>
      <c r="B90" s="936" t="s">
        <v>346</v>
      </c>
      <c r="C90" s="956"/>
      <c r="D90" s="956">
        <v>1</v>
      </c>
      <c r="E90" s="956">
        <v>12</v>
      </c>
      <c r="F90" s="956">
        <v>17</v>
      </c>
      <c r="G90" s="956">
        <v>4</v>
      </c>
      <c r="H90" s="956">
        <v>4</v>
      </c>
      <c r="I90" s="956">
        <f t="shared" si="5"/>
        <v>38</v>
      </c>
      <c r="J90" s="956">
        <v>3</v>
      </c>
      <c r="K90" s="956">
        <v>1</v>
      </c>
      <c r="L90" s="956">
        <v>2</v>
      </c>
      <c r="M90" s="956">
        <v>9</v>
      </c>
      <c r="N90" s="956">
        <v>5</v>
      </c>
      <c r="O90" s="956"/>
      <c r="P90" s="956">
        <f t="shared" si="11"/>
        <v>20</v>
      </c>
      <c r="Q90" s="948">
        <f t="shared" si="7"/>
        <v>58</v>
      </c>
    </row>
    <row r="91" spans="1:17" s="145" customFormat="1" x14ac:dyDescent="0.2">
      <c r="B91" s="943" t="s">
        <v>11</v>
      </c>
      <c r="C91" s="944">
        <f>SUM(C5:C45,C49:C72,C75:C81,C84:C89,C90)</f>
        <v>40</v>
      </c>
      <c r="D91" s="944">
        <f t="shared" ref="D91:O91" si="12">SUM(D5:D45,D49:D72,D75:D81,D84:D89,D90)</f>
        <v>485</v>
      </c>
      <c r="E91" s="944">
        <f t="shared" si="12"/>
        <v>1276</v>
      </c>
      <c r="F91" s="944">
        <f>SUM(F5:F45,F49:F72,F75:F81,F84:F89,F90)</f>
        <v>3292</v>
      </c>
      <c r="G91" s="944">
        <f>SUM(G5:G45,G49:G72,G75:G81,G84:G89,G90)</f>
        <v>2039</v>
      </c>
      <c r="H91" s="944">
        <f>SUM(H5:H45,H49:H72,H75:H81,H84:H89,H90)</f>
        <v>301</v>
      </c>
      <c r="I91" s="944">
        <f>SUM(I5:I45,I49:I72,I75:I81,I84:I89,I90)</f>
        <v>7433</v>
      </c>
      <c r="J91" s="944">
        <f t="shared" si="12"/>
        <v>260</v>
      </c>
      <c r="K91" s="944">
        <f t="shared" si="12"/>
        <v>876</v>
      </c>
      <c r="L91" s="944">
        <f t="shared" si="12"/>
        <v>1539</v>
      </c>
      <c r="M91" s="944">
        <f t="shared" si="12"/>
        <v>2347</v>
      </c>
      <c r="N91" s="944">
        <f t="shared" si="12"/>
        <v>1308</v>
      </c>
      <c r="O91" s="944">
        <f t="shared" si="12"/>
        <v>244</v>
      </c>
      <c r="P91" s="944">
        <f>SUM(P5:P45,P49:P72,P75:P81,P84:P89,P90)</f>
        <v>6574</v>
      </c>
      <c r="Q91" s="944">
        <f>SUM(Q5:Q45,Q49:Q73,Q75:Q82,Q84:Q89,Q90)</f>
        <v>14007</v>
      </c>
    </row>
  </sheetData>
  <mergeCells count="6">
    <mergeCell ref="C3:I3"/>
    <mergeCell ref="J3:P3"/>
    <mergeCell ref="Q3:Q4"/>
    <mergeCell ref="C46:I46"/>
    <mergeCell ref="J46:P46"/>
    <mergeCell ref="Q46:Q47"/>
  </mergeCells>
  <phoneticPr fontId="2"/>
  <printOptions horizontalCentered="1"/>
  <pageMargins left="0.70866141732283472" right="0.70866141732283472" top="0.74803149606299213" bottom="0.74803149606299213" header="0.31496062992125984" footer="0.31496062992125984"/>
  <pageSetup paperSize="9" scale="93" fitToWidth="0" fitToHeight="0" orientation="portrait" r:id="rId1"/>
  <rowBreaks count="1" manualBreakCount="1">
    <brk id="45" min="1"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5473" r:id="rId4" name="Button 1">
              <controlPr defaultSize="0" print="0" autoFill="0" autoPict="0" macro="[0]!データ削除_入院時住所地">
                <anchor moveWithCells="1" sizeWithCells="1">
                  <from>
                    <xdr:col>18</xdr:col>
                    <xdr:colOff>373380</xdr:colOff>
                    <xdr:row>1</xdr:row>
                    <xdr:rowOff>106680</xdr:rowOff>
                  </from>
                  <to>
                    <xdr:col>22</xdr:col>
                    <xdr:colOff>556260</xdr:colOff>
                    <xdr:row>3</xdr:row>
                    <xdr:rowOff>106680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6" tint="-0.249977111117893"/>
    <pageSetUpPr fitToPage="1"/>
  </sheetPr>
  <dimension ref="A1:X63"/>
  <sheetViews>
    <sheetView showGridLines="0" view="pageBreakPreview" zoomScale="80" zoomScaleNormal="100" zoomScaleSheetLayoutView="80" workbookViewId="0"/>
  </sheetViews>
  <sheetFormatPr defaultColWidth="9" defaultRowHeight="18.75" customHeight="1" x14ac:dyDescent="0.2"/>
  <cols>
    <col min="1" max="1" width="3.21875" style="1" customWidth="1"/>
    <col min="2" max="2" width="52.44140625" style="1" customWidth="1"/>
    <col min="3" max="3" width="9.33203125" style="1" customWidth="1"/>
    <col min="4" max="4" width="10.5546875" style="1" bestFit="1" customWidth="1"/>
    <col min="5" max="5" width="4.109375" style="1" customWidth="1"/>
    <col min="6" max="6" width="3.21875" style="1" customWidth="1"/>
    <col min="7" max="7" width="52.5546875" style="1" customWidth="1"/>
    <col min="8" max="10" width="9.33203125" style="1" customWidth="1"/>
    <col min="11" max="11" width="10.21875" style="1" customWidth="1"/>
    <col min="12" max="12" width="5" style="1" customWidth="1"/>
    <col min="13" max="13" width="71" style="1" hidden="1" customWidth="1"/>
    <col min="14" max="14" width="7.33203125" style="1" hidden="1" customWidth="1"/>
    <col min="15" max="15" width="4.5546875" style="1" hidden="1" customWidth="1"/>
    <col min="16" max="17" width="8.44140625" style="1" hidden="1" customWidth="1"/>
    <col min="18" max="18" width="5.6640625" style="1" hidden="1" customWidth="1"/>
    <col min="19" max="20" width="9" style="1" hidden="1" customWidth="1"/>
    <col min="21" max="21" width="11.88671875" style="1" hidden="1" customWidth="1"/>
    <col min="22" max="22" width="9" style="1" hidden="1" customWidth="1"/>
    <col min="23" max="34" width="0" style="1" hidden="1" customWidth="1"/>
    <col min="35" max="16384" width="9" style="1"/>
  </cols>
  <sheetData>
    <row r="1" spans="1:24" s="3" customFormat="1" ht="18.75" customHeight="1" x14ac:dyDescent="0.2">
      <c r="A1" s="2" t="s">
        <v>109</v>
      </c>
      <c r="B1" s="2"/>
      <c r="O1" s="12"/>
      <c r="W1" s="12"/>
    </row>
    <row r="2" spans="1:24" ht="18.75" customHeight="1" x14ac:dyDescent="0.2">
      <c r="A2" s="4"/>
      <c r="B2" s="4"/>
      <c r="M2" s="678" t="s">
        <v>62</v>
      </c>
      <c r="N2" s="32"/>
      <c r="T2" s="20"/>
      <c r="U2" s="20"/>
      <c r="W2" s="12"/>
    </row>
    <row r="3" spans="1:24" s="3" customFormat="1" ht="18.75" customHeight="1" thickBot="1" x14ac:dyDescent="0.25">
      <c r="A3" s="4" t="s">
        <v>13</v>
      </c>
      <c r="B3" s="4"/>
      <c r="F3" s="4" t="s">
        <v>105</v>
      </c>
      <c r="G3" s="4"/>
      <c r="M3" s="303" t="s">
        <v>261</v>
      </c>
      <c r="N3" s="302" t="s">
        <v>0</v>
      </c>
      <c r="O3" s="1"/>
      <c r="P3" s="303" t="s">
        <v>261</v>
      </c>
      <c r="Q3" s="302" t="s">
        <v>28</v>
      </c>
      <c r="S3" s="236" t="s">
        <v>261</v>
      </c>
      <c r="T3" s="302" t="s">
        <v>29</v>
      </c>
      <c r="U3" s="23"/>
    </row>
    <row r="4" spans="1:24" ht="18.75" customHeight="1" thickTop="1" thickBot="1" x14ac:dyDescent="0.25">
      <c r="A4" s="169"/>
      <c r="B4" s="170"/>
      <c r="C4" s="176" t="s">
        <v>0</v>
      </c>
      <c r="D4" s="176" t="s">
        <v>1</v>
      </c>
      <c r="F4" s="185"/>
      <c r="G4" s="186"/>
      <c r="H4" s="176" t="s">
        <v>106</v>
      </c>
      <c r="I4" s="176" t="s">
        <v>107</v>
      </c>
      <c r="J4" s="176" t="s">
        <v>12</v>
      </c>
      <c r="K4" s="176" t="s">
        <v>1</v>
      </c>
      <c r="M4" s="258" t="s">
        <v>655</v>
      </c>
      <c r="N4" s="22" t="s">
        <v>672</v>
      </c>
      <c r="O4" s="3"/>
      <c r="P4" s="258" t="s">
        <v>655</v>
      </c>
      <c r="Q4" s="22" t="s">
        <v>672</v>
      </c>
      <c r="S4" s="258" t="s">
        <v>655</v>
      </c>
      <c r="T4" s="22" t="s">
        <v>672</v>
      </c>
      <c r="W4" s="42" t="s">
        <v>273</v>
      </c>
      <c r="X4" s="250" t="s">
        <v>302</v>
      </c>
    </row>
    <row r="5" spans="1:24" ht="18.75" customHeight="1" thickTop="1" x14ac:dyDescent="0.2">
      <c r="A5" s="973" t="s">
        <v>110</v>
      </c>
      <c r="B5" s="974"/>
      <c r="C5" s="470">
        <f>SUM(C6:C8)</f>
        <v>4186</v>
      </c>
      <c r="D5" s="482">
        <f>SUM(D6:D8)</f>
        <v>0.29885057471264365</v>
      </c>
      <c r="F5" s="970" t="s">
        <v>110</v>
      </c>
      <c r="G5" s="971"/>
      <c r="H5" s="476">
        <f t="shared" ref="H5:I5" si="0">SUM(H6:H8)</f>
        <v>41</v>
      </c>
      <c r="I5" s="470">
        <f t="shared" si="0"/>
        <v>241</v>
      </c>
      <c r="J5" s="470">
        <f>SUM(H5:I5)</f>
        <v>282</v>
      </c>
      <c r="K5" s="469">
        <f t="shared" ref="K5:K20" si="1">IFERROR(J5/J$21,"-")</f>
        <v>0.16977724262492475</v>
      </c>
      <c r="M5" s="30" t="s">
        <v>273</v>
      </c>
      <c r="N5" s="101">
        <v>2211</v>
      </c>
      <c r="P5" s="30" t="s">
        <v>273</v>
      </c>
      <c r="Q5" s="101">
        <v>24</v>
      </c>
      <c r="S5" s="30" t="s">
        <v>273</v>
      </c>
      <c r="T5" s="101">
        <v>99</v>
      </c>
      <c r="W5" s="42" t="s">
        <v>262</v>
      </c>
      <c r="X5" s="250" t="s">
        <v>291</v>
      </c>
    </row>
    <row r="6" spans="1:24" ht="36.75" customHeight="1" x14ac:dyDescent="0.2">
      <c r="A6" s="171"/>
      <c r="B6" s="616" t="s">
        <v>111</v>
      </c>
      <c r="C6" s="547">
        <f>IFERROR(VLOOKUP($W4,疾患別[#All],2,FALSE),0)</f>
        <v>2211</v>
      </c>
      <c r="D6" s="484">
        <f t="shared" ref="D6:D20" si="2">IFERROR(C6/C$21,"-")</f>
        <v>0.15784964660526879</v>
      </c>
      <c r="F6" s="171"/>
      <c r="G6" s="617" t="s">
        <v>111</v>
      </c>
      <c r="H6" s="483">
        <f>IFERROR(VLOOKUP($W4,疾患別＿寛解[#All],2,FALSE),0)</f>
        <v>24</v>
      </c>
      <c r="I6" s="483">
        <f>IFERROR(VLOOKUP($W4,疾患別＿院内寛解[#All],2,FALSE),0)</f>
        <v>99</v>
      </c>
      <c r="J6" s="488">
        <f t="shared" ref="J6:J19" si="3">SUM(H6:I6)</f>
        <v>123</v>
      </c>
      <c r="K6" s="489">
        <f t="shared" si="1"/>
        <v>7.4051776038531011E-2</v>
      </c>
      <c r="M6" s="30" t="s">
        <v>262</v>
      </c>
      <c r="N6" s="101">
        <v>252</v>
      </c>
      <c r="P6" s="233" t="s">
        <v>262</v>
      </c>
      <c r="Q6" s="234">
        <v>1</v>
      </c>
      <c r="S6" s="30" t="s">
        <v>262</v>
      </c>
      <c r="T6" s="292">
        <v>14</v>
      </c>
      <c r="W6" s="42" t="s">
        <v>263</v>
      </c>
      <c r="X6" s="250" t="s">
        <v>292</v>
      </c>
    </row>
    <row r="7" spans="1:24" ht="18.75" customHeight="1" x14ac:dyDescent="0.2">
      <c r="A7" s="171"/>
      <c r="B7" s="174" t="s">
        <v>112</v>
      </c>
      <c r="C7" s="615">
        <f>IFERROR(VLOOKUP($W5,疾患別[#All],2,FALSE),0)</f>
        <v>252</v>
      </c>
      <c r="D7" s="485">
        <f t="shared" si="2"/>
        <v>1.7991004497751123E-2</v>
      </c>
      <c r="F7" s="171"/>
      <c r="G7" s="174" t="s">
        <v>98</v>
      </c>
      <c r="H7" s="490">
        <f>IFERROR(VLOOKUP($W5,疾患別＿寛解[#All],2,FALSE),0)</f>
        <v>1</v>
      </c>
      <c r="I7" s="490">
        <f>IFERROR(VLOOKUP($W5,疾患別＿院内寛解[#All],2,FALSE),0)</f>
        <v>14</v>
      </c>
      <c r="J7" s="491">
        <f t="shared" si="3"/>
        <v>15</v>
      </c>
      <c r="K7" s="492">
        <f t="shared" si="1"/>
        <v>9.0307043949428064E-3</v>
      </c>
      <c r="M7" s="30" t="s">
        <v>263</v>
      </c>
      <c r="N7" s="101">
        <v>1723</v>
      </c>
      <c r="P7" s="231" t="s">
        <v>263</v>
      </c>
      <c r="Q7" s="232">
        <v>16</v>
      </c>
      <c r="S7" s="30" t="s">
        <v>263</v>
      </c>
      <c r="T7" s="292">
        <v>128</v>
      </c>
      <c r="W7" s="42" t="s">
        <v>264</v>
      </c>
      <c r="X7" s="250" t="s">
        <v>293</v>
      </c>
    </row>
    <row r="8" spans="1:24" ht="37.5" customHeight="1" x14ac:dyDescent="0.2">
      <c r="A8" s="172"/>
      <c r="B8" s="175" t="s">
        <v>19</v>
      </c>
      <c r="C8" s="614">
        <f>IFERROR(VLOOKUP($W6,疾患別[#All],2,FALSE),0)</f>
        <v>1723</v>
      </c>
      <c r="D8" s="486">
        <f t="shared" si="2"/>
        <v>0.12300992360962376</v>
      </c>
      <c r="F8" s="189"/>
      <c r="G8" s="379" t="s">
        <v>395</v>
      </c>
      <c r="H8" s="493">
        <f>IFERROR(VLOOKUP($W6,疾患別＿寛解[#All],2,FALSE),0)</f>
        <v>16</v>
      </c>
      <c r="I8" s="493">
        <f>IFERROR(VLOOKUP($W6,疾患別＿院内寛解[#All],2,FALSE),0)</f>
        <v>128</v>
      </c>
      <c r="J8" s="494">
        <f t="shared" si="3"/>
        <v>144</v>
      </c>
      <c r="K8" s="495">
        <f t="shared" si="1"/>
        <v>8.6694762191450933E-2</v>
      </c>
      <c r="M8" s="30" t="s">
        <v>264</v>
      </c>
      <c r="N8" s="101">
        <v>613</v>
      </c>
      <c r="P8" s="233" t="s">
        <v>264</v>
      </c>
      <c r="Q8" s="234">
        <v>40</v>
      </c>
      <c r="S8" s="30" t="s">
        <v>264</v>
      </c>
      <c r="T8" s="292">
        <v>159</v>
      </c>
      <c r="W8" s="42" t="s">
        <v>289</v>
      </c>
      <c r="X8" s="250" t="s">
        <v>294</v>
      </c>
    </row>
    <row r="9" spans="1:24" ht="18.75" customHeight="1" x14ac:dyDescent="0.2">
      <c r="A9" s="968" t="s">
        <v>20</v>
      </c>
      <c r="B9" s="969"/>
      <c r="C9" s="476">
        <f>IFERROR(VLOOKUP($W7,疾患別[#All],2,FALSE),0)+IFERROR(VLOOKUP($W8,疾患別[#All],2,FALSE),0)+IFERROR(VLOOKUP($W9,疾患別[#All],2,FALSE),0)</f>
        <v>746</v>
      </c>
      <c r="D9" s="487">
        <f t="shared" si="2"/>
        <v>5.3259084743342615E-2</v>
      </c>
      <c r="F9" s="972" t="s">
        <v>20</v>
      </c>
      <c r="G9" s="971"/>
      <c r="H9" s="476">
        <f>IFERROR(VLOOKUP($W7,疾患別＿寛解[#All],2,FALSE),0)+IFERROR(VLOOKUP($W8,疾患別＿寛解[#All],2,FALSE),0)+IFERROR(VLOOKUP($W9,疾患別＿寛解[#All],2,FALSE),0)</f>
        <v>43</v>
      </c>
      <c r="I9" s="476">
        <f>IFERROR(VLOOKUP($W7,疾患別＿院内寛解[#All],2,FALSE),0)+IFERROR(VLOOKUP($W8,疾患別＿院内寛解[#All],2,FALSE),0)+IFERROR(VLOOKUP($W9,疾患別＿院内寛解[#All],2,FALSE),0)</f>
        <v>183</v>
      </c>
      <c r="J9" s="470">
        <f t="shared" si="3"/>
        <v>226</v>
      </c>
      <c r="K9" s="475">
        <f t="shared" si="1"/>
        <v>0.13606261288380495</v>
      </c>
      <c r="M9" s="59" t="s">
        <v>188</v>
      </c>
      <c r="N9" s="101">
        <v>55</v>
      </c>
      <c r="P9" s="231" t="s">
        <v>188</v>
      </c>
      <c r="Q9" s="232">
        <v>2</v>
      </c>
      <c r="S9" s="30" t="s">
        <v>188</v>
      </c>
      <c r="T9" s="292">
        <v>7</v>
      </c>
      <c r="W9" s="42" t="s">
        <v>290</v>
      </c>
      <c r="X9" s="250" t="s">
        <v>295</v>
      </c>
    </row>
    <row r="10" spans="1:24" ht="18.75" customHeight="1" x14ac:dyDescent="0.2">
      <c r="A10" s="968" t="s">
        <v>253</v>
      </c>
      <c r="B10" s="969"/>
      <c r="C10" s="476">
        <f>IFERROR(VLOOKUP($W10,疾患別[#All],2,FALSE),0)</f>
        <v>6451</v>
      </c>
      <c r="D10" s="487">
        <f t="shared" si="2"/>
        <v>0.46055543656743059</v>
      </c>
      <c r="F10" s="972" t="s">
        <v>253</v>
      </c>
      <c r="G10" s="971"/>
      <c r="H10" s="476">
        <f>IFERROR(VLOOKUP($W10,疾患別＿寛解[#All],2,FALSE),0)</f>
        <v>96</v>
      </c>
      <c r="I10" s="476">
        <f>IFERROR(VLOOKUP($W10,疾患別＿院内寛解[#All],2,FALSE),0)</f>
        <v>610</v>
      </c>
      <c r="J10" s="470">
        <f t="shared" si="3"/>
        <v>706</v>
      </c>
      <c r="K10" s="475">
        <f t="shared" si="1"/>
        <v>0.42504515352197469</v>
      </c>
      <c r="M10" s="30" t="s">
        <v>189</v>
      </c>
      <c r="N10" s="101">
        <v>78</v>
      </c>
      <c r="P10" s="233" t="s">
        <v>189</v>
      </c>
      <c r="Q10" s="234">
        <v>1</v>
      </c>
      <c r="S10" s="30" t="s">
        <v>189</v>
      </c>
      <c r="T10" s="292">
        <v>17</v>
      </c>
      <c r="W10" s="42" t="s">
        <v>265</v>
      </c>
      <c r="X10" s="250" t="s">
        <v>296</v>
      </c>
    </row>
    <row r="11" spans="1:24" ht="18.75" customHeight="1" x14ac:dyDescent="0.2">
      <c r="A11" s="968" t="s">
        <v>22</v>
      </c>
      <c r="B11" s="969"/>
      <c r="C11" s="476">
        <f>IFERROR(VLOOKUP($W11,疾患別[#All],2,FALSE),0)+IFERROR(VLOOKUP($W12,疾患別[#All],2,FALSE),0)</f>
        <v>1663</v>
      </c>
      <c r="D11" s="487">
        <f t="shared" si="2"/>
        <v>0.11872635111015921</v>
      </c>
      <c r="F11" s="972" t="s">
        <v>22</v>
      </c>
      <c r="G11" s="971"/>
      <c r="H11" s="476">
        <f>IFERROR(VLOOKUP($W11,疾患別＿寛解[#All],2,FALSE),0)+IFERROR(VLOOKUP($W12,疾患別＿寛解[#All],2,FALSE),0)</f>
        <v>79</v>
      </c>
      <c r="I11" s="476">
        <f>IFERROR(VLOOKUP($W11,疾患別＿院内寛解[#All],2,FALSE),0)+IFERROR(VLOOKUP($W12,疾患別＿院内寛解[#All],2,FALSE),0)</f>
        <v>223</v>
      </c>
      <c r="J11" s="470">
        <f t="shared" si="3"/>
        <v>302</v>
      </c>
      <c r="K11" s="475">
        <f t="shared" si="1"/>
        <v>0.18181818181818182</v>
      </c>
      <c r="M11" s="30" t="s">
        <v>265</v>
      </c>
      <c r="N11" s="101">
        <v>6451</v>
      </c>
      <c r="P11" s="231" t="s">
        <v>265</v>
      </c>
      <c r="Q11" s="232">
        <v>96</v>
      </c>
      <c r="S11" s="30" t="s">
        <v>265</v>
      </c>
      <c r="T11" s="292">
        <v>610</v>
      </c>
      <c r="W11" s="42" t="s">
        <v>266</v>
      </c>
      <c r="X11" s="250" t="s">
        <v>297</v>
      </c>
    </row>
    <row r="12" spans="1:24" ht="18.75" customHeight="1" x14ac:dyDescent="0.2">
      <c r="A12" s="966" t="s">
        <v>99</v>
      </c>
      <c r="B12" s="967"/>
      <c r="C12" s="476">
        <f>IFERROR(VLOOKUP($W13,疾患別[#All],2,FALSE),0)</f>
        <v>247</v>
      </c>
      <c r="D12" s="487">
        <f t="shared" si="2"/>
        <v>1.7634040122795746E-2</v>
      </c>
      <c r="F12" s="977" t="s">
        <v>24</v>
      </c>
      <c r="G12" s="978"/>
      <c r="H12" s="476">
        <f>IFERROR(VLOOKUP($W13,疾患別＿寛解[#All],2,FALSE),0)</f>
        <v>13</v>
      </c>
      <c r="I12" s="476">
        <f>IFERROR(VLOOKUP($W13,疾患別＿院内寛解[#All],2,FALSE),0)</f>
        <v>37</v>
      </c>
      <c r="J12" s="470">
        <f t="shared" si="3"/>
        <v>50</v>
      </c>
      <c r="K12" s="475">
        <f t="shared" si="1"/>
        <v>3.0102347983142687E-2</v>
      </c>
      <c r="M12" s="30" t="s">
        <v>266</v>
      </c>
      <c r="N12" s="101">
        <v>639</v>
      </c>
      <c r="P12" s="233" t="s">
        <v>266</v>
      </c>
      <c r="Q12" s="234">
        <v>25</v>
      </c>
      <c r="S12" s="30" t="s">
        <v>266</v>
      </c>
      <c r="T12" s="292">
        <v>69</v>
      </c>
      <c r="W12" s="42" t="s">
        <v>267</v>
      </c>
      <c r="X12" s="250" t="s">
        <v>298</v>
      </c>
    </row>
    <row r="13" spans="1:24" ht="18.75" customHeight="1" x14ac:dyDescent="0.2">
      <c r="A13" s="966" t="s">
        <v>100</v>
      </c>
      <c r="B13" s="967"/>
      <c r="C13" s="476">
        <f>IFERROR(VLOOKUP($W14,疾患別[#All],2,FALSE),0)</f>
        <v>49</v>
      </c>
      <c r="D13" s="487">
        <f t="shared" si="2"/>
        <v>3.4982508745627187E-3</v>
      </c>
      <c r="F13" s="977" t="s">
        <v>25</v>
      </c>
      <c r="G13" s="978"/>
      <c r="H13" s="476">
        <f>IFERROR(VLOOKUP($W14,疾患別＿寛解[#All],2,FALSE),0)</f>
        <v>3</v>
      </c>
      <c r="I13" s="476">
        <f>IFERROR(VLOOKUP($W14,疾患別＿院内寛解[#All],2,FALSE),0)</f>
        <v>3</v>
      </c>
      <c r="J13" s="470">
        <f t="shared" si="3"/>
        <v>6</v>
      </c>
      <c r="K13" s="475">
        <f t="shared" si="1"/>
        <v>3.6122817579771222E-3</v>
      </c>
      <c r="M13" s="30" t="s">
        <v>267</v>
      </c>
      <c r="N13" s="101">
        <v>1024</v>
      </c>
      <c r="P13" s="231" t="s">
        <v>267</v>
      </c>
      <c r="Q13" s="232">
        <v>54</v>
      </c>
      <c r="S13" s="30" t="s">
        <v>267</v>
      </c>
      <c r="T13" s="292">
        <v>154</v>
      </c>
      <c r="W13" s="42" t="s">
        <v>268</v>
      </c>
      <c r="X13" s="250" t="s">
        <v>299</v>
      </c>
    </row>
    <row r="14" spans="1:24" ht="18.75" customHeight="1" x14ac:dyDescent="0.2">
      <c r="A14" s="968" t="s">
        <v>238</v>
      </c>
      <c r="B14" s="969"/>
      <c r="C14" s="476">
        <f>IFERROR(VLOOKUP($W15,疾患別[#All],2,FALSE),0)</f>
        <v>41</v>
      </c>
      <c r="D14" s="487">
        <f t="shared" si="2"/>
        <v>2.9271078746341116E-3</v>
      </c>
      <c r="F14" s="972" t="s">
        <v>238</v>
      </c>
      <c r="G14" s="971"/>
      <c r="H14" s="476">
        <f>IFERROR(VLOOKUP($W15,疾患別＿寛解[#All],2,FALSE),0)</f>
        <v>7</v>
      </c>
      <c r="I14" s="476">
        <f>IFERROR(VLOOKUP($W15,疾患別＿院内寛解[#All],2,FALSE),0)</f>
        <v>7</v>
      </c>
      <c r="J14" s="470">
        <f t="shared" si="3"/>
        <v>14</v>
      </c>
      <c r="K14" s="475">
        <f t="shared" si="1"/>
        <v>8.4286574352799518E-3</v>
      </c>
      <c r="M14" s="30" t="s">
        <v>268</v>
      </c>
      <c r="N14" s="101">
        <v>247</v>
      </c>
      <c r="P14" s="233" t="s">
        <v>268</v>
      </c>
      <c r="Q14" s="234">
        <v>13</v>
      </c>
      <c r="S14" s="30" t="s">
        <v>268</v>
      </c>
      <c r="T14" s="292">
        <v>37</v>
      </c>
      <c r="W14" s="42" t="s">
        <v>269</v>
      </c>
      <c r="X14" s="250" t="s">
        <v>300</v>
      </c>
    </row>
    <row r="15" spans="1:24" ht="18.75" customHeight="1" x14ac:dyDescent="0.2">
      <c r="A15" s="968" t="s">
        <v>239</v>
      </c>
      <c r="B15" s="969"/>
      <c r="C15" s="476">
        <f>IFERROR(VLOOKUP($W16,疾患別[#All],2,FALSE),0)</f>
        <v>280</v>
      </c>
      <c r="D15" s="487">
        <f t="shared" si="2"/>
        <v>1.999000499750125E-2</v>
      </c>
      <c r="F15" s="972" t="s">
        <v>239</v>
      </c>
      <c r="G15" s="971"/>
      <c r="H15" s="476">
        <f>IFERROR(VLOOKUP($W16,疾患別＿寛解[#All],2,FALSE),0)</f>
        <v>5</v>
      </c>
      <c r="I15" s="476">
        <f>IFERROR(VLOOKUP($W16,疾患別＿院内寛解[#All],2,FALSE),0)</f>
        <v>22</v>
      </c>
      <c r="J15" s="470">
        <f t="shared" si="3"/>
        <v>27</v>
      </c>
      <c r="K15" s="475">
        <f t="shared" si="1"/>
        <v>1.6255267910897049E-2</v>
      </c>
      <c r="M15" s="30" t="s">
        <v>269</v>
      </c>
      <c r="N15" s="101">
        <v>49</v>
      </c>
      <c r="P15" s="231" t="s">
        <v>269</v>
      </c>
      <c r="Q15" s="232">
        <v>3</v>
      </c>
      <c r="S15" s="30" t="s">
        <v>269</v>
      </c>
      <c r="T15" s="292">
        <v>3</v>
      </c>
      <c r="W15" s="42" t="s">
        <v>274</v>
      </c>
      <c r="X15" s="250" t="s">
        <v>301</v>
      </c>
    </row>
    <row r="16" spans="1:24" ht="18.75" customHeight="1" x14ac:dyDescent="0.2">
      <c r="A16" s="968" t="s">
        <v>23</v>
      </c>
      <c r="B16" s="969"/>
      <c r="C16" s="476">
        <f>IFERROR(VLOOKUP($W17,疾患別[#All],2,FALSE),0)</f>
        <v>188</v>
      </c>
      <c r="D16" s="487">
        <f t="shared" si="2"/>
        <v>1.3421860498322268E-2</v>
      </c>
      <c r="E16" s="92"/>
      <c r="F16" s="972" t="s">
        <v>23</v>
      </c>
      <c r="G16" s="971"/>
      <c r="H16" s="476">
        <f>IFERROR(VLOOKUP($W17,疾患別＿寛解[#All],2,FALSE),0)</f>
        <v>7</v>
      </c>
      <c r="I16" s="476">
        <f>IFERROR(VLOOKUP($W17,疾患別＿院内寛解[#All],2,FALSE),0)</f>
        <v>19</v>
      </c>
      <c r="J16" s="470">
        <f t="shared" si="3"/>
        <v>26</v>
      </c>
      <c r="K16" s="475">
        <f t="shared" si="1"/>
        <v>1.5653220951234198E-2</v>
      </c>
      <c r="M16" s="30" t="s">
        <v>274</v>
      </c>
      <c r="N16" s="101">
        <v>41</v>
      </c>
      <c r="P16" s="233" t="s">
        <v>274</v>
      </c>
      <c r="Q16" s="234">
        <v>7</v>
      </c>
      <c r="S16" s="30" t="s">
        <v>274</v>
      </c>
      <c r="T16" s="292">
        <v>7</v>
      </c>
      <c r="W16" s="42" t="s">
        <v>270</v>
      </c>
      <c r="X16" s="250" t="s">
        <v>348</v>
      </c>
    </row>
    <row r="17" spans="1:24" ht="18.75" customHeight="1" x14ac:dyDescent="0.2">
      <c r="A17" s="979" t="s">
        <v>240</v>
      </c>
      <c r="B17" s="980"/>
      <c r="C17" s="476">
        <f>IFERROR(VLOOKUP($W18,疾患別[#All],2,FALSE),0)</f>
        <v>49</v>
      </c>
      <c r="D17" s="487">
        <f t="shared" si="2"/>
        <v>3.4982508745627187E-3</v>
      </c>
      <c r="E17" s="26"/>
      <c r="F17" s="979" t="s">
        <v>240</v>
      </c>
      <c r="G17" s="980"/>
      <c r="H17" s="476">
        <f>IFERROR(VLOOKUP($W18,疾患別＿寛解[#All],2,FALSE),0)</f>
        <v>2</v>
      </c>
      <c r="I17" s="476">
        <f>IFERROR(VLOOKUP($W18,疾患別＿院内寛解[#All],2,FALSE),0)</f>
        <v>5</v>
      </c>
      <c r="J17" s="470">
        <f t="shared" si="3"/>
        <v>7</v>
      </c>
      <c r="K17" s="475">
        <f t="shared" si="1"/>
        <v>4.2143287176399759E-3</v>
      </c>
      <c r="M17" s="30" t="s">
        <v>270</v>
      </c>
      <c r="N17" s="101">
        <v>280</v>
      </c>
      <c r="P17" s="231" t="s">
        <v>270</v>
      </c>
      <c r="Q17" s="232">
        <v>5</v>
      </c>
      <c r="S17" s="30" t="s">
        <v>270</v>
      </c>
      <c r="T17" s="292">
        <v>22</v>
      </c>
      <c r="W17" s="42" t="s">
        <v>271</v>
      </c>
      <c r="X17" s="25"/>
    </row>
    <row r="18" spans="1:24" ht="18.75" customHeight="1" x14ac:dyDescent="0.2">
      <c r="A18" s="968" t="s">
        <v>113</v>
      </c>
      <c r="B18" s="969"/>
      <c r="C18" s="476">
        <f>IFERROR(VLOOKUP($W19,疾患別[#All],2,FALSE),0)</f>
        <v>24</v>
      </c>
      <c r="D18" s="487">
        <f t="shared" si="2"/>
        <v>1.7134289997858213E-3</v>
      </c>
      <c r="E18" s="92"/>
      <c r="F18" s="972" t="s">
        <v>113</v>
      </c>
      <c r="G18" s="971"/>
      <c r="H18" s="476">
        <f>IFERROR(VLOOKUP($W19,疾患別＿寛解[#All],2,FALSE),0)</f>
        <v>0</v>
      </c>
      <c r="I18" s="476">
        <f>IFERROR(VLOOKUP($W19,疾患別＿院内寛解[#All],2,FALSE),0)</f>
        <v>1</v>
      </c>
      <c r="J18" s="470">
        <f>SUM(H18:I18)</f>
        <v>1</v>
      </c>
      <c r="K18" s="475">
        <f t="shared" si="1"/>
        <v>6.020469596628537E-4</v>
      </c>
      <c r="M18" s="30" t="s">
        <v>271</v>
      </c>
      <c r="N18" s="101">
        <v>188</v>
      </c>
      <c r="P18" s="233" t="s">
        <v>271</v>
      </c>
      <c r="Q18" s="234">
        <v>7</v>
      </c>
      <c r="S18" s="30" t="s">
        <v>271</v>
      </c>
      <c r="T18" s="292">
        <v>19</v>
      </c>
      <c r="W18" s="42" t="s">
        <v>275</v>
      </c>
    </row>
    <row r="19" spans="1:24" ht="18.75" customHeight="1" x14ac:dyDescent="0.2">
      <c r="A19" s="964" t="s">
        <v>18</v>
      </c>
      <c r="B19" s="965"/>
      <c r="C19" s="476">
        <f>IFERROR(VLOOKUP($W20,疾患別[#All],2,FALSE),0)</f>
        <v>82</v>
      </c>
      <c r="D19" s="487">
        <f t="shared" si="2"/>
        <v>5.8542157492682233E-3</v>
      </c>
      <c r="E19" s="26"/>
      <c r="F19" s="975" t="s">
        <v>18</v>
      </c>
      <c r="G19" s="976"/>
      <c r="H19" s="476">
        <f>IFERROR(VLOOKUP($W20,疾患別＿寛解[#All],2,FALSE),0)</f>
        <v>4</v>
      </c>
      <c r="I19" s="476">
        <f>IFERROR(VLOOKUP($W20,疾患別＿院内寛解[#All],2,FALSE),0)</f>
        <v>10</v>
      </c>
      <c r="J19" s="470">
        <f t="shared" si="3"/>
        <v>14</v>
      </c>
      <c r="K19" s="475">
        <f t="shared" si="1"/>
        <v>8.4286574352799518E-3</v>
      </c>
      <c r="M19" s="59" t="s">
        <v>275</v>
      </c>
      <c r="N19" s="101">
        <v>49</v>
      </c>
      <c r="P19" s="231" t="s">
        <v>275</v>
      </c>
      <c r="Q19" s="232">
        <v>2</v>
      </c>
      <c r="S19" s="30" t="s">
        <v>275</v>
      </c>
      <c r="T19" s="292">
        <v>5</v>
      </c>
      <c r="W19" s="42" t="s">
        <v>272</v>
      </c>
    </row>
    <row r="20" spans="1:24" ht="18.75" customHeight="1" x14ac:dyDescent="0.2">
      <c r="A20" s="964" t="s">
        <v>347</v>
      </c>
      <c r="B20" s="965"/>
      <c r="C20" s="476">
        <f>IFERROR(VLOOKUP($W21,疾患別[#All],2,FALSE),0)</f>
        <v>1</v>
      </c>
      <c r="D20" s="487">
        <f t="shared" si="2"/>
        <v>7.1392874991075888E-5</v>
      </c>
      <c r="E20" s="26"/>
      <c r="F20" s="964" t="s">
        <v>347</v>
      </c>
      <c r="G20" s="965"/>
      <c r="H20" s="476">
        <f>IFERROR(VLOOKUP($W21,疾患別＿寛解[#All],2,FALSE),0)</f>
        <v>0</v>
      </c>
      <c r="I20" s="476">
        <f>IFERROR(VLOOKUP($W21,疾患別＿院内寛解[#All],2,FALSE),0)</f>
        <v>0</v>
      </c>
      <c r="J20" s="470">
        <f t="shared" ref="J20" si="4">SUM(H20:I20)</f>
        <v>0</v>
      </c>
      <c r="K20" s="475">
        <f t="shared" si="1"/>
        <v>0</v>
      </c>
      <c r="M20" s="30" t="s">
        <v>18</v>
      </c>
      <c r="N20" s="101">
        <v>82</v>
      </c>
      <c r="P20" s="235" t="s">
        <v>18</v>
      </c>
      <c r="Q20" s="234">
        <v>4</v>
      </c>
      <c r="S20" s="30" t="s">
        <v>18</v>
      </c>
      <c r="T20" s="292">
        <v>10</v>
      </c>
      <c r="W20" s="42" t="s">
        <v>18</v>
      </c>
    </row>
    <row r="21" spans="1:24" ht="18.75" customHeight="1" x14ac:dyDescent="0.2">
      <c r="A21" s="173" t="s">
        <v>11</v>
      </c>
      <c r="B21" s="14"/>
      <c r="C21" s="472">
        <f>SUM(C6:C20)</f>
        <v>14007</v>
      </c>
      <c r="D21" s="473">
        <f>SUM(D6:D20)</f>
        <v>0.99999999999999989</v>
      </c>
      <c r="F21" s="187" t="s">
        <v>11</v>
      </c>
      <c r="G21" s="188"/>
      <c r="H21" s="472">
        <f>SUM(H6:H20)</f>
        <v>300</v>
      </c>
      <c r="I21" s="472">
        <f>SUM(I6:I20)</f>
        <v>1361</v>
      </c>
      <c r="J21" s="472">
        <f>SUM(J6:J20)</f>
        <v>1661</v>
      </c>
      <c r="K21" s="473">
        <f>SUM(K6:K20)</f>
        <v>1</v>
      </c>
      <c r="M21" s="30" t="s">
        <v>272</v>
      </c>
      <c r="N21" s="101">
        <v>24</v>
      </c>
      <c r="P21" s="230" t="s">
        <v>272</v>
      </c>
      <c r="Q21" s="229">
        <v>0</v>
      </c>
      <c r="S21" s="30" t="s">
        <v>272</v>
      </c>
      <c r="T21" s="292">
        <v>1</v>
      </c>
      <c r="W21" s="42" t="s">
        <v>347</v>
      </c>
    </row>
    <row r="22" spans="1:24" ht="18.75" customHeight="1" x14ac:dyDescent="0.2">
      <c r="A22" s="25"/>
      <c r="M22" s="30" t="s">
        <v>346</v>
      </c>
      <c r="N22" s="101">
        <v>1</v>
      </c>
      <c r="P22" s="230" t="s">
        <v>346</v>
      </c>
      <c r="Q22" s="232">
        <v>0</v>
      </c>
      <c r="S22" s="30" t="s">
        <v>346</v>
      </c>
      <c r="T22" s="292">
        <v>0</v>
      </c>
    </row>
    <row r="23" spans="1:24" ht="18.75" hidden="1" customHeight="1" x14ac:dyDescent="0.2">
      <c r="B23" s="224"/>
      <c r="C23" s="781"/>
      <c r="D23" s="16"/>
      <c r="E23" s="16"/>
      <c r="F23" s="16"/>
      <c r="G23" s="224"/>
      <c r="H23" s="16"/>
      <c r="M23" s="111"/>
    </row>
    <row r="24" spans="1:24" s="3" customFormat="1" ht="18.75" hidden="1" customHeight="1" x14ac:dyDescent="0.2">
      <c r="B24" s="236"/>
      <c r="C24" s="782"/>
      <c r="D24" s="16"/>
      <c r="E24" s="16"/>
      <c r="F24" s="16"/>
      <c r="G24" s="236"/>
      <c r="H24" s="782"/>
      <c r="L24" s="239"/>
      <c r="M24" s="111"/>
      <c r="N24" s="1"/>
      <c r="O24" s="1"/>
    </row>
    <row r="25" spans="1:24" ht="18.75" hidden="1" customHeight="1" x14ac:dyDescent="0.2">
      <c r="A25" s="30"/>
      <c r="B25" s="783"/>
      <c r="C25" s="782"/>
      <c r="D25" s="6"/>
      <c r="E25" s="6"/>
      <c r="F25" s="236"/>
      <c r="G25" s="783"/>
      <c r="H25" s="782"/>
      <c r="M25" s="111"/>
    </row>
    <row r="26" spans="1:24" ht="18.75" customHeight="1" x14ac:dyDescent="0.2">
      <c r="A26" s="30"/>
      <c r="B26" s="248"/>
      <c r="C26" s="784"/>
      <c r="D26" s="16"/>
      <c r="E26" s="16"/>
      <c r="F26" s="237"/>
      <c r="G26" s="248"/>
      <c r="H26" s="784"/>
      <c r="M26" s="111"/>
    </row>
    <row r="27" spans="1:24" ht="18.75" customHeight="1" x14ac:dyDescent="0.2">
      <c r="A27" s="30"/>
      <c r="B27" s="247"/>
      <c r="C27" s="785"/>
      <c r="D27" s="16"/>
      <c r="E27" s="16"/>
      <c r="F27" s="238"/>
      <c r="G27" s="261"/>
      <c r="H27" s="785"/>
      <c r="M27" s="111"/>
    </row>
    <row r="28" spans="1:24" ht="18.75" customHeight="1" x14ac:dyDescent="0.2">
      <c r="A28" s="30"/>
      <c r="B28" s="248"/>
      <c r="C28" s="784"/>
      <c r="D28" s="16"/>
      <c r="E28" s="16"/>
      <c r="F28" s="237"/>
      <c r="G28" s="786"/>
      <c r="H28" s="784"/>
      <c r="M28" s="111"/>
    </row>
    <row r="29" spans="1:24" ht="18.75" customHeight="1" x14ac:dyDescent="0.2">
      <c r="A29" s="42"/>
      <c r="B29" s="247"/>
      <c r="C29" s="785"/>
      <c r="D29" s="16"/>
      <c r="E29" s="16"/>
      <c r="F29" s="238"/>
      <c r="G29" s="261"/>
      <c r="H29" s="785"/>
    </row>
    <row r="30" spans="1:24" ht="18.75" customHeight="1" x14ac:dyDescent="0.2">
      <c r="A30" s="30"/>
      <c r="B30" s="786"/>
      <c r="C30" s="784"/>
      <c r="D30" s="16"/>
      <c r="E30" s="16"/>
      <c r="F30" s="237"/>
      <c r="G30" s="786"/>
      <c r="H30" s="784"/>
    </row>
    <row r="31" spans="1:24" ht="18.75" customHeight="1" x14ac:dyDescent="0.2">
      <c r="A31" s="30"/>
      <c r="B31" s="247"/>
      <c r="C31" s="785"/>
      <c r="D31" s="16"/>
      <c r="E31" s="16"/>
      <c r="F31" s="238"/>
      <c r="G31" s="261"/>
      <c r="H31" s="785"/>
    </row>
    <row r="32" spans="1:24" ht="18.75" customHeight="1" x14ac:dyDescent="0.2">
      <c r="A32" s="30"/>
      <c r="B32" s="248"/>
      <c r="C32" s="784"/>
      <c r="D32" s="16"/>
      <c r="E32" s="16"/>
      <c r="F32" s="237"/>
      <c r="G32" s="786"/>
      <c r="H32" s="784"/>
    </row>
    <row r="33" spans="1:15" ht="18.75" customHeight="1" x14ac:dyDescent="0.2">
      <c r="A33" s="30"/>
      <c r="B33" s="247"/>
      <c r="C33" s="785"/>
      <c r="D33" s="16"/>
      <c r="E33" s="16"/>
      <c r="F33" s="238"/>
      <c r="G33" s="261"/>
      <c r="H33" s="785"/>
    </row>
    <row r="34" spans="1:15" ht="18.75" customHeight="1" x14ac:dyDescent="0.2">
      <c r="A34" s="30"/>
      <c r="B34" s="248"/>
      <c r="C34" s="784"/>
      <c r="D34" s="16"/>
      <c r="E34" s="16"/>
      <c r="F34" s="237"/>
      <c r="G34" s="786"/>
      <c r="H34" s="784"/>
    </row>
    <row r="35" spans="1:15" ht="18.75" customHeight="1" x14ac:dyDescent="0.2">
      <c r="A35" s="30"/>
      <c r="B35" s="247"/>
      <c r="C35" s="785"/>
      <c r="D35" s="16"/>
      <c r="E35" s="16"/>
      <c r="F35" s="238"/>
      <c r="G35" s="261"/>
      <c r="H35" s="785"/>
    </row>
    <row r="36" spans="1:15" ht="18.75" customHeight="1" x14ac:dyDescent="0.2">
      <c r="A36" s="30"/>
      <c r="B36" s="248"/>
      <c r="C36" s="784"/>
      <c r="D36" s="16"/>
      <c r="E36" s="16"/>
      <c r="F36" s="237"/>
      <c r="G36" s="786"/>
      <c r="H36" s="784"/>
      <c r="O36" s="30"/>
    </row>
    <row r="37" spans="1:15" ht="18.75" customHeight="1" x14ac:dyDescent="0.2">
      <c r="A37" s="30"/>
      <c r="B37" s="247"/>
      <c r="C37" s="785"/>
      <c r="D37" s="16"/>
      <c r="E37" s="16"/>
      <c r="F37" s="238"/>
      <c r="G37" s="261"/>
      <c r="H37" s="785"/>
    </row>
    <row r="38" spans="1:15" ht="18.75" customHeight="1" x14ac:dyDescent="0.2">
      <c r="A38" s="30"/>
      <c r="B38" s="248"/>
      <c r="C38" s="784"/>
      <c r="D38" s="16"/>
      <c r="E38" s="16"/>
      <c r="F38" s="237"/>
      <c r="G38" s="786"/>
      <c r="H38" s="784"/>
    </row>
    <row r="39" spans="1:15" ht="18.75" customHeight="1" x14ac:dyDescent="0.2">
      <c r="A39" s="42"/>
      <c r="B39" s="247"/>
      <c r="C39" s="785"/>
      <c r="D39" s="16"/>
      <c r="E39" s="16"/>
      <c r="F39" s="238"/>
      <c r="G39" s="261"/>
      <c r="H39" s="785"/>
    </row>
    <row r="40" spans="1:15" ht="18.75" customHeight="1" x14ac:dyDescent="0.2">
      <c r="A40" s="30"/>
      <c r="B40" s="786"/>
      <c r="C40" s="784"/>
      <c r="D40" s="16"/>
      <c r="E40" s="16"/>
      <c r="F40" s="237"/>
      <c r="G40" s="786"/>
      <c r="H40" s="784"/>
    </row>
    <row r="41" spans="1:15" ht="18.75" customHeight="1" x14ac:dyDescent="0.2">
      <c r="A41" s="30"/>
      <c r="B41" s="247"/>
      <c r="C41" s="785"/>
      <c r="D41" s="16"/>
      <c r="E41" s="16"/>
      <c r="F41" s="238"/>
      <c r="G41" s="247"/>
      <c r="H41" s="785"/>
    </row>
    <row r="42" spans="1:15" ht="18.75" customHeight="1" x14ac:dyDescent="0.2">
      <c r="B42" s="248"/>
      <c r="C42" s="784"/>
      <c r="D42" s="16"/>
      <c r="E42" s="16"/>
      <c r="F42" s="237"/>
      <c r="G42" s="248"/>
      <c r="H42" s="784"/>
    </row>
    <row r="43" spans="1:15" ht="18.75" customHeight="1" x14ac:dyDescent="0.2">
      <c r="B43" s="247"/>
      <c r="C43" s="785"/>
      <c r="D43" s="16"/>
      <c r="E43" s="16"/>
      <c r="F43" s="16"/>
      <c r="G43" s="248"/>
      <c r="H43" s="784"/>
    </row>
    <row r="44" spans="1:15" ht="18.75" customHeight="1" x14ac:dyDescent="0.2">
      <c r="B44" s="16"/>
      <c r="C44" s="16"/>
      <c r="D44" s="16"/>
      <c r="E44" s="16"/>
      <c r="F44" s="16"/>
      <c r="G44" s="236"/>
      <c r="H44" s="782"/>
    </row>
    <row r="45" spans="1:15" ht="18.75" customHeight="1" x14ac:dyDescent="0.2">
      <c r="B45" s="16"/>
      <c r="C45" s="16"/>
      <c r="D45" s="16"/>
      <c r="E45" s="16"/>
      <c r="F45" s="16"/>
      <c r="G45" s="783"/>
      <c r="H45" s="782"/>
    </row>
    <row r="46" spans="1:15" ht="18.75" customHeight="1" x14ac:dyDescent="0.2">
      <c r="B46" s="16"/>
      <c r="C46" s="16"/>
      <c r="D46" s="16"/>
      <c r="E46" s="16"/>
      <c r="F46" s="16"/>
      <c r="G46" s="248"/>
      <c r="H46" s="784"/>
    </row>
    <row r="47" spans="1:15" ht="18.75" customHeight="1" x14ac:dyDescent="0.2">
      <c r="B47" s="16"/>
      <c r="C47" s="16"/>
      <c r="D47" s="16"/>
      <c r="E47" s="16"/>
      <c r="F47" s="16"/>
      <c r="G47" s="247"/>
      <c r="H47" s="787"/>
    </row>
    <row r="48" spans="1:15" ht="18.75" customHeight="1" x14ac:dyDescent="0.2">
      <c r="B48" s="16"/>
      <c r="C48" s="16"/>
      <c r="D48" s="16"/>
      <c r="E48" s="16"/>
      <c r="F48" s="16"/>
      <c r="G48" s="248"/>
      <c r="H48" s="788"/>
    </row>
    <row r="49" spans="1:8" ht="18.75" customHeight="1" x14ac:dyDescent="0.2">
      <c r="B49" s="16"/>
      <c r="C49" s="16"/>
      <c r="D49" s="16"/>
      <c r="E49" s="16"/>
      <c r="F49" s="16"/>
      <c r="G49" s="247"/>
      <c r="H49" s="787"/>
    </row>
    <row r="50" spans="1:8" ht="18.75" customHeight="1" x14ac:dyDescent="0.2">
      <c r="B50" s="16"/>
      <c r="C50" s="16"/>
      <c r="D50" s="16"/>
      <c r="E50" s="16"/>
      <c r="F50" s="16"/>
      <c r="G50" s="248"/>
      <c r="H50" s="788"/>
    </row>
    <row r="51" spans="1:8" ht="18.75" customHeight="1" x14ac:dyDescent="0.2">
      <c r="B51" s="16"/>
      <c r="C51" s="16"/>
      <c r="D51" s="16"/>
      <c r="E51" s="16"/>
      <c r="F51" s="16"/>
      <c r="G51" s="247"/>
      <c r="H51" s="787"/>
    </row>
    <row r="52" spans="1:8" ht="18.75" customHeight="1" x14ac:dyDescent="0.2">
      <c r="B52" s="16"/>
      <c r="C52" s="16"/>
      <c r="D52" s="16"/>
      <c r="E52" s="16"/>
      <c r="F52" s="16"/>
      <c r="G52" s="248"/>
      <c r="H52" s="788"/>
    </row>
    <row r="53" spans="1:8" ht="18.75" customHeight="1" x14ac:dyDescent="0.2">
      <c r="B53" s="16"/>
      <c r="C53" s="16"/>
      <c r="D53" s="16"/>
      <c r="E53" s="16"/>
      <c r="F53" s="16"/>
      <c r="G53" s="247"/>
      <c r="H53" s="787"/>
    </row>
    <row r="54" spans="1:8" ht="18.75" customHeight="1" x14ac:dyDescent="0.2">
      <c r="B54" s="16"/>
      <c r="C54" s="16"/>
      <c r="D54" s="16"/>
      <c r="E54" s="16"/>
      <c r="F54" s="16"/>
      <c r="G54" s="248"/>
      <c r="H54" s="788"/>
    </row>
    <row r="55" spans="1:8" ht="18.75" customHeight="1" x14ac:dyDescent="0.2">
      <c r="B55" s="16"/>
      <c r="C55" s="16"/>
      <c r="D55" s="16"/>
      <c r="E55" s="16"/>
      <c r="F55" s="16"/>
      <c r="G55" s="247"/>
      <c r="H55" s="787"/>
    </row>
    <row r="56" spans="1:8" ht="18.75" customHeight="1" x14ac:dyDescent="0.2">
      <c r="A56" s="30"/>
      <c r="B56" s="16"/>
      <c r="C56" s="16"/>
      <c r="D56" s="16"/>
      <c r="E56" s="16"/>
      <c r="F56" s="16"/>
      <c r="G56" s="248"/>
      <c r="H56" s="788"/>
    </row>
    <row r="57" spans="1:8" ht="18.75" customHeight="1" x14ac:dyDescent="0.2">
      <c r="B57" s="247"/>
      <c r="C57" s="16"/>
      <c r="D57" s="16"/>
      <c r="E57" s="16"/>
      <c r="F57" s="16"/>
      <c r="G57" s="247"/>
      <c r="H57" s="787"/>
    </row>
    <row r="58" spans="1:8" ht="18.75" customHeight="1" x14ac:dyDescent="0.2">
      <c r="B58" s="16"/>
      <c r="C58" s="16"/>
      <c r="D58" s="16"/>
      <c r="E58" s="16"/>
      <c r="F58" s="16"/>
      <c r="G58" s="248"/>
      <c r="H58" s="788"/>
    </row>
    <row r="59" spans="1:8" ht="18.75" customHeight="1" x14ac:dyDescent="0.2">
      <c r="B59" s="16"/>
      <c r="C59" s="16"/>
      <c r="D59" s="16"/>
      <c r="E59" s="16"/>
      <c r="F59" s="16"/>
      <c r="G59" s="247"/>
      <c r="H59" s="787"/>
    </row>
    <row r="60" spans="1:8" ht="18.75" customHeight="1" x14ac:dyDescent="0.2">
      <c r="B60" s="16"/>
      <c r="C60" s="16"/>
      <c r="D60" s="16"/>
      <c r="E60" s="16"/>
      <c r="F60" s="16"/>
      <c r="G60" s="248"/>
      <c r="H60" s="788"/>
    </row>
    <row r="61" spans="1:8" ht="18.75" customHeight="1" x14ac:dyDescent="0.2">
      <c r="B61" s="16"/>
      <c r="C61" s="16"/>
      <c r="D61" s="16"/>
      <c r="E61" s="16"/>
      <c r="F61" s="16"/>
      <c r="G61" s="247"/>
      <c r="H61" s="787"/>
    </row>
    <row r="62" spans="1:8" ht="18.75" customHeight="1" x14ac:dyDescent="0.2">
      <c r="B62" s="16"/>
      <c r="C62" s="16"/>
      <c r="D62" s="16"/>
      <c r="E62" s="16"/>
      <c r="F62" s="16"/>
      <c r="G62" s="248"/>
      <c r="H62" s="788"/>
    </row>
    <row r="63" spans="1:8" ht="18.75" customHeight="1" x14ac:dyDescent="0.2">
      <c r="B63" s="16"/>
      <c r="C63" s="16"/>
      <c r="D63" s="16"/>
      <c r="E63" s="16"/>
      <c r="F63" s="16"/>
      <c r="G63" s="247"/>
      <c r="H63" s="787"/>
    </row>
  </sheetData>
  <mergeCells count="26">
    <mergeCell ref="A19:B19"/>
    <mergeCell ref="F11:G11"/>
    <mergeCell ref="F12:G12"/>
    <mergeCell ref="F16:G16"/>
    <mergeCell ref="F17:G17"/>
    <mergeCell ref="F18:G18"/>
    <mergeCell ref="F13:G13"/>
    <mergeCell ref="F14:G14"/>
    <mergeCell ref="F15:G15"/>
    <mergeCell ref="A17:B17"/>
    <mergeCell ref="A20:B20"/>
    <mergeCell ref="F20:G20"/>
    <mergeCell ref="A13:B13"/>
    <mergeCell ref="A14:B14"/>
    <mergeCell ref="F5:G5"/>
    <mergeCell ref="F9:G9"/>
    <mergeCell ref="F10:G10"/>
    <mergeCell ref="A5:B5"/>
    <mergeCell ref="A9:B9"/>
    <mergeCell ref="A10:B10"/>
    <mergeCell ref="A15:B15"/>
    <mergeCell ref="A16:B16"/>
    <mergeCell ref="A11:B11"/>
    <mergeCell ref="A12:B12"/>
    <mergeCell ref="F19:G19"/>
    <mergeCell ref="A18:B18"/>
  </mergeCells>
  <phoneticPr fontId="2"/>
  <pageMargins left="0.70866141732283472" right="0.70866141732283472" top="0.74803149606299213" bottom="0.74803149606299213" header="0.31496062992125984" footer="0.31496062992125984"/>
  <pageSetup paperSize="9" scale="76"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4" r:id="rId4" name="Button 2">
              <controlPr defaultSize="0" print="0" autoFill="0" autoPict="0" macro="[0]!データ削除_疾患別">
                <anchor moveWithCells="1" sizeWithCells="1">
                  <from>
                    <xdr:col>9</xdr:col>
                    <xdr:colOff>0</xdr:colOff>
                    <xdr:row>22</xdr:row>
                    <xdr:rowOff>53340</xdr:rowOff>
                  </from>
                  <to>
                    <xdr:col>10</xdr:col>
                    <xdr:colOff>662940</xdr:colOff>
                    <xdr:row>24</xdr:row>
                    <xdr:rowOff>99060</xdr:rowOff>
                  </to>
                </anchor>
              </controlPr>
            </control>
          </mc:Choice>
        </mc:AlternateContent>
      </controls>
    </mc:Choice>
  </mc:AlternateContent>
  <tableParts count="3">
    <tablePart r:id="rId5"/>
    <tablePart r:id="rId6"/>
    <tablePart r:id="rId7"/>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FB3BB-73AC-4314-8A89-C903ED40E8C9}">
  <sheetPr codeName="Sheet49">
    <tabColor theme="7" tint="-0.249977111117893"/>
    <pageSetUpPr fitToPage="1"/>
  </sheetPr>
  <dimension ref="A1:R121"/>
  <sheetViews>
    <sheetView view="pageBreakPreview" zoomScale="80" zoomScaleNormal="100" zoomScaleSheetLayoutView="80" zoomScalePageLayoutView="110" workbookViewId="0"/>
  </sheetViews>
  <sheetFormatPr defaultColWidth="9" defaultRowHeight="13.5" customHeight="1" x14ac:dyDescent="0.2"/>
  <cols>
    <col min="1" max="1" width="18.109375" customWidth="1"/>
    <col min="2" max="2" width="10.33203125" customWidth="1"/>
    <col min="3" max="3" width="10.109375" customWidth="1"/>
    <col min="4" max="4" width="4.88671875" customWidth="1"/>
    <col min="5" max="5" width="2.77734375" customWidth="1"/>
    <col min="6" max="6" width="40" customWidth="1"/>
    <col min="7" max="7" width="11.109375" customWidth="1"/>
    <col min="8" max="8" width="10.44140625" customWidth="1"/>
    <col min="9" max="9" width="3.109375" customWidth="1"/>
    <col min="10" max="10" width="18.33203125" hidden="1" customWidth="1"/>
    <col min="11" max="13" width="9.44140625" hidden="1" customWidth="1"/>
    <col min="14" max="14" width="5.77734375" hidden="1" customWidth="1"/>
    <col min="15" max="15" width="13.6640625" hidden="1" customWidth="1"/>
    <col min="16" max="18" width="9.44140625" hidden="1" customWidth="1"/>
  </cols>
  <sheetData>
    <row r="1" spans="1:18" ht="20.25" customHeight="1" x14ac:dyDescent="0.2">
      <c r="A1" s="4" t="s">
        <v>400</v>
      </c>
      <c r="J1" s="363" t="s">
        <v>421</v>
      </c>
    </row>
    <row r="2" spans="1:18" ht="20.25" customHeight="1" x14ac:dyDescent="0.2">
      <c r="J2" s="633"/>
      <c r="K2" s="633" t="s">
        <v>422</v>
      </c>
      <c r="L2" s="633" t="s">
        <v>28</v>
      </c>
      <c r="M2" s="633" t="s">
        <v>29</v>
      </c>
      <c r="N2" s="351"/>
    </row>
    <row r="3" spans="1:18" ht="20.25" customHeight="1" thickBot="1" x14ac:dyDescent="0.25">
      <c r="A3" s="387" t="s">
        <v>247</v>
      </c>
      <c r="B3" s="387" t="s">
        <v>401</v>
      </c>
      <c r="C3" s="387" t="s">
        <v>256</v>
      </c>
      <c r="E3" s="1141" t="s">
        <v>433</v>
      </c>
      <c r="F3" s="1142"/>
      <c r="G3" s="388" t="s">
        <v>401</v>
      </c>
      <c r="H3" s="388" t="s">
        <v>256</v>
      </c>
      <c r="J3" s="289" t="s">
        <v>2</v>
      </c>
      <c r="K3" s="389">
        <f>'2-Ⅰ'!B5</f>
        <v>165</v>
      </c>
      <c r="L3" s="389">
        <f>'2-Ⅰ'!F5</f>
        <v>3</v>
      </c>
      <c r="M3" s="389">
        <f>'2-Ⅰ'!G5</f>
        <v>17</v>
      </c>
      <c r="N3" s="351"/>
    </row>
    <row r="4" spans="1:18" ht="20.25" customHeight="1" thickTop="1" x14ac:dyDescent="0.2">
      <c r="A4" s="621" t="s">
        <v>403</v>
      </c>
      <c r="B4" s="390">
        <f t="shared" ref="B4:B15" si="0">K3</f>
        <v>165</v>
      </c>
      <c r="C4" s="390">
        <f t="shared" ref="C4:C15" si="1">L3+M3</f>
        <v>20</v>
      </c>
      <c r="E4" s="1131" t="s">
        <v>404</v>
      </c>
      <c r="F4" s="1132"/>
      <c r="G4" s="391">
        <f>P24</f>
        <v>1148</v>
      </c>
      <c r="H4" s="392">
        <f t="shared" ref="H4:H12" si="2">Q24+R24</f>
        <v>134</v>
      </c>
      <c r="J4" s="289" t="s">
        <v>3</v>
      </c>
      <c r="K4" s="389">
        <f>'2-Ⅰ'!B6</f>
        <v>358</v>
      </c>
      <c r="L4" s="389">
        <f>'2-Ⅰ'!F6</f>
        <v>22</v>
      </c>
      <c r="M4" s="389">
        <f>'2-Ⅰ'!G6</f>
        <v>49</v>
      </c>
      <c r="N4" s="351"/>
    </row>
    <row r="5" spans="1:18" ht="20.25" customHeight="1" x14ac:dyDescent="0.2">
      <c r="A5" s="221" t="s">
        <v>3</v>
      </c>
      <c r="B5" s="391">
        <f t="shared" si="0"/>
        <v>358</v>
      </c>
      <c r="C5" s="391">
        <f t="shared" si="1"/>
        <v>71</v>
      </c>
      <c r="E5" s="1131" t="s">
        <v>405</v>
      </c>
      <c r="F5" s="1132"/>
      <c r="G5" s="391">
        <f t="shared" ref="G5:G12" si="3">P25</f>
        <v>1214</v>
      </c>
      <c r="H5" s="392">
        <f t="shared" si="2"/>
        <v>121</v>
      </c>
      <c r="J5" s="289" t="s">
        <v>4</v>
      </c>
      <c r="K5" s="389">
        <f>'2-Ⅰ'!B7</f>
        <v>477</v>
      </c>
      <c r="L5" s="389">
        <f>'2-Ⅰ'!F7</f>
        <v>18</v>
      </c>
      <c r="M5" s="389">
        <f>'2-Ⅰ'!G7</f>
        <v>82</v>
      </c>
      <c r="N5" s="351"/>
    </row>
    <row r="6" spans="1:18" ht="20.25" customHeight="1" x14ac:dyDescent="0.2">
      <c r="A6" s="221" t="s">
        <v>4</v>
      </c>
      <c r="B6" s="391">
        <f t="shared" si="0"/>
        <v>477</v>
      </c>
      <c r="C6" s="391">
        <f t="shared" si="1"/>
        <v>100</v>
      </c>
      <c r="E6" s="1131" t="s">
        <v>406</v>
      </c>
      <c r="F6" s="1132"/>
      <c r="G6" s="391">
        <f t="shared" si="3"/>
        <v>1246</v>
      </c>
      <c r="H6" s="392">
        <f t="shared" si="2"/>
        <v>137</v>
      </c>
      <c r="J6" s="289" t="s">
        <v>5</v>
      </c>
      <c r="K6" s="389">
        <f>'2-Ⅰ'!B8</f>
        <v>1028</v>
      </c>
      <c r="L6" s="389">
        <f>'2-Ⅰ'!F8</f>
        <v>36</v>
      </c>
      <c r="M6" s="389">
        <f>'2-Ⅰ'!G8</f>
        <v>137</v>
      </c>
      <c r="N6" s="351"/>
    </row>
    <row r="7" spans="1:18" ht="20.25" customHeight="1" x14ac:dyDescent="0.2">
      <c r="A7" s="221" t="s">
        <v>5</v>
      </c>
      <c r="B7" s="391">
        <f t="shared" si="0"/>
        <v>1028</v>
      </c>
      <c r="C7" s="391">
        <f t="shared" si="1"/>
        <v>173</v>
      </c>
      <c r="E7" s="1131" t="s">
        <v>407</v>
      </c>
      <c r="F7" s="1132"/>
      <c r="G7" s="391">
        <f t="shared" si="3"/>
        <v>1051</v>
      </c>
      <c r="H7" s="392">
        <f t="shared" si="2"/>
        <v>200</v>
      </c>
      <c r="J7" s="289" t="s">
        <v>6</v>
      </c>
      <c r="K7" s="389">
        <f>'2-Ⅰ'!B9</f>
        <v>2238</v>
      </c>
      <c r="L7" s="389">
        <f>'2-Ⅰ'!F9</f>
        <v>65</v>
      </c>
      <c r="M7" s="389">
        <f>'2-Ⅰ'!G9</f>
        <v>277</v>
      </c>
      <c r="N7" s="351"/>
    </row>
    <row r="8" spans="1:18" ht="20.25" customHeight="1" x14ac:dyDescent="0.2">
      <c r="A8" s="221" t="s">
        <v>6</v>
      </c>
      <c r="B8" s="391">
        <f t="shared" si="0"/>
        <v>2238</v>
      </c>
      <c r="C8" s="391">
        <f t="shared" si="1"/>
        <v>342</v>
      </c>
      <c r="E8" s="1131" t="s">
        <v>408</v>
      </c>
      <c r="F8" s="1132"/>
      <c r="G8" s="391">
        <f t="shared" si="3"/>
        <v>1056</v>
      </c>
      <c r="H8" s="392">
        <f t="shared" si="2"/>
        <v>132</v>
      </c>
      <c r="J8" s="289" t="s">
        <v>7</v>
      </c>
      <c r="K8" s="389">
        <f>'2-Ⅰ'!B10</f>
        <v>2346</v>
      </c>
      <c r="L8" s="389">
        <f>'2-Ⅰ'!F10</f>
        <v>48</v>
      </c>
      <c r="M8" s="389">
        <f>'2-Ⅰ'!G10</f>
        <v>242</v>
      </c>
      <c r="N8" s="351"/>
    </row>
    <row r="9" spans="1:18" ht="20.25" customHeight="1" x14ac:dyDescent="0.2">
      <c r="A9" s="221" t="s">
        <v>7</v>
      </c>
      <c r="B9" s="391">
        <f t="shared" si="0"/>
        <v>2346</v>
      </c>
      <c r="C9" s="391">
        <f t="shared" si="1"/>
        <v>290</v>
      </c>
      <c r="E9" s="1131" t="s">
        <v>409</v>
      </c>
      <c r="F9" s="1132"/>
      <c r="G9" s="391">
        <f t="shared" si="3"/>
        <v>2983</v>
      </c>
      <c r="H9" s="392">
        <f t="shared" si="2"/>
        <v>248</v>
      </c>
      <c r="J9" s="289" t="s">
        <v>8</v>
      </c>
      <c r="K9" s="389">
        <f>'2-Ⅰ'!B11</f>
        <v>3332</v>
      </c>
      <c r="L9" s="389">
        <f>'2-Ⅰ'!F11</f>
        <v>56</v>
      </c>
      <c r="M9" s="389">
        <f>'2-Ⅰ'!G11</f>
        <v>309</v>
      </c>
      <c r="N9" s="351"/>
    </row>
    <row r="10" spans="1:18" ht="20.25" customHeight="1" x14ac:dyDescent="0.2">
      <c r="A10" s="221" t="s">
        <v>8</v>
      </c>
      <c r="B10" s="391">
        <f t="shared" si="0"/>
        <v>3332</v>
      </c>
      <c r="C10" s="391">
        <f t="shared" si="1"/>
        <v>365</v>
      </c>
      <c r="E10" s="1131" t="s">
        <v>380</v>
      </c>
      <c r="F10" s="1132"/>
      <c r="G10" s="391">
        <f t="shared" si="3"/>
        <v>2817</v>
      </c>
      <c r="H10" s="392">
        <f t="shared" si="2"/>
        <v>419</v>
      </c>
      <c r="J10" s="289" t="s">
        <v>9</v>
      </c>
      <c r="K10" s="389">
        <f>'2-Ⅰ'!B12</f>
        <v>3250</v>
      </c>
      <c r="L10" s="389">
        <f>'2-Ⅰ'!F12</f>
        <v>43</v>
      </c>
      <c r="M10" s="389">
        <f>'2-Ⅰ'!G12</f>
        <v>196</v>
      </c>
      <c r="N10" s="351"/>
      <c r="O10" s="351"/>
      <c r="P10" s="351"/>
      <c r="Q10" s="351"/>
      <c r="R10" s="351"/>
    </row>
    <row r="11" spans="1:18" ht="20.25" customHeight="1" x14ac:dyDescent="0.2">
      <c r="A11" s="221" t="s">
        <v>9</v>
      </c>
      <c r="B11" s="391">
        <f t="shared" si="0"/>
        <v>3250</v>
      </c>
      <c r="C11" s="391">
        <f t="shared" si="1"/>
        <v>239</v>
      </c>
      <c r="E11" s="1131" t="s">
        <v>381</v>
      </c>
      <c r="F11" s="1132"/>
      <c r="G11" s="391">
        <f t="shared" si="3"/>
        <v>1380</v>
      </c>
      <c r="H11" s="393">
        <f t="shared" si="2"/>
        <v>144</v>
      </c>
      <c r="J11" s="289" t="s">
        <v>10</v>
      </c>
      <c r="K11" s="389">
        <f>'2-Ⅰ'!B13</f>
        <v>813</v>
      </c>
      <c r="L11" s="389">
        <f>'2-Ⅰ'!F13</f>
        <v>9</v>
      </c>
      <c r="M11" s="389">
        <f>'2-Ⅰ'!G13</f>
        <v>52</v>
      </c>
      <c r="N11" s="351"/>
      <c r="O11" s="351"/>
      <c r="P11" s="351"/>
      <c r="Q11" s="351"/>
      <c r="R11" s="351"/>
    </row>
    <row r="12" spans="1:18" ht="20.25" customHeight="1" thickBot="1" x14ac:dyDescent="0.25">
      <c r="A12" s="394" t="s">
        <v>10</v>
      </c>
      <c r="B12" s="395">
        <f t="shared" si="0"/>
        <v>813</v>
      </c>
      <c r="C12" s="395">
        <f t="shared" si="1"/>
        <v>61</v>
      </c>
      <c r="E12" s="1131" t="s">
        <v>434</v>
      </c>
      <c r="F12" s="1132"/>
      <c r="G12" s="391">
        <f t="shared" si="3"/>
        <v>1112</v>
      </c>
      <c r="H12" s="393">
        <f t="shared" si="2"/>
        <v>126</v>
      </c>
      <c r="J12" s="289" t="s">
        <v>244</v>
      </c>
      <c r="K12" s="389">
        <f>'2-Ⅰ'!B14</f>
        <v>0</v>
      </c>
      <c r="L12" s="389">
        <f>'2-Ⅰ'!F14</f>
        <v>0</v>
      </c>
      <c r="M12" s="389">
        <f>'2-Ⅰ'!G14</f>
        <v>0</v>
      </c>
      <c r="N12" s="351"/>
      <c r="O12" s="351"/>
      <c r="P12" s="351"/>
      <c r="Q12" s="351"/>
      <c r="R12" s="351"/>
    </row>
    <row r="13" spans="1:18" ht="20.25" customHeight="1" thickTop="1" thickBot="1" x14ac:dyDescent="0.25">
      <c r="A13" s="399" t="s">
        <v>11</v>
      </c>
      <c r="B13" s="634">
        <f t="shared" si="0"/>
        <v>0</v>
      </c>
      <c r="C13" s="634">
        <f t="shared" si="1"/>
        <v>0</v>
      </c>
      <c r="E13" s="396" t="s">
        <v>11</v>
      </c>
      <c r="F13" s="397"/>
      <c r="G13" s="635">
        <f>SUM(G4:G12)</f>
        <v>14007</v>
      </c>
      <c r="H13" s="398">
        <f>SUM(H4:H12)</f>
        <v>1661</v>
      </c>
      <c r="J13" s="289" t="s">
        <v>284</v>
      </c>
      <c r="K13" s="389">
        <f>'2-Ⅰ'!B15</f>
        <v>14007</v>
      </c>
      <c r="L13" s="389">
        <f>'2-Ⅰ'!F15</f>
        <v>300</v>
      </c>
      <c r="M13" s="389">
        <f>'2-Ⅰ'!G15</f>
        <v>1361</v>
      </c>
      <c r="N13" s="288"/>
      <c r="O13" s="288"/>
      <c r="P13" s="288"/>
      <c r="Q13" s="288"/>
      <c r="R13" s="288"/>
    </row>
    <row r="14" spans="1:18" ht="20.25" customHeight="1" thickTop="1" x14ac:dyDescent="0.2">
      <c r="A14" s="401" t="s">
        <v>410</v>
      </c>
      <c r="B14" s="636">
        <f t="shared" si="0"/>
        <v>14007</v>
      </c>
      <c r="C14" s="636">
        <f t="shared" si="1"/>
        <v>1661</v>
      </c>
      <c r="E14" s="145"/>
      <c r="F14" s="145"/>
      <c r="G14" s="26"/>
      <c r="H14" s="400"/>
      <c r="J14" s="289" t="s">
        <v>285</v>
      </c>
      <c r="K14" s="389">
        <f>'2-Ⅰ'!B16</f>
        <v>5491</v>
      </c>
      <c r="L14" s="389">
        <f>'2-Ⅰ'!F16</f>
        <v>174</v>
      </c>
      <c r="M14" s="389">
        <f>'2-Ⅰ'!G16</f>
        <v>683</v>
      </c>
      <c r="N14" s="288"/>
      <c r="O14" s="288"/>
      <c r="P14" s="288"/>
      <c r="Q14" s="288"/>
      <c r="R14" s="288"/>
    </row>
    <row r="15" spans="1:18" ht="20.25" customHeight="1" x14ac:dyDescent="0.2">
      <c r="A15" s="221" t="s">
        <v>411</v>
      </c>
      <c r="B15" s="637">
        <f t="shared" si="0"/>
        <v>5491</v>
      </c>
      <c r="C15" s="637">
        <f t="shared" si="1"/>
        <v>857</v>
      </c>
      <c r="J15" s="288"/>
      <c r="K15" s="288"/>
      <c r="L15" s="288"/>
      <c r="M15" s="288"/>
      <c r="N15" s="288"/>
      <c r="O15" s="288"/>
      <c r="P15" s="288"/>
      <c r="Q15" s="288"/>
      <c r="R15" s="288"/>
    </row>
    <row r="16" spans="1:18" ht="20.25" customHeight="1" x14ac:dyDescent="0.2"/>
    <row r="17" spans="1:18" ht="20.25" customHeight="1" x14ac:dyDescent="0.2"/>
    <row r="18" spans="1:18" ht="20.25" customHeight="1" x14ac:dyDescent="0.2">
      <c r="A18" s="402" t="s">
        <v>277</v>
      </c>
      <c r="B18" s="403" t="s">
        <v>401</v>
      </c>
      <c r="C18" s="403" t="s">
        <v>256</v>
      </c>
      <c r="E18" s="1139" t="s">
        <v>77</v>
      </c>
      <c r="F18" s="1140"/>
      <c r="G18" s="388" t="s">
        <v>401</v>
      </c>
      <c r="H18" s="388" t="s">
        <v>256</v>
      </c>
    </row>
    <row r="19" spans="1:18" ht="20.25" customHeight="1" x14ac:dyDescent="0.2">
      <c r="A19" s="221" t="s">
        <v>412</v>
      </c>
      <c r="B19" s="391">
        <f>SUM(K24:K27)</f>
        <v>6574</v>
      </c>
      <c r="C19" s="391">
        <f>SUM(L24:M27)</f>
        <v>1136</v>
      </c>
      <c r="E19" s="1127" t="s">
        <v>110</v>
      </c>
      <c r="F19" s="1128"/>
      <c r="G19" s="404">
        <f>K43</f>
        <v>4186</v>
      </c>
      <c r="H19" s="637">
        <f>SUM(L43:M43)</f>
        <v>282</v>
      </c>
    </row>
    <row r="20" spans="1:18" ht="20.25" customHeight="1" x14ac:dyDescent="0.2">
      <c r="A20" s="221" t="s">
        <v>413</v>
      </c>
      <c r="B20" s="391">
        <f>SUM(K28:K32)</f>
        <v>3783</v>
      </c>
      <c r="C20" s="391">
        <f>SUM(L28:M32)</f>
        <v>282</v>
      </c>
      <c r="E20" s="405"/>
      <c r="F20" s="406" t="s">
        <v>111</v>
      </c>
      <c r="G20" s="638">
        <f>K44</f>
        <v>2211</v>
      </c>
      <c r="H20" s="639">
        <f t="shared" ref="H20:H35" si="4">SUM(L44:M44)</f>
        <v>123</v>
      </c>
    </row>
    <row r="21" spans="1:18" ht="20.25" customHeight="1" x14ac:dyDescent="0.2">
      <c r="A21" s="221" t="s">
        <v>414</v>
      </c>
      <c r="B21" s="391">
        <f>SUM(K33:K37)</f>
        <v>1742</v>
      </c>
      <c r="C21" s="391">
        <f>SUM(L33:M37)</f>
        <v>127</v>
      </c>
      <c r="E21" s="405"/>
      <c r="F21" s="407" t="s">
        <v>98</v>
      </c>
      <c r="G21" s="638">
        <f t="shared" ref="G21:G35" si="5">K45</f>
        <v>252</v>
      </c>
      <c r="H21" s="640">
        <f t="shared" si="4"/>
        <v>15</v>
      </c>
    </row>
    <row r="22" spans="1:18" ht="20.25" customHeight="1" x14ac:dyDescent="0.2">
      <c r="A22" s="221" t="s">
        <v>415</v>
      </c>
      <c r="B22" s="391">
        <f>K38</f>
        <v>1203</v>
      </c>
      <c r="C22" s="391">
        <f>SUM(L38:M38)</f>
        <v>76</v>
      </c>
      <c r="E22" s="408"/>
      <c r="F22" s="409" t="s">
        <v>19</v>
      </c>
      <c r="G22" s="638">
        <f t="shared" si="5"/>
        <v>1723</v>
      </c>
      <c r="H22" s="641">
        <f t="shared" si="4"/>
        <v>144</v>
      </c>
    </row>
    <row r="23" spans="1:18" ht="20.25" customHeight="1" thickBot="1" x14ac:dyDescent="0.25">
      <c r="A23" s="394" t="s">
        <v>416</v>
      </c>
      <c r="B23" s="642">
        <f>K39</f>
        <v>705</v>
      </c>
      <c r="C23" s="642">
        <f>SUM(L39:M39)</f>
        <v>40</v>
      </c>
      <c r="E23" s="1127" t="s">
        <v>233</v>
      </c>
      <c r="F23" s="1128"/>
      <c r="G23" s="637">
        <f t="shared" si="5"/>
        <v>746</v>
      </c>
      <c r="H23" s="410">
        <f t="shared" si="4"/>
        <v>226</v>
      </c>
      <c r="J23" s="633"/>
      <c r="K23" s="633" t="s">
        <v>422</v>
      </c>
      <c r="L23" s="643" t="s">
        <v>28</v>
      </c>
      <c r="M23" s="643" t="s">
        <v>29</v>
      </c>
      <c r="N23" s="351"/>
      <c r="O23" s="644"/>
      <c r="P23" s="645" t="s">
        <v>422</v>
      </c>
      <c r="Q23" s="633" t="s">
        <v>28</v>
      </c>
      <c r="R23" s="633" t="s">
        <v>29</v>
      </c>
    </row>
    <row r="24" spans="1:18" ht="20.25" customHeight="1" thickTop="1" x14ac:dyDescent="0.2">
      <c r="A24" s="411" t="s">
        <v>11</v>
      </c>
      <c r="B24" s="646">
        <f>K40</f>
        <v>14007</v>
      </c>
      <c r="C24" s="646">
        <f>SUM(L40:M40)</f>
        <v>1661</v>
      </c>
      <c r="E24" s="1127" t="s">
        <v>72</v>
      </c>
      <c r="F24" s="1128"/>
      <c r="G24" s="637">
        <f t="shared" si="5"/>
        <v>6451</v>
      </c>
      <c r="H24" s="410">
        <f t="shared" si="4"/>
        <v>706</v>
      </c>
      <c r="J24" s="289" t="s">
        <v>59</v>
      </c>
      <c r="K24" s="389">
        <f>'２-Ⅳ'!B5</f>
        <v>1744</v>
      </c>
      <c r="L24" s="389">
        <f>'２-Ⅳ'!F5</f>
        <v>79</v>
      </c>
      <c r="M24" s="389">
        <f>'２-Ⅳ'!G5</f>
        <v>256</v>
      </c>
      <c r="N24" s="351"/>
      <c r="O24" s="291" t="s">
        <v>356</v>
      </c>
      <c r="P24" s="389">
        <f>'6-Ⅱ⑤'!B16</f>
        <v>1148</v>
      </c>
      <c r="Q24" s="389">
        <f>'6-Ⅱ⑤'!B4</f>
        <v>32</v>
      </c>
      <c r="R24" s="389">
        <f>'6-Ⅱ⑤'!B6</f>
        <v>102</v>
      </c>
    </row>
    <row r="25" spans="1:18" ht="20.25" customHeight="1" x14ac:dyDescent="0.2">
      <c r="A25" s="145"/>
      <c r="B25" s="145"/>
      <c r="C25" s="647"/>
      <c r="E25" s="1127" t="s">
        <v>73</v>
      </c>
      <c r="F25" s="1128"/>
      <c r="G25" s="637">
        <f t="shared" si="5"/>
        <v>1663</v>
      </c>
      <c r="H25" s="410">
        <f t="shared" si="4"/>
        <v>302</v>
      </c>
      <c r="J25" s="289" t="s">
        <v>195</v>
      </c>
      <c r="K25" s="389">
        <f>'２-Ⅳ'!B6</f>
        <v>2198</v>
      </c>
      <c r="L25" s="389">
        <f>'２-Ⅳ'!F6</f>
        <v>115</v>
      </c>
      <c r="M25" s="389">
        <f>'２-Ⅳ'!G6</f>
        <v>346</v>
      </c>
      <c r="N25" s="351"/>
      <c r="O25" s="291" t="s">
        <v>357</v>
      </c>
      <c r="P25" s="389">
        <f>'6-Ⅱ⑤'!C16</f>
        <v>1214</v>
      </c>
      <c r="Q25" s="389">
        <f>'6-Ⅱ⑤'!C4</f>
        <v>33</v>
      </c>
      <c r="R25" s="389">
        <f>'6-Ⅱ⑤'!C6</f>
        <v>88</v>
      </c>
    </row>
    <row r="26" spans="1:18" ht="20.25" customHeight="1" x14ac:dyDescent="0.2">
      <c r="E26" s="1127" t="s">
        <v>24</v>
      </c>
      <c r="F26" s="1128"/>
      <c r="G26" s="637">
        <f t="shared" si="5"/>
        <v>247</v>
      </c>
      <c r="H26" s="410">
        <f t="shared" si="4"/>
        <v>50</v>
      </c>
      <c r="J26" s="289" t="s">
        <v>196</v>
      </c>
      <c r="K26" s="389">
        <f>'２-Ⅳ'!B7</f>
        <v>1214</v>
      </c>
      <c r="L26" s="389">
        <f>'２-Ⅳ'!F7</f>
        <v>38</v>
      </c>
      <c r="M26" s="389">
        <f>'２-Ⅳ'!G7</f>
        <v>140</v>
      </c>
      <c r="N26" s="351"/>
      <c r="O26" s="291" t="s">
        <v>358</v>
      </c>
      <c r="P26" s="389">
        <f>'6-Ⅱ⑤'!D16</f>
        <v>1246</v>
      </c>
      <c r="Q26" s="389">
        <f>'6-Ⅱ⑤'!D4</f>
        <v>23</v>
      </c>
      <c r="R26" s="389">
        <f>'6-Ⅱ⑤'!D6</f>
        <v>114</v>
      </c>
    </row>
    <row r="27" spans="1:18" ht="20.25" customHeight="1" thickBot="1" x14ac:dyDescent="0.25">
      <c r="A27" s="387" t="s">
        <v>417</v>
      </c>
      <c r="B27" s="387" t="s">
        <v>401</v>
      </c>
      <c r="C27" s="387" t="s">
        <v>1</v>
      </c>
      <c r="E27" s="1127" t="s">
        <v>25</v>
      </c>
      <c r="F27" s="1128"/>
      <c r="G27" s="637">
        <f t="shared" si="5"/>
        <v>49</v>
      </c>
      <c r="H27" s="410">
        <f t="shared" si="4"/>
        <v>6</v>
      </c>
      <c r="J27" s="289" t="s">
        <v>197</v>
      </c>
      <c r="K27" s="389">
        <f>'２-Ⅳ'!B8</f>
        <v>1418</v>
      </c>
      <c r="L27" s="389">
        <f>'２-Ⅳ'!F8</f>
        <v>28</v>
      </c>
      <c r="M27" s="389">
        <f>'２-Ⅳ'!G8</f>
        <v>134</v>
      </c>
      <c r="N27" s="351"/>
      <c r="O27" s="291" t="s">
        <v>359</v>
      </c>
      <c r="P27" s="389">
        <f>'6-Ⅱ⑤'!E16</f>
        <v>1051</v>
      </c>
      <c r="Q27" s="389">
        <f>'6-Ⅱ⑤'!E4</f>
        <v>39</v>
      </c>
      <c r="R27" s="389">
        <f>'6-Ⅱ⑤'!E6</f>
        <v>161</v>
      </c>
    </row>
    <row r="28" spans="1:18" ht="20.25" customHeight="1" thickTop="1" x14ac:dyDescent="0.2">
      <c r="A28" s="401" t="s">
        <v>257</v>
      </c>
      <c r="B28" s="412">
        <f>P43</f>
        <v>300</v>
      </c>
      <c r="C28" s="428">
        <f>Q43</f>
        <v>2.1417862497322766E-2</v>
      </c>
      <c r="E28" s="1127" t="s">
        <v>238</v>
      </c>
      <c r="F28" s="1128"/>
      <c r="G28" s="637">
        <f t="shared" si="5"/>
        <v>41</v>
      </c>
      <c r="H28" s="410">
        <f t="shared" si="4"/>
        <v>14</v>
      </c>
      <c r="J28" s="289" t="s">
        <v>198</v>
      </c>
      <c r="K28" s="389">
        <f>'２-Ⅳ'!B9</f>
        <v>875</v>
      </c>
      <c r="L28" s="389">
        <f>'２-Ⅳ'!F9</f>
        <v>8</v>
      </c>
      <c r="M28" s="389">
        <f>'２-Ⅳ'!G9</f>
        <v>61</v>
      </c>
      <c r="N28" s="351"/>
      <c r="O28" s="291" t="s">
        <v>360</v>
      </c>
      <c r="P28" s="389">
        <f>'6-Ⅱ⑤'!F16</f>
        <v>1056</v>
      </c>
      <c r="Q28" s="389">
        <f>'6-Ⅱ⑤'!F4</f>
        <v>28</v>
      </c>
      <c r="R28" s="389">
        <f>'6-Ⅱ⑤'!F6</f>
        <v>104</v>
      </c>
    </row>
    <row r="29" spans="1:18" ht="20.25" customHeight="1" x14ac:dyDescent="0.2">
      <c r="A29" s="221" t="s">
        <v>258</v>
      </c>
      <c r="B29" s="391">
        <f t="shared" ref="B29:C34" si="6">P44</f>
        <v>1361</v>
      </c>
      <c r="C29" s="429">
        <f t="shared" si="6"/>
        <v>9.7165702862854281E-2</v>
      </c>
      <c r="E29" s="1127" t="s">
        <v>239</v>
      </c>
      <c r="F29" s="1128"/>
      <c r="G29" s="637">
        <f t="shared" si="5"/>
        <v>280</v>
      </c>
      <c r="H29" s="410">
        <f t="shared" si="4"/>
        <v>27</v>
      </c>
      <c r="J29" s="289" t="s">
        <v>199</v>
      </c>
      <c r="K29" s="389">
        <f>'２-Ⅳ'!B10</f>
        <v>669</v>
      </c>
      <c r="L29" s="389">
        <f>'２-Ⅳ'!F10</f>
        <v>3</v>
      </c>
      <c r="M29" s="389">
        <f>'２-Ⅳ'!G10</f>
        <v>44</v>
      </c>
      <c r="N29" s="351"/>
      <c r="O29" s="291" t="s">
        <v>361</v>
      </c>
      <c r="P29" s="389">
        <f>'6-Ⅱ⑤'!G16</f>
        <v>2983</v>
      </c>
      <c r="Q29" s="389">
        <f>'6-Ⅱ⑤'!G4</f>
        <v>15</v>
      </c>
      <c r="R29" s="389">
        <f>'6-Ⅱ⑤'!G6</f>
        <v>233</v>
      </c>
    </row>
    <row r="30" spans="1:18" ht="20.25" customHeight="1" x14ac:dyDescent="0.2">
      <c r="A30" s="221" t="s">
        <v>382</v>
      </c>
      <c r="B30" s="391">
        <f t="shared" si="6"/>
        <v>2815</v>
      </c>
      <c r="C30" s="429">
        <f t="shared" si="6"/>
        <v>0.20097094309987862</v>
      </c>
      <c r="E30" s="1127" t="s">
        <v>79</v>
      </c>
      <c r="F30" s="1128"/>
      <c r="G30" s="637">
        <f t="shared" si="5"/>
        <v>188</v>
      </c>
      <c r="H30" s="410">
        <f t="shared" si="4"/>
        <v>26</v>
      </c>
      <c r="J30" s="289" t="s">
        <v>200</v>
      </c>
      <c r="K30" s="389">
        <f>'２-Ⅳ'!B11</f>
        <v>1021</v>
      </c>
      <c r="L30" s="389">
        <f>'２-Ⅳ'!F11</f>
        <v>6</v>
      </c>
      <c r="M30" s="389">
        <f>'２-Ⅳ'!G11</f>
        <v>75</v>
      </c>
      <c r="N30" s="351"/>
      <c r="O30" s="291" t="s">
        <v>362</v>
      </c>
      <c r="P30" s="389">
        <f>'6-Ⅱ⑤'!H16</f>
        <v>2817</v>
      </c>
      <c r="Q30" s="389">
        <f>'6-Ⅱ⑤'!H4</f>
        <v>84</v>
      </c>
      <c r="R30" s="389">
        <f>'6-Ⅱ⑤'!H6</f>
        <v>335</v>
      </c>
    </row>
    <row r="31" spans="1:18" ht="20.25" customHeight="1" x14ac:dyDescent="0.2">
      <c r="A31" s="221" t="s">
        <v>383</v>
      </c>
      <c r="B31" s="391">
        <f t="shared" si="6"/>
        <v>5639</v>
      </c>
      <c r="C31" s="429">
        <f t="shared" si="6"/>
        <v>0.40258442207467693</v>
      </c>
      <c r="E31" s="1127" t="s">
        <v>240</v>
      </c>
      <c r="F31" s="1128"/>
      <c r="G31" s="637">
        <f t="shared" si="5"/>
        <v>49</v>
      </c>
      <c r="H31" s="410">
        <f t="shared" si="4"/>
        <v>7</v>
      </c>
      <c r="J31" s="289" t="s">
        <v>201</v>
      </c>
      <c r="K31" s="389">
        <f>'２-Ⅳ'!B12</f>
        <v>672</v>
      </c>
      <c r="L31" s="389">
        <f>'２-Ⅳ'!F12</f>
        <v>6</v>
      </c>
      <c r="M31" s="389">
        <f>'２-Ⅳ'!G12</f>
        <v>49</v>
      </c>
      <c r="N31" s="351"/>
      <c r="O31" s="291" t="s">
        <v>363</v>
      </c>
      <c r="P31" s="389">
        <f>'6-Ⅱ⑤'!I16</f>
        <v>1380</v>
      </c>
      <c r="Q31" s="389">
        <f>'6-Ⅱ⑤'!I4</f>
        <v>14</v>
      </c>
      <c r="R31" s="389">
        <f>'6-Ⅱ⑤'!I6</f>
        <v>130</v>
      </c>
    </row>
    <row r="32" spans="1:18" ht="20.25" customHeight="1" x14ac:dyDescent="0.2">
      <c r="A32" s="221" t="s">
        <v>384</v>
      </c>
      <c r="B32" s="391">
        <f t="shared" si="6"/>
        <v>3347</v>
      </c>
      <c r="C32" s="429">
        <f t="shared" si="6"/>
        <v>0.238951952595131</v>
      </c>
      <c r="E32" s="1127" t="s">
        <v>113</v>
      </c>
      <c r="F32" s="1128"/>
      <c r="G32" s="637">
        <f t="shared" si="5"/>
        <v>24</v>
      </c>
      <c r="H32" s="410">
        <f t="shared" si="4"/>
        <v>1</v>
      </c>
      <c r="J32" s="289" t="s">
        <v>202</v>
      </c>
      <c r="K32" s="389">
        <f>'２-Ⅳ'!B13</f>
        <v>546</v>
      </c>
      <c r="L32" s="389">
        <f>'２-Ⅳ'!F13</f>
        <v>4</v>
      </c>
      <c r="M32" s="389">
        <f>'２-Ⅳ'!G13</f>
        <v>26</v>
      </c>
      <c r="N32" s="351"/>
      <c r="O32" s="291" t="s">
        <v>435</v>
      </c>
      <c r="P32" s="389">
        <f>'6-Ⅱ⑤'!J16</f>
        <v>1112</v>
      </c>
      <c r="Q32" s="389">
        <f>'6-Ⅱ⑤'!J4</f>
        <v>32</v>
      </c>
      <c r="R32" s="389">
        <f>'6-Ⅱ⑤'!J6</f>
        <v>94</v>
      </c>
    </row>
    <row r="33" spans="1:18" ht="20.25" customHeight="1" thickBot="1" x14ac:dyDescent="0.25">
      <c r="A33" s="394" t="s">
        <v>385</v>
      </c>
      <c r="B33" s="395">
        <f t="shared" si="6"/>
        <v>545</v>
      </c>
      <c r="C33" s="430">
        <f t="shared" si="6"/>
        <v>3.8909116870136359E-2</v>
      </c>
      <c r="E33" s="1129" t="s">
        <v>347</v>
      </c>
      <c r="F33" s="1130"/>
      <c r="G33" s="637">
        <f t="shared" si="5"/>
        <v>82</v>
      </c>
      <c r="H33" s="410">
        <f t="shared" si="4"/>
        <v>14</v>
      </c>
      <c r="J33" s="289" t="s">
        <v>203</v>
      </c>
      <c r="K33" s="389">
        <f>'２-Ⅳ'!B14</f>
        <v>505</v>
      </c>
      <c r="L33" s="389">
        <f>'２-Ⅳ'!F14</f>
        <v>1</v>
      </c>
      <c r="M33" s="389">
        <f>'２-Ⅳ'!G14</f>
        <v>30</v>
      </c>
      <c r="N33" s="351"/>
      <c r="O33" s="291" t="s">
        <v>244</v>
      </c>
      <c r="P33" s="389">
        <f>'6-Ⅱ⑤'!K16</f>
        <v>14007</v>
      </c>
      <c r="Q33" s="389">
        <f>'6-Ⅱ⑤'!K4</f>
        <v>300</v>
      </c>
      <c r="R33" s="389">
        <f>'6-Ⅱ⑤'!J6</f>
        <v>94</v>
      </c>
    </row>
    <row r="34" spans="1:18" ht="20.25" customHeight="1" thickTop="1" thickBot="1" x14ac:dyDescent="0.25">
      <c r="A34" s="411" t="s">
        <v>11</v>
      </c>
      <c r="B34" s="414">
        <f t="shared" si="6"/>
        <v>14007</v>
      </c>
      <c r="C34" s="415">
        <f t="shared" si="6"/>
        <v>0.99999999999999989</v>
      </c>
      <c r="E34" s="1123" t="s">
        <v>418</v>
      </c>
      <c r="F34" s="1124"/>
      <c r="G34" s="648">
        <f t="shared" si="5"/>
        <v>1</v>
      </c>
      <c r="H34" s="431">
        <f t="shared" si="4"/>
        <v>0</v>
      </c>
      <c r="J34" s="289" t="s">
        <v>204</v>
      </c>
      <c r="K34" s="389">
        <f>'２-Ⅳ'!B15</f>
        <v>392</v>
      </c>
      <c r="L34" s="389">
        <f>'２-Ⅳ'!F15</f>
        <v>2</v>
      </c>
      <c r="M34" s="389">
        <f>'２-Ⅳ'!G15</f>
        <v>30</v>
      </c>
      <c r="N34" s="351"/>
      <c r="O34" s="351"/>
      <c r="P34" s="351"/>
      <c r="Q34" s="351"/>
      <c r="R34" s="351"/>
    </row>
    <row r="35" spans="1:18" ht="20.25" customHeight="1" thickTop="1" x14ac:dyDescent="0.2">
      <c r="A35" s="145"/>
      <c r="B35" s="145"/>
      <c r="C35" s="647"/>
      <c r="E35" s="416" t="s">
        <v>11</v>
      </c>
      <c r="F35" s="417"/>
      <c r="G35" s="418">
        <f t="shared" si="5"/>
        <v>14007</v>
      </c>
      <c r="H35" s="419">
        <f t="shared" si="4"/>
        <v>1661</v>
      </c>
      <c r="J35" s="289" t="s">
        <v>205</v>
      </c>
      <c r="K35" s="389">
        <f>'２-Ⅳ'!B16</f>
        <v>366</v>
      </c>
      <c r="L35" s="389">
        <f>'２-Ⅳ'!F16</f>
        <v>0</v>
      </c>
      <c r="M35" s="389">
        <f>'２-Ⅳ'!G16</f>
        <v>28</v>
      </c>
      <c r="N35" s="351"/>
      <c r="O35" s="351"/>
      <c r="P35" s="351"/>
      <c r="Q35" s="351"/>
      <c r="R35" s="351"/>
    </row>
    <row r="36" spans="1:18" ht="20.25" customHeight="1" x14ac:dyDescent="0.2">
      <c r="J36" s="289" t="s">
        <v>206</v>
      </c>
      <c r="K36" s="389">
        <f>'２-Ⅳ'!B17</f>
        <v>271</v>
      </c>
      <c r="L36" s="389">
        <f>'２-Ⅳ'!F17</f>
        <v>1</v>
      </c>
      <c r="M36" s="389">
        <f>'２-Ⅳ'!G17</f>
        <v>20</v>
      </c>
      <c r="N36" s="351"/>
      <c r="O36" s="351"/>
      <c r="P36" s="351"/>
      <c r="Q36" s="351"/>
      <c r="R36" s="351"/>
    </row>
    <row r="37" spans="1:18" ht="20.25" customHeight="1" x14ac:dyDescent="0.2">
      <c r="A37" s="4" t="s">
        <v>420</v>
      </c>
      <c r="J37" s="289" t="s">
        <v>207</v>
      </c>
      <c r="K37" s="389">
        <f>'２-Ⅳ'!B18</f>
        <v>208</v>
      </c>
      <c r="L37" s="389">
        <f>'２-Ⅳ'!F18</f>
        <v>0</v>
      </c>
      <c r="M37" s="389">
        <f>'２-Ⅳ'!G18</f>
        <v>15</v>
      </c>
      <c r="N37" s="351"/>
      <c r="O37" s="351"/>
      <c r="P37" s="351"/>
      <c r="Q37" s="351"/>
      <c r="R37" s="351"/>
    </row>
    <row r="38" spans="1:18" ht="20.25" customHeight="1" x14ac:dyDescent="0.2">
      <c r="J38" s="289" t="s">
        <v>208</v>
      </c>
      <c r="K38" s="389">
        <f>'２-Ⅳ'!B19</f>
        <v>1203</v>
      </c>
      <c r="L38" s="389">
        <f>'２-Ⅳ'!F19</f>
        <v>6</v>
      </c>
      <c r="M38" s="389">
        <f>'２-Ⅳ'!G19</f>
        <v>70</v>
      </c>
      <c r="N38" s="351"/>
      <c r="O38" s="351"/>
      <c r="P38" s="351"/>
      <c r="Q38" s="351"/>
      <c r="R38" s="351"/>
    </row>
    <row r="39" spans="1:18" ht="20.25" customHeight="1" thickBot="1" x14ac:dyDescent="0.25">
      <c r="A39" s="420" t="s">
        <v>247</v>
      </c>
      <c r="B39" s="420" t="s">
        <v>401</v>
      </c>
      <c r="C39" s="420" t="s">
        <v>256</v>
      </c>
      <c r="E39" s="1137" t="s">
        <v>433</v>
      </c>
      <c r="F39" s="1138"/>
      <c r="G39" s="421" t="s">
        <v>401</v>
      </c>
      <c r="H39" s="421" t="s">
        <v>256</v>
      </c>
      <c r="J39" s="289" t="s">
        <v>60</v>
      </c>
      <c r="K39" s="389">
        <f>'２-Ⅳ'!B20</f>
        <v>705</v>
      </c>
      <c r="L39" s="389">
        <f>'２-Ⅳ'!F20</f>
        <v>3</v>
      </c>
      <c r="M39" s="389">
        <f>'２-Ⅳ'!G20</f>
        <v>37</v>
      </c>
      <c r="N39" s="351"/>
      <c r="O39" s="351"/>
      <c r="P39" s="351"/>
      <c r="Q39" s="351"/>
      <c r="R39" s="351"/>
    </row>
    <row r="40" spans="1:18" ht="20.25" customHeight="1" thickTop="1" x14ac:dyDescent="0.2">
      <c r="A40" s="621" t="s">
        <v>403</v>
      </c>
      <c r="B40" s="390">
        <f t="shared" ref="B40:B51" si="7">K65</f>
        <v>3</v>
      </c>
      <c r="C40" s="390">
        <f t="shared" ref="C40:C51" si="8">L65+M65</f>
        <v>0</v>
      </c>
      <c r="E40" s="1131" t="s">
        <v>404</v>
      </c>
      <c r="F40" s="1132"/>
      <c r="G40" s="391">
        <f t="shared" ref="G40:G48" si="9">P86</f>
        <v>615</v>
      </c>
      <c r="H40" s="392">
        <f t="shared" ref="H40:H48" si="10">Q86+R86</f>
        <v>39</v>
      </c>
      <c r="J40" s="289" t="s">
        <v>244</v>
      </c>
      <c r="K40" s="389">
        <f>'２-Ⅳ'!B21</f>
        <v>14007</v>
      </c>
      <c r="L40" s="389">
        <f>'２-Ⅳ'!F21</f>
        <v>300</v>
      </c>
      <c r="M40" s="389">
        <f>'２-Ⅳ'!G21</f>
        <v>1361</v>
      </c>
      <c r="N40" s="351"/>
      <c r="O40" s="351"/>
      <c r="P40" s="351"/>
      <c r="Q40" s="351"/>
      <c r="R40" s="351"/>
    </row>
    <row r="41" spans="1:18" ht="20.25" customHeight="1" x14ac:dyDescent="0.2">
      <c r="A41" s="221" t="s">
        <v>3</v>
      </c>
      <c r="B41" s="391">
        <f t="shared" si="7"/>
        <v>49</v>
      </c>
      <c r="C41" s="391">
        <f t="shared" si="8"/>
        <v>5</v>
      </c>
      <c r="E41" s="1131" t="s">
        <v>405</v>
      </c>
      <c r="F41" s="1132"/>
      <c r="G41" s="391">
        <f t="shared" si="9"/>
        <v>640</v>
      </c>
      <c r="H41" s="392">
        <f t="shared" si="10"/>
        <v>29</v>
      </c>
      <c r="J41" s="351"/>
      <c r="K41" s="351"/>
      <c r="L41" s="351"/>
      <c r="M41" s="351"/>
      <c r="N41" s="351"/>
      <c r="O41" s="351"/>
      <c r="P41" s="351"/>
      <c r="Q41" s="351"/>
      <c r="R41" s="351"/>
    </row>
    <row r="42" spans="1:18" ht="20.25" customHeight="1" thickBot="1" x14ac:dyDescent="0.25">
      <c r="A42" s="221" t="s">
        <v>4</v>
      </c>
      <c r="B42" s="391">
        <f t="shared" si="7"/>
        <v>133</v>
      </c>
      <c r="C42" s="391">
        <f t="shared" si="8"/>
        <v>15</v>
      </c>
      <c r="E42" s="1131" t="s">
        <v>406</v>
      </c>
      <c r="F42" s="1132"/>
      <c r="G42" s="391">
        <f t="shared" si="9"/>
        <v>561</v>
      </c>
      <c r="H42" s="392">
        <f t="shared" si="10"/>
        <v>35</v>
      </c>
      <c r="J42" s="649" t="s">
        <v>423</v>
      </c>
      <c r="K42" s="633" t="s">
        <v>422</v>
      </c>
      <c r="L42" s="643" t="s">
        <v>28</v>
      </c>
      <c r="M42" s="643" t="s">
        <v>29</v>
      </c>
      <c r="N42" s="351"/>
      <c r="O42" s="650" t="s">
        <v>424</v>
      </c>
      <c r="P42" s="650" t="s">
        <v>425</v>
      </c>
      <c r="Q42" s="650" t="s">
        <v>214</v>
      </c>
      <c r="R42" s="351"/>
    </row>
    <row r="43" spans="1:18" ht="20.25" customHeight="1" thickTop="1" x14ac:dyDescent="0.2">
      <c r="A43" s="221" t="s">
        <v>5</v>
      </c>
      <c r="B43" s="391">
        <f t="shared" si="7"/>
        <v>465</v>
      </c>
      <c r="C43" s="391">
        <f t="shared" si="8"/>
        <v>34</v>
      </c>
      <c r="E43" s="1131" t="s">
        <v>407</v>
      </c>
      <c r="F43" s="1132"/>
      <c r="G43" s="391">
        <f t="shared" si="9"/>
        <v>495</v>
      </c>
      <c r="H43" s="392">
        <f t="shared" si="10"/>
        <v>57</v>
      </c>
      <c r="J43" s="651" t="s">
        <v>374</v>
      </c>
      <c r="K43" s="389">
        <f>'２-Ⅲ'!C5</f>
        <v>4186</v>
      </c>
      <c r="L43" s="389">
        <f>'２-Ⅲ'!H5</f>
        <v>41</v>
      </c>
      <c r="M43" s="389">
        <f>'２-Ⅲ'!I5</f>
        <v>241</v>
      </c>
      <c r="N43" s="351"/>
      <c r="O43" s="652" t="s">
        <v>28</v>
      </c>
      <c r="P43" s="653">
        <f>'２-Ⅴ'!B5</f>
        <v>300</v>
      </c>
      <c r="Q43" s="654">
        <f>'２-Ⅴ'!C5</f>
        <v>2.1417862497322766E-2</v>
      </c>
      <c r="R43" s="351"/>
    </row>
    <row r="44" spans="1:18" ht="20.25" customHeight="1" x14ac:dyDescent="0.2">
      <c r="A44" s="221" t="s">
        <v>6</v>
      </c>
      <c r="B44" s="391">
        <f t="shared" si="7"/>
        <v>1269</v>
      </c>
      <c r="C44" s="391">
        <f t="shared" si="8"/>
        <v>101</v>
      </c>
      <c r="E44" s="1131" t="s">
        <v>408</v>
      </c>
      <c r="F44" s="1132"/>
      <c r="G44" s="391">
        <f t="shared" si="9"/>
        <v>549</v>
      </c>
      <c r="H44" s="392">
        <f t="shared" si="10"/>
        <v>40</v>
      </c>
      <c r="J44" s="655" t="s">
        <v>375</v>
      </c>
      <c r="K44" s="389">
        <f>'２-Ⅲ'!C6</f>
        <v>2211</v>
      </c>
      <c r="L44" s="389">
        <f>'２-Ⅲ'!H6</f>
        <v>24</v>
      </c>
      <c r="M44" s="389">
        <f>'２-Ⅲ'!I6</f>
        <v>99</v>
      </c>
      <c r="N44" s="351"/>
      <c r="O44" s="651" t="s">
        <v>29</v>
      </c>
      <c r="P44" s="656">
        <f>'２-Ⅴ'!B6</f>
        <v>1361</v>
      </c>
      <c r="Q44" s="657">
        <f>'２-Ⅴ'!C6</f>
        <v>9.7165702862854281E-2</v>
      </c>
      <c r="R44" s="351"/>
    </row>
    <row r="45" spans="1:18" ht="20.25" customHeight="1" x14ac:dyDescent="0.2">
      <c r="A45" s="221" t="s">
        <v>7</v>
      </c>
      <c r="B45" s="391">
        <f t="shared" si="7"/>
        <v>1439</v>
      </c>
      <c r="C45" s="391">
        <f t="shared" si="8"/>
        <v>105</v>
      </c>
      <c r="E45" s="1131" t="s">
        <v>409</v>
      </c>
      <c r="F45" s="1132"/>
      <c r="G45" s="391">
        <f t="shared" si="9"/>
        <v>1860</v>
      </c>
      <c r="H45" s="392">
        <f t="shared" si="10"/>
        <v>113</v>
      </c>
      <c r="J45" s="655" t="s">
        <v>376</v>
      </c>
      <c r="K45" s="389">
        <f>'２-Ⅲ'!C7</f>
        <v>252</v>
      </c>
      <c r="L45" s="389">
        <f>'２-Ⅲ'!H7</f>
        <v>1</v>
      </c>
      <c r="M45" s="389">
        <f>'２-Ⅲ'!I7</f>
        <v>14</v>
      </c>
      <c r="N45" s="351"/>
      <c r="O45" s="651" t="s">
        <v>30</v>
      </c>
      <c r="P45" s="656">
        <f>'２-Ⅴ'!B7</f>
        <v>2815</v>
      </c>
      <c r="Q45" s="657">
        <f>'２-Ⅴ'!C7</f>
        <v>0.20097094309987862</v>
      </c>
      <c r="R45" s="351"/>
    </row>
    <row r="46" spans="1:18" ht="20.25" customHeight="1" x14ac:dyDescent="0.2">
      <c r="A46" s="221" t="s">
        <v>8</v>
      </c>
      <c r="B46" s="391">
        <f t="shared" si="7"/>
        <v>1927</v>
      </c>
      <c r="C46" s="391">
        <f t="shared" si="8"/>
        <v>151</v>
      </c>
      <c r="E46" s="1131" t="s">
        <v>380</v>
      </c>
      <c r="F46" s="1132"/>
      <c r="G46" s="391">
        <f t="shared" si="9"/>
        <v>1345</v>
      </c>
      <c r="H46" s="392">
        <f t="shared" si="10"/>
        <v>109</v>
      </c>
      <c r="J46" s="658" t="s">
        <v>426</v>
      </c>
      <c r="K46" s="389">
        <f>'２-Ⅲ'!C8</f>
        <v>1723</v>
      </c>
      <c r="L46" s="389">
        <f>'２-Ⅲ'!H8</f>
        <v>16</v>
      </c>
      <c r="M46" s="389">
        <f>'２-Ⅲ'!I8</f>
        <v>128</v>
      </c>
      <c r="N46" s="351"/>
      <c r="O46" s="651" t="s">
        <v>31</v>
      </c>
      <c r="P46" s="656">
        <f>'２-Ⅴ'!B8</f>
        <v>5639</v>
      </c>
      <c r="Q46" s="657">
        <f>'２-Ⅴ'!C8</f>
        <v>0.40258442207467693</v>
      </c>
      <c r="R46" s="351"/>
    </row>
    <row r="47" spans="1:18" ht="20.25" customHeight="1" x14ac:dyDescent="0.2">
      <c r="A47" s="221" t="s">
        <v>9</v>
      </c>
      <c r="B47" s="391">
        <f t="shared" si="7"/>
        <v>1692</v>
      </c>
      <c r="C47" s="391">
        <f t="shared" si="8"/>
        <v>94</v>
      </c>
      <c r="E47" s="1131" t="s">
        <v>381</v>
      </c>
      <c r="F47" s="1132"/>
      <c r="G47" s="391">
        <f t="shared" si="9"/>
        <v>734</v>
      </c>
      <c r="H47" s="393">
        <f t="shared" si="10"/>
        <v>55</v>
      </c>
      <c r="J47" s="651" t="s">
        <v>20</v>
      </c>
      <c r="K47" s="389">
        <f>'２-Ⅲ'!C9</f>
        <v>746</v>
      </c>
      <c r="L47" s="389">
        <f>'２-Ⅲ'!H9</f>
        <v>43</v>
      </c>
      <c r="M47" s="389">
        <f>'２-Ⅲ'!I9</f>
        <v>183</v>
      </c>
      <c r="N47" s="351"/>
      <c r="O47" s="651" t="s">
        <v>32</v>
      </c>
      <c r="P47" s="656">
        <f>'２-Ⅴ'!B9</f>
        <v>3347</v>
      </c>
      <c r="Q47" s="657">
        <f>'２-Ⅴ'!C9</f>
        <v>0.238951952595131</v>
      </c>
      <c r="R47" s="351"/>
    </row>
    <row r="48" spans="1:18" ht="20.25" customHeight="1" thickBot="1" x14ac:dyDescent="0.25">
      <c r="A48" s="394" t="s">
        <v>10</v>
      </c>
      <c r="B48" s="395">
        <f t="shared" si="7"/>
        <v>456</v>
      </c>
      <c r="C48" s="395">
        <f t="shared" si="8"/>
        <v>20</v>
      </c>
      <c r="E48" s="1131" t="s">
        <v>434</v>
      </c>
      <c r="F48" s="1132"/>
      <c r="G48" s="391">
        <f t="shared" si="9"/>
        <v>634</v>
      </c>
      <c r="H48" s="393">
        <f t="shared" si="10"/>
        <v>48</v>
      </c>
      <c r="J48" s="651" t="s">
        <v>21</v>
      </c>
      <c r="K48" s="389">
        <f>'２-Ⅲ'!C10</f>
        <v>6451</v>
      </c>
      <c r="L48" s="389">
        <f>'２-Ⅲ'!H10</f>
        <v>96</v>
      </c>
      <c r="M48" s="389">
        <f>'２-Ⅲ'!I10</f>
        <v>610</v>
      </c>
      <c r="N48" s="351"/>
      <c r="O48" s="659" t="s">
        <v>33</v>
      </c>
      <c r="P48" s="660">
        <f>'２-Ⅴ'!B10</f>
        <v>545</v>
      </c>
      <c r="Q48" s="661">
        <f>'２-Ⅴ'!C10</f>
        <v>3.8909116870136359E-2</v>
      </c>
      <c r="R48" s="351"/>
    </row>
    <row r="49" spans="1:18" ht="20.25" customHeight="1" thickTop="1" thickBot="1" x14ac:dyDescent="0.25">
      <c r="A49" s="423" t="s">
        <v>11</v>
      </c>
      <c r="B49" s="662">
        <f t="shared" si="7"/>
        <v>7433</v>
      </c>
      <c r="C49" s="662">
        <f t="shared" si="8"/>
        <v>525</v>
      </c>
      <c r="E49" s="1133" t="s">
        <v>11</v>
      </c>
      <c r="F49" s="1134"/>
      <c r="G49" s="663">
        <f>SUM(G40:G48)</f>
        <v>7433</v>
      </c>
      <c r="H49" s="422">
        <f>SUM(H40:H48)</f>
        <v>525</v>
      </c>
      <c r="J49" s="651" t="s">
        <v>22</v>
      </c>
      <c r="K49" s="389">
        <f>'２-Ⅲ'!C11</f>
        <v>1663</v>
      </c>
      <c r="L49" s="389">
        <f>'２-Ⅲ'!H11</f>
        <v>79</v>
      </c>
      <c r="M49" s="389">
        <f>'２-Ⅲ'!I11</f>
        <v>223</v>
      </c>
      <c r="N49" s="351"/>
      <c r="O49" s="664" t="s">
        <v>244</v>
      </c>
      <c r="P49" s="653">
        <f>'２-Ⅴ'!B11</f>
        <v>14007</v>
      </c>
      <c r="Q49" s="665">
        <f>'２-Ⅴ'!C11</f>
        <v>0.99999999999999989</v>
      </c>
      <c r="R49" s="351"/>
    </row>
    <row r="50" spans="1:18" ht="20.25" customHeight="1" thickTop="1" x14ac:dyDescent="0.2">
      <c r="A50" s="401" t="s">
        <v>410</v>
      </c>
      <c r="B50" s="636">
        <f t="shared" si="7"/>
        <v>2668</v>
      </c>
      <c r="C50" s="636">
        <f t="shared" si="8"/>
        <v>198</v>
      </c>
      <c r="E50" s="145"/>
      <c r="F50" s="145"/>
      <c r="G50" s="26"/>
      <c r="H50" s="400"/>
      <c r="J50" s="651" t="s">
        <v>235</v>
      </c>
      <c r="K50" s="389">
        <f>'２-Ⅲ'!C12</f>
        <v>247</v>
      </c>
      <c r="L50" s="389">
        <f>'２-Ⅲ'!H12</f>
        <v>13</v>
      </c>
      <c r="M50" s="389">
        <f>'２-Ⅲ'!I12</f>
        <v>37</v>
      </c>
      <c r="N50" s="351"/>
      <c r="O50" s="351"/>
      <c r="P50" s="351"/>
      <c r="Q50" s="351"/>
      <c r="R50" s="351"/>
    </row>
    <row r="51" spans="1:18" ht="20.25" customHeight="1" x14ac:dyDescent="0.2">
      <c r="A51" s="221" t="s">
        <v>411</v>
      </c>
      <c r="B51" s="637">
        <f t="shared" si="7"/>
        <v>4765</v>
      </c>
      <c r="C51" s="637">
        <f t="shared" si="8"/>
        <v>327</v>
      </c>
      <c r="J51" s="651" t="s">
        <v>236</v>
      </c>
      <c r="K51" s="389">
        <f>'２-Ⅲ'!C13</f>
        <v>49</v>
      </c>
      <c r="L51" s="389">
        <f>'２-Ⅲ'!H13</f>
        <v>3</v>
      </c>
      <c r="M51" s="389">
        <f>'２-Ⅲ'!I13</f>
        <v>3</v>
      </c>
      <c r="N51" s="351"/>
      <c r="O51" s="351"/>
      <c r="P51" s="351"/>
      <c r="Q51" s="351"/>
      <c r="R51" s="351"/>
    </row>
    <row r="52" spans="1:18" ht="20.25" customHeight="1" x14ac:dyDescent="0.2">
      <c r="J52" s="651" t="s">
        <v>241</v>
      </c>
      <c r="K52" s="389">
        <f>'２-Ⅲ'!C14</f>
        <v>41</v>
      </c>
      <c r="L52" s="389">
        <f>'２-Ⅲ'!H14</f>
        <v>7</v>
      </c>
      <c r="M52" s="389">
        <f>'２-Ⅲ'!I14</f>
        <v>7</v>
      </c>
      <c r="N52" s="351"/>
      <c r="O52" s="351"/>
      <c r="P52" s="351"/>
      <c r="Q52" s="351"/>
      <c r="R52" s="351"/>
    </row>
    <row r="53" spans="1:18" ht="20.25" customHeight="1" x14ac:dyDescent="0.2">
      <c r="J53" s="651" t="s">
        <v>419</v>
      </c>
      <c r="K53" s="389">
        <f>'２-Ⅲ'!C15</f>
        <v>280</v>
      </c>
      <c r="L53" s="389">
        <f>'２-Ⅲ'!H15</f>
        <v>5</v>
      </c>
      <c r="M53" s="389">
        <f>'２-Ⅲ'!I15</f>
        <v>22</v>
      </c>
      <c r="N53" s="351"/>
      <c r="O53" s="351"/>
      <c r="P53" s="351"/>
      <c r="Q53" s="351"/>
      <c r="R53" s="351"/>
    </row>
    <row r="54" spans="1:18" ht="20.25" customHeight="1" thickBot="1" x14ac:dyDescent="0.25">
      <c r="A54" s="420" t="s">
        <v>417</v>
      </c>
      <c r="B54" s="420" t="s">
        <v>401</v>
      </c>
      <c r="C54" s="420" t="s">
        <v>1</v>
      </c>
      <c r="E54" s="1135" t="s">
        <v>77</v>
      </c>
      <c r="F54" s="1136"/>
      <c r="G54" s="421" t="s">
        <v>401</v>
      </c>
      <c r="H54" s="421" t="s">
        <v>256</v>
      </c>
      <c r="J54" s="651" t="s">
        <v>23</v>
      </c>
      <c r="K54" s="389">
        <f>'２-Ⅲ'!C16</f>
        <v>188</v>
      </c>
      <c r="L54" s="389">
        <f>'２-Ⅲ'!H16</f>
        <v>7</v>
      </c>
      <c r="M54" s="389">
        <f>'２-Ⅲ'!I16</f>
        <v>19</v>
      </c>
      <c r="N54" s="351"/>
      <c r="O54" s="351"/>
      <c r="P54" s="351"/>
      <c r="Q54" s="351"/>
      <c r="R54" s="351"/>
    </row>
    <row r="55" spans="1:18" ht="20.25" customHeight="1" thickTop="1" x14ac:dyDescent="0.2">
      <c r="A55" s="401" t="s">
        <v>257</v>
      </c>
      <c r="B55" s="412">
        <f t="shared" ref="B55:C61" si="11">P105</f>
        <v>40</v>
      </c>
      <c r="C55" s="428">
        <f t="shared" si="11"/>
        <v>5.3814072379927353E-3</v>
      </c>
      <c r="E55" s="1127" t="s">
        <v>110</v>
      </c>
      <c r="F55" s="1128"/>
      <c r="G55" s="404">
        <f t="shared" ref="G55:G71" si="12">K105</f>
        <v>1889</v>
      </c>
      <c r="H55" s="637">
        <f t="shared" ref="H55:H71" si="13">SUM(L105:M105)</f>
        <v>86</v>
      </c>
      <c r="J55" s="651" t="s">
        <v>242</v>
      </c>
      <c r="K55" s="389">
        <f>'２-Ⅲ'!C17</f>
        <v>49</v>
      </c>
      <c r="L55" s="389">
        <f>'２-Ⅲ'!H17</f>
        <v>2</v>
      </c>
      <c r="M55" s="389">
        <f>'２-Ⅲ'!I17</f>
        <v>5</v>
      </c>
      <c r="N55" s="351"/>
      <c r="O55" s="351"/>
      <c r="P55" s="351"/>
      <c r="Q55" s="351"/>
      <c r="R55" s="351"/>
    </row>
    <row r="56" spans="1:18" ht="20.25" customHeight="1" x14ac:dyDescent="0.2">
      <c r="A56" s="221" t="s">
        <v>258</v>
      </c>
      <c r="B56" s="391">
        <f t="shared" si="11"/>
        <v>485</v>
      </c>
      <c r="C56" s="429">
        <f t="shared" si="11"/>
        <v>6.5249562760661919E-2</v>
      </c>
      <c r="E56" s="405"/>
      <c r="F56" s="406" t="s">
        <v>111</v>
      </c>
      <c r="G56" s="638">
        <f t="shared" si="12"/>
        <v>997</v>
      </c>
      <c r="H56" s="639">
        <f t="shared" si="13"/>
        <v>35</v>
      </c>
      <c r="J56" s="651" t="s">
        <v>66</v>
      </c>
      <c r="K56" s="389">
        <f>'２-Ⅲ'!C18</f>
        <v>24</v>
      </c>
      <c r="L56" s="389">
        <f>'２-Ⅲ'!H18</f>
        <v>0</v>
      </c>
      <c r="M56" s="389">
        <f>'２-Ⅲ'!I18</f>
        <v>1</v>
      </c>
      <c r="N56" s="351"/>
      <c r="O56" s="351"/>
      <c r="P56" s="351"/>
      <c r="Q56" s="351"/>
      <c r="R56" s="351"/>
    </row>
    <row r="57" spans="1:18" ht="20.25" customHeight="1" x14ac:dyDescent="0.2">
      <c r="A57" s="221" t="s">
        <v>382</v>
      </c>
      <c r="B57" s="391">
        <f t="shared" si="11"/>
        <v>1276</v>
      </c>
      <c r="C57" s="429">
        <f t="shared" si="11"/>
        <v>0.17166689089196824</v>
      </c>
      <c r="E57" s="405"/>
      <c r="F57" s="407" t="s">
        <v>98</v>
      </c>
      <c r="G57" s="638">
        <f t="shared" si="12"/>
        <v>123</v>
      </c>
      <c r="H57" s="640">
        <f t="shared" si="13"/>
        <v>4</v>
      </c>
      <c r="J57" s="651" t="s">
        <v>18</v>
      </c>
      <c r="K57" s="389">
        <f>'２-Ⅲ'!C19</f>
        <v>82</v>
      </c>
      <c r="L57" s="389">
        <f>'２-Ⅲ'!H19</f>
        <v>4</v>
      </c>
      <c r="M57" s="389">
        <f>'２-Ⅲ'!I19</f>
        <v>10</v>
      </c>
      <c r="N57" s="351"/>
      <c r="O57" s="351"/>
      <c r="P57" s="351"/>
      <c r="Q57" s="351"/>
      <c r="R57" s="351"/>
    </row>
    <row r="58" spans="1:18" ht="20.25" customHeight="1" x14ac:dyDescent="0.2">
      <c r="A58" s="221" t="s">
        <v>383</v>
      </c>
      <c r="B58" s="391">
        <f t="shared" si="11"/>
        <v>3292</v>
      </c>
      <c r="C58" s="429">
        <f t="shared" si="11"/>
        <v>0.44288981568680208</v>
      </c>
      <c r="E58" s="408"/>
      <c r="F58" s="409" t="s">
        <v>19</v>
      </c>
      <c r="G58" s="638">
        <f t="shared" si="12"/>
        <v>769</v>
      </c>
      <c r="H58" s="641">
        <f t="shared" si="13"/>
        <v>47</v>
      </c>
      <c r="J58" s="291" t="s">
        <v>346</v>
      </c>
      <c r="K58" s="389">
        <f>'２-Ⅲ'!C20</f>
        <v>1</v>
      </c>
      <c r="L58" s="389">
        <f>'２-Ⅲ'!H20</f>
        <v>0</v>
      </c>
      <c r="M58" s="389">
        <f>'２-Ⅲ'!I20</f>
        <v>0</v>
      </c>
      <c r="N58" s="351"/>
      <c r="O58" s="351"/>
      <c r="P58" s="351"/>
      <c r="Q58" s="351"/>
      <c r="R58" s="351"/>
    </row>
    <row r="59" spans="1:18" ht="20.25" customHeight="1" x14ac:dyDescent="0.2">
      <c r="A59" s="221" t="s">
        <v>384</v>
      </c>
      <c r="B59" s="391">
        <f t="shared" si="11"/>
        <v>2039</v>
      </c>
      <c r="C59" s="429">
        <f t="shared" si="11"/>
        <v>0.27431723395667967</v>
      </c>
      <c r="E59" s="1127" t="s">
        <v>233</v>
      </c>
      <c r="F59" s="1128"/>
      <c r="G59" s="637">
        <f t="shared" si="12"/>
        <v>277</v>
      </c>
      <c r="H59" s="410">
        <f t="shared" si="13"/>
        <v>31</v>
      </c>
      <c r="J59" s="291" t="s">
        <v>244</v>
      </c>
      <c r="K59" s="389">
        <f>'２-Ⅲ'!C21</f>
        <v>14007</v>
      </c>
      <c r="L59" s="389">
        <f>'２-Ⅲ'!H21</f>
        <v>300</v>
      </c>
      <c r="M59" s="389">
        <f>'２-Ⅲ'!I21</f>
        <v>1361</v>
      </c>
    </row>
    <row r="60" spans="1:18" ht="20.25" customHeight="1" thickBot="1" x14ac:dyDescent="0.25">
      <c r="A60" s="394" t="s">
        <v>385</v>
      </c>
      <c r="B60" s="395">
        <f t="shared" si="11"/>
        <v>301</v>
      </c>
      <c r="C60" s="430">
        <f t="shared" si="11"/>
        <v>4.0495089465895334E-2</v>
      </c>
      <c r="E60" s="1127" t="s">
        <v>72</v>
      </c>
      <c r="F60" s="1128"/>
      <c r="G60" s="637">
        <f t="shared" si="12"/>
        <v>4321</v>
      </c>
      <c r="H60" s="410">
        <f t="shared" si="13"/>
        <v>311</v>
      </c>
    </row>
    <row r="61" spans="1:18" ht="20.25" customHeight="1" thickTop="1" x14ac:dyDescent="0.2">
      <c r="A61" s="424" t="s">
        <v>11</v>
      </c>
      <c r="B61" s="425">
        <f t="shared" si="11"/>
        <v>7433</v>
      </c>
      <c r="C61" s="426">
        <f t="shared" si="11"/>
        <v>1</v>
      </c>
      <c r="E61" s="1127" t="s">
        <v>73</v>
      </c>
      <c r="F61" s="1128"/>
      <c r="G61" s="637">
        <f t="shared" si="12"/>
        <v>596</v>
      </c>
      <c r="H61" s="410">
        <f t="shared" si="13"/>
        <v>63</v>
      </c>
    </row>
    <row r="62" spans="1:18" ht="20.25" customHeight="1" x14ac:dyDescent="0.2">
      <c r="E62" s="1127" t="s">
        <v>24</v>
      </c>
      <c r="F62" s="1128"/>
      <c r="G62" s="637">
        <f t="shared" si="12"/>
        <v>81</v>
      </c>
      <c r="H62" s="410">
        <f t="shared" si="13"/>
        <v>9</v>
      </c>
    </row>
    <row r="63" spans="1:18" ht="20.25" customHeight="1" x14ac:dyDescent="0.2">
      <c r="E63" s="1127" t="s">
        <v>25</v>
      </c>
      <c r="F63" s="1128"/>
      <c r="G63" s="637">
        <f t="shared" si="12"/>
        <v>6</v>
      </c>
      <c r="H63" s="410">
        <f t="shared" si="13"/>
        <v>0</v>
      </c>
      <c r="J63" s="363" t="s">
        <v>427</v>
      </c>
    </row>
    <row r="64" spans="1:18" ht="20.25" customHeight="1" x14ac:dyDescent="0.2">
      <c r="E64" s="1127" t="s">
        <v>238</v>
      </c>
      <c r="F64" s="1128"/>
      <c r="G64" s="637">
        <f t="shared" si="12"/>
        <v>11</v>
      </c>
      <c r="H64" s="410">
        <f t="shared" si="13"/>
        <v>2</v>
      </c>
      <c r="J64" s="633"/>
      <c r="K64" s="633" t="s">
        <v>422</v>
      </c>
      <c r="L64" s="633" t="s">
        <v>28</v>
      </c>
      <c r="M64" s="633" t="s">
        <v>29</v>
      </c>
      <c r="N64" s="351"/>
    </row>
    <row r="65" spans="1:18" ht="20.25" customHeight="1" x14ac:dyDescent="0.2">
      <c r="E65" s="1127" t="s">
        <v>239</v>
      </c>
      <c r="F65" s="1128"/>
      <c r="G65" s="637">
        <f t="shared" si="12"/>
        <v>134</v>
      </c>
      <c r="H65" s="410">
        <f t="shared" si="13"/>
        <v>8</v>
      </c>
      <c r="J65" s="289" t="s">
        <v>2</v>
      </c>
      <c r="K65" s="389">
        <f>'３-Ⅰ'!B5</f>
        <v>3</v>
      </c>
      <c r="L65" s="389">
        <f>'３-Ⅰ'!F5</f>
        <v>0</v>
      </c>
      <c r="M65" s="389">
        <f>'３-Ⅰ'!G5</f>
        <v>0</v>
      </c>
      <c r="N65" s="351"/>
    </row>
    <row r="66" spans="1:18" ht="20.25" customHeight="1" x14ac:dyDescent="0.2">
      <c r="E66" s="1127" t="s">
        <v>79</v>
      </c>
      <c r="F66" s="1128"/>
      <c r="G66" s="637">
        <f t="shared" si="12"/>
        <v>49</v>
      </c>
      <c r="H66" s="410">
        <f t="shared" si="13"/>
        <v>5</v>
      </c>
      <c r="J66" s="289" t="s">
        <v>3</v>
      </c>
      <c r="K66" s="389">
        <f>'３-Ⅰ'!B6</f>
        <v>49</v>
      </c>
      <c r="L66" s="389">
        <f>'３-Ⅰ'!F6</f>
        <v>1</v>
      </c>
      <c r="M66" s="389">
        <f>'３-Ⅰ'!G6</f>
        <v>4</v>
      </c>
      <c r="N66" s="351"/>
    </row>
    <row r="67" spans="1:18" ht="20.25" customHeight="1" x14ac:dyDescent="0.2">
      <c r="E67" s="1127" t="s">
        <v>240</v>
      </c>
      <c r="F67" s="1128"/>
      <c r="G67" s="637">
        <f t="shared" si="12"/>
        <v>13</v>
      </c>
      <c r="H67" s="410">
        <f t="shared" si="13"/>
        <v>2</v>
      </c>
      <c r="J67" s="289" t="s">
        <v>4</v>
      </c>
      <c r="K67" s="389">
        <f>'３-Ⅰ'!B7</f>
        <v>133</v>
      </c>
      <c r="L67" s="389">
        <f>'３-Ⅰ'!F7</f>
        <v>0</v>
      </c>
      <c r="M67" s="389">
        <f>'３-Ⅰ'!G7</f>
        <v>15</v>
      </c>
      <c r="N67" s="351"/>
    </row>
    <row r="68" spans="1:18" ht="20.25" customHeight="1" x14ac:dyDescent="0.2">
      <c r="E68" s="1127" t="s">
        <v>113</v>
      </c>
      <c r="F68" s="1128"/>
      <c r="G68" s="637">
        <f t="shared" si="12"/>
        <v>20</v>
      </c>
      <c r="H68" s="410">
        <f t="shared" si="13"/>
        <v>1</v>
      </c>
      <c r="J68" s="289" t="s">
        <v>5</v>
      </c>
      <c r="K68" s="389">
        <f>'３-Ⅰ'!B8</f>
        <v>465</v>
      </c>
      <c r="L68" s="389">
        <f>'３-Ⅰ'!F8</f>
        <v>3</v>
      </c>
      <c r="M68" s="389">
        <f>'３-Ⅰ'!G8</f>
        <v>31</v>
      </c>
      <c r="N68" s="351"/>
    </row>
    <row r="69" spans="1:18" ht="20.25" customHeight="1" x14ac:dyDescent="0.2">
      <c r="E69" s="1129" t="s">
        <v>418</v>
      </c>
      <c r="F69" s="1130"/>
      <c r="G69" s="637">
        <f t="shared" si="12"/>
        <v>36</v>
      </c>
      <c r="H69" s="410">
        <f t="shared" si="13"/>
        <v>7</v>
      </c>
      <c r="J69" s="289" t="s">
        <v>6</v>
      </c>
      <c r="K69" s="389">
        <f>'３-Ⅰ'!B9</f>
        <v>1269</v>
      </c>
      <c r="L69" s="389">
        <f>'３-Ⅰ'!F9</f>
        <v>6</v>
      </c>
      <c r="M69" s="389">
        <f>'３-Ⅰ'!G9</f>
        <v>95</v>
      </c>
      <c r="N69" s="351"/>
    </row>
    <row r="70" spans="1:18" ht="20.25" customHeight="1" thickBot="1" x14ac:dyDescent="0.25">
      <c r="E70" s="1123" t="s">
        <v>347</v>
      </c>
      <c r="F70" s="1124"/>
      <c r="G70" s="648">
        <f t="shared" si="12"/>
        <v>0</v>
      </c>
      <c r="H70" s="431">
        <f t="shared" si="13"/>
        <v>0</v>
      </c>
      <c r="J70" s="289" t="s">
        <v>7</v>
      </c>
      <c r="K70" s="389">
        <f>'３-Ⅰ'!B10</f>
        <v>1439</v>
      </c>
      <c r="L70" s="389">
        <f>'３-Ⅰ'!F10</f>
        <v>12</v>
      </c>
      <c r="M70" s="389">
        <f>'３-Ⅰ'!G10</f>
        <v>93</v>
      </c>
      <c r="N70" s="351"/>
    </row>
    <row r="71" spans="1:18" ht="20.25" customHeight="1" thickTop="1" x14ac:dyDescent="0.2">
      <c r="A71" s="145"/>
      <c r="B71" s="145"/>
      <c r="C71" s="647"/>
      <c r="E71" s="1125" t="s">
        <v>11</v>
      </c>
      <c r="F71" s="1126"/>
      <c r="G71" s="425">
        <f t="shared" si="12"/>
        <v>7433</v>
      </c>
      <c r="H71" s="425">
        <f t="shared" si="13"/>
        <v>525</v>
      </c>
      <c r="J71" s="289" t="s">
        <v>8</v>
      </c>
      <c r="K71" s="389">
        <f>'３-Ⅰ'!B11</f>
        <v>1927</v>
      </c>
      <c r="L71" s="389">
        <f>'３-Ⅰ'!F11</f>
        <v>9</v>
      </c>
      <c r="M71" s="389">
        <f>'３-Ⅰ'!G11</f>
        <v>142</v>
      </c>
      <c r="N71" s="351"/>
    </row>
    <row r="72" spans="1:18" ht="20.25" customHeight="1" x14ac:dyDescent="0.2">
      <c r="J72" s="289" t="s">
        <v>9</v>
      </c>
      <c r="K72" s="389">
        <f>'３-Ⅰ'!B12</f>
        <v>1692</v>
      </c>
      <c r="L72" s="389">
        <f>'３-Ⅰ'!F12</f>
        <v>7</v>
      </c>
      <c r="M72" s="389">
        <f>'３-Ⅰ'!G12</f>
        <v>87</v>
      </c>
      <c r="N72" s="351"/>
      <c r="O72" s="351"/>
      <c r="P72" s="351"/>
      <c r="Q72" s="351"/>
      <c r="R72" s="351"/>
    </row>
    <row r="73" spans="1:18" ht="20.25" customHeight="1" x14ac:dyDescent="0.2">
      <c r="J73" s="289" t="s">
        <v>10</v>
      </c>
      <c r="K73" s="389">
        <f>'３-Ⅰ'!B13</f>
        <v>456</v>
      </c>
      <c r="L73" s="389">
        <f>'３-Ⅰ'!F13</f>
        <v>2</v>
      </c>
      <c r="M73" s="389">
        <f>'３-Ⅰ'!G13</f>
        <v>18</v>
      </c>
      <c r="N73" s="351"/>
      <c r="O73" s="351"/>
      <c r="P73" s="351"/>
      <c r="Q73" s="351"/>
      <c r="R73" s="351"/>
    </row>
    <row r="74" spans="1:18" ht="20.25" customHeight="1" x14ac:dyDescent="0.2">
      <c r="J74" s="289" t="s">
        <v>244</v>
      </c>
      <c r="K74" s="389">
        <f>'３-Ⅰ'!B14</f>
        <v>7433</v>
      </c>
      <c r="L74" s="389">
        <f>'３-Ⅰ'!F14</f>
        <v>40</v>
      </c>
      <c r="M74" s="389">
        <f>'３-Ⅰ'!G14</f>
        <v>485</v>
      </c>
      <c r="N74" s="351"/>
      <c r="O74" s="351"/>
      <c r="P74" s="351"/>
      <c r="Q74" s="351"/>
      <c r="R74" s="351"/>
    </row>
    <row r="75" spans="1:18" ht="20.25" customHeight="1" x14ac:dyDescent="0.2">
      <c r="J75" s="289" t="s">
        <v>284</v>
      </c>
      <c r="K75" s="389">
        <f>'３-Ⅰ'!B15</f>
        <v>2668</v>
      </c>
      <c r="L75" s="389">
        <f>'３-Ⅰ'!F15</f>
        <v>17</v>
      </c>
      <c r="M75" s="389">
        <f>'３-Ⅰ'!G15</f>
        <v>181</v>
      </c>
      <c r="N75" s="288"/>
      <c r="O75" s="288"/>
      <c r="P75" s="288"/>
      <c r="Q75" s="288"/>
      <c r="R75" s="288"/>
    </row>
    <row r="76" spans="1:18" ht="20.25" customHeight="1" x14ac:dyDescent="0.2">
      <c r="J76" s="289" t="s">
        <v>285</v>
      </c>
      <c r="K76" s="389">
        <f>'３-Ⅰ'!B16</f>
        <v>4765</v>
      </c>
      <c r="L76" s="389">
        <f>'３-Ⅰ'!F16</f>
        <v>23</v>
      </c>
      <c r="M76" s="389">
        <f>'３-Ⅰ'!G16</f>
        <v>304</v>
      </c>
      <c r="N76" s="288"/>
      <c r="O76" s="288"/>
      <c r="P76" s="288"/>
      <c r="Q76" s="288"/>
      <c r="R76" s="288"/>
    </row>
    <row r="77" spans="1:18" ht="20.25" customHeight="1" x14ac:dyDescent="0.2">
      <c r="J77" s="288"/>
      <c r="K77" s="288"/>
      <c r="L77" s="288"/>
      <c r="M77" s="288"/>
      <c r="N77" s="288"/>
      <c r="O77" s="288"/>
      <c r="P77" s="288"/>
      <c r="Q77" s="288"/>
      <c r="R77" s="288"/>
    </row>
    <row r="78" spans="1:18" ht="20.25" customHeight="1" x14ac:dyDescent="0.2"/>
    <row r="79" spans="1:18" ht="20.25" customHeight="1" x14ac:dyDescent="0.2"/>
    <row r="80" spans="1:18" ht="20.25" customHeight="1" x14ac:dyDescent="0.2"/>
    <row r="81" spans="10:18" ht="20.25" customHeight="1" x14ac:dyDescent="0.2"/>
    <row r="82" spans="10:18" ht="20.25" customHeight="1" x14ac:dyDescent="0.2"/>
    <row r="83" spans="10:18" ht="20.25" customHeight="1" x14ac:dyDescent="0.2"/>
    <row r="84" spans="10:18" ht="20.25" customHeight="1" x14ac:dyDescent="0.2"/>
    <row r="85" spans="10:18" ht="20.25" customHeight="1" x14ac:dyDescent="0.2">
      <c r="J85" s="633"/>
      <c r="K85" s="633" t="s">
        <v>422</v>
      </c>
      <c r="L85" s="643" t="s">
        <v>28</v>
      </c>
      <c r="M85" s="643" t="s">
        <v>29</v>
      </c>
      <c r="N85" s="351"/>
      <c r="O85" s="644"/>
      <c r="P85" s="645" t="s">
        <v>422</v>
      </c>
      <c r="Q85" s="633" t="s">
        <v>28</v>
      </c>
      <c r="R85" s="633" t="s">
        <v>29</v>
      </c>
    </row>
    <row r="86" spans="10:18" ht="20.25" customHeight="1" x14ac:dyDescent="0.2">
      <c r="J86" s="289" t="s">
        <v>59</v>
      </c>
      <c r="K86" s="389">
        <f>'２-Ⅳ'!B47</f>
        <v>0</v>
      </c>
      <c r="L86" s="389">
        <f>'２-Ⅳ'!F47</f>
        <v>0</v>
      </c>
      <c r="M86" s="389">
        <f>'２-Ⅳ'!G47</f>
        <v>0</v>
      </c>
      <c r="N86" s="351"/>
      <c r="O86" s="291" t="s">
        <v>356</v>
      </c>
      <c r="P86" s="389">
        <f>'6-Ⅱ⑤'!B37</f>
        <v>615</v>
      </c>
      <c r="Q86" s="389">
        <f>'6-Ⅱ⑤'!B25</f>
        <v>6</v>
      </c>
      <c r="R86" s="389">
        <f>'6-Ⅱ⑤'!B27</f>
        <v>33</v>
      </c>
    </row>
    <row r="87" spans="10:18" ht="20.25" customHeight="1" x14ac:dyDescent="0.2">
      <c r="J87" s="289" t="s">
        <v>195</v>
      </c>
      <c r="K87" s="389">
        <f>'２-Ⅳ'!B48</f>
        <v>0</v>
      </c>
      <c r="L87" s="389">
        <f>'２-Ⅳ'!F48</f>
        <v>0</v>
      </c>
      <c r="M87" s="389">
        <f>'２-Ⅳ'!G48</f>
        <v>0</v>
      </c>
      <c r="N87" s="351"/>
      <c r="O87" s="291" t="s">
        <v>357</v>
      </c>
      <c r="P87" s="389">
        <f>'6-Ⅱ⑤'!C37</f>
        <v>640</v>
      </c>
      <c r="Q87" s="389">
        <f>'6-Ⅱ⑤'!C25</f>
        <v>0</v>
      </c>
      <c r="R87" s="389">
        <f>'6-Ⅱ⑤'!C27</f>
        <v>29</v>
      </c>
    </row>
    <row r="88" spans="10:18" ht="20.25" customHeight="1" x14ac:dyDescent="0.2">
      <c r="J88" s="289" t="s">
        <v>196</v>
      </c>
      <c r="K88" s="389">
        <f>'２-Ⅳ'!B49</f>
        <v>0</v>
      </c>
      <c r="L88" s="389">
        <f>'２-Ⅳ'!F49</f>
        <v>0</v>
      </c>
      <c r="M88" s="389">
        <f>'２-Ⅳ'!G49</f>
        <v>0</v>
      </c>
      <c r="N88" s="351"/>
      <c r="O88" s="291" t="s">
        <v>358</v>
      </c>
      <c r="P88" s="389">
        <f>'6-Ⅱ⑤'!D37</f>
        <v>561</v>
      </c>
      <c r="Q88" s="389">
        <f>'6-Ⅱ⑤'!D25</f>
        <v>5</v>
      </c>
      <c r="R88" s="389">
        <f>'6-Ⅱ⑤'!D27</f>
        <v>30</v>
      </c>
    </row>
    <row r="89" spans="10:18" ht="20.25" customHeight="1" x14ac:dyDescent="0.2">
      <c r="J89" s="289" t="s">
        <v>197</v>
      </c>
      <c r="K89" s="389">
        <f>'２-Ⅳ'!B50</f>
        <v>0</v>
      </c>
      <c r="L89" s="389">
        <f>'２-Ⅳ'!F50</f>
        <v>0</v>
      </c>
      <c r="M89" s="389">
        <f>'２-Ⅳ'!G50</f>
        <v>0</v>
      </c>
      <c r="N89" s="351"/>
      <c r="O89" s="291" t="s">
        <v>359</v>
      </c>
      <c r="P89" s="389">
        <f>'6-Ⅱ⑤'!E37</f>
        <v>495</v>
      </c>
      <c r="Q89" s="389">
        <f>'6-Ⅱ⑤'!E25</f>
        <v>8</v>
      </c>
      <c r="R89" s="389">
        <f>'6-Ⅱ⑤'!E27</f>
        <v>49</v>
      </c>
    </row>
    <row r="90" spans="10:18" ht="20.25" customHeight="1" x14ac:dyDescent="0.2">
      <c r="J90" s="289" t="s">
        <v>198</v>
      </c>
      <c r="K90" s="389">
        <f>'２-Ⅳ'!B51</f>
        <v>0</v>
      </c>
      <c r="L90" s="389">
        <f>'２-Ⅳ'!F51</f>
        <v>0</v>
      </c>
      <c r="M90" s="389">
        <f>'２-Ⅳ'!G51</f>
        <v>0</v>
      </c>
      <c r="N90" s="351"/>
      <c r="O90" s="291" t="s">
        <v>360</v>
      </c>
      <c r="P90" s="389">
        <f>'6-Ⅱ⑤'!F37</f>
        <v>549</v>
      </c>
      <c r="Q90" s="389">
        <f>'6-Ⅱ⑤'!F25</f>
        <v>3</v>
      </c>
      <c r="R90" s="389">
        <f>'6-Ⅱ⑤'!F27</f>
        <v>37</v>
      </c>
    </row>
    <row r="91" spans="10:18" ht="20.25" customHeight="1" x14ac:dyDescent="0.2">
      <c r="J91" s="289" t="s">
        <v>199</v>
      </c>
      <c r="K91" s="389">
        <f>'２-Ⅳ'!B52</f>
        <v>0</v>
      </c>
      <c r="L91" s="389">
        <f>'２-Ⅳ'!F52</f>
        <v>0</v>
      </c>
      <c r="M91" s="389">
        <f>'２-Ⅳ'!G52</f>
        <v>0</v>
      </c>
      <c r="N91" s="351"/>
      <c r="O91" s="291" t="s">
        <v>361</v>
      </c>
      <c r="P91" s="389">
        <f>'6-Ⅱ⑤'!G37</f>
        <v>1860</v>
      </c>
      <c r="Q91" s="389">
        <f>'6-Ⅱ⑤'!G25</f>
        <v>4</v>
      </c>
      <c r="R91" s="389">
        <f>'6-Ⅱ⑤'!G27</f>
        <v>109</v>
      </c>
    </row>
    <row r="92" spans="10:18" ht="20.25" customHeight="1" x14ac:dyDescent="0.2">
      <c r="J92" s="289" t="s">
        <v>200</v>
      </c>
      <c r="K92" s="389">
        <f>'２-Ⅳ'!B53</f>
        <v>0</v>
      </c>
      <c r="L92" s="389">
        <f>'２-Ⅳ'!F53</f>
        <v>0</v>
      </c>
      <c r="M92" s="389">
        <f>'２-Ⅳ'!G53</f>
        <v>0</v>
      </c>
      <c r="N92" s="351"/>
      <c r="O92" s="291" t="s">
        <v>362</v>
      </c>
      <c r="P92" s="389">
        <f>'6-Ⅱ⑤'!H37</f>
        <v>1345</v>
      </c>
      <c r="Q92" s="389">
        <f>'6-Ⅱ⑤'!H25</f>
        <v>5</v>
      </c>
      <c r="R92" s="389">
        <f>'6-Ⅱ⑤'!H27</f>
        <v>104</v>
      </c>
    </row>
    <row r="93" spans="10:18" ht="20.25" customHeight="1" x14ac:dyDescent="0.2">
      <c r="J93" s="289" t="s">
        <v>201</v>
      </c>
      <c r="K93" s="389">
        <f>'２-Ⅳ'!B54</f>
        <v>0</v>
      </c>
      <c r="L93" s="389">
        <f>'２-Ⅳ'!F54</f>
        <v>0</v>
      </c>
      <c r="M93" s="389">
        <f>'２-Ⅳ'!G54</f>
        <v>0</v>
      </c>
      <c r="N93" s="351"/>
      <c r="O93" s="291" t="s">
        <v>363</v>
      </c>
      <c r="P93" s="389">
        <f>'6-Ⅱ⑤'!I37</f>
        <v>734</v>
      </c>
      <c r="Q93" s="389">
        <f>'6-Ⅱ⑤'!I25</f>
        <v>5</v>
      </c>
      <c r="R93" s="389">
        <f>'6-Ⅱ⑤'!I27</f>
        <v>50</v>
      </c>
    </row>
    <row r="94" spans="10:18" ht="20.25" customHeight="1" x14ac:dyDescent="0.2">
      <c r="J94" s="289" t="s">
        <v>202</v>
      </c>
      <c r="K94" s="389">
        <f>'２-Ⅳ'!B55</f>
        <v>0</v>
      </c>
      <c r="L94" s="389">
        <f>'２-Ⅳ'!F55</f>
        <v>0</v>
      </c>
      <c r="M94" s="389">
        <f>'２-Ⅳ'!G55</f>
        <v>0</v>
      </c>
      <c r="N94" s="351"/>
      <c r="O94" s="291" t="s">
        <v>435</v>
      </c>
      <c r="P94" s="413">
        <f>'6-Ⅱ⑤'!J37</f>
        <v>634</v>
      </c>
      <c r="Q94" s="389">
        <f>'6-Ⅱ⑤'!J25</f>
        <v>4</v>
      </c>
      <c r="R94" s="389">
        <f>'6-Ⅱ⑤'!J27</f>
        <v>44</v>
      </c>
    </row>
    <row r="95" spans="10:18" ht="20.25" customHeight="1" x14ac:dyDescent="0.2">
      <c r="J95" s="289" t="s">
        <v>203</v>
      </c>
      <c r="K95" s="389">
        <f>'２-Ⅳ'!B56</f>
        <v>0</v>
      </c>
      <c r="L95" s="389">
        <f>'２-Ⅳ'!F56</f>
        <v>0</v>
      </c>
      <c r="M95" s="389">
        <f>'２-Ⅳ'!G56</f>
        <v>0</v>
      </c>
      <c r="N95" s="351"/>
      <c r="O95" s="291" t="s">
        <v>244</v>
      </c>
      <c r="P95" s="389">
        <f>'6-Ⅱ⑤'!K37</f>
        <v>7433</v>
      </c>
      <c r="Q95" s="389">
        <f>'6-Ⅱ⑤'!K25</f>
        <v>40</v>
      </c>
      <c r="R95" s="389">
        <f>'6-Ⅱ⑤'!J27</f>
        <v>44</v>
      </c>
    </row>
    <row r="96" spans="10:18" ht="20.25" customHeight="1" x14ac:dyDescent="0.2">
      <c r="J96" s="289" t="s">
        <v>204</v>
      </c>
      <c r="K96" s="389">
        <f>'２-Ⅳ'!B57</f>
        <v>0</v>
      </c>
      <c r="L96" s="389">
        <f>'２-Ⅳ'!F57</f>
        <v>0</v>
      </c>
      <c r="M96" s="389">
        <f>'２-Ⅳ'!G57</f>
        <v>0</v>
      </c>
      <c r="N96" s="351"/>
      <c r="O96" s="351"/>
      <c r="P96" s="351"/>
      <c r="Q96" s="351"/>
      <c r="R96" s="351"/>
    </row>
    <row r="97" spans="10:18" ht="20.25" customHeight="1" x14ac:dyDescent="0.2">
      <c r="J97" s="289" t="s">
        <v>205</v>
      </c>
      <c r="K97" s="389">
        <f>'２-Ⅳ'!B58</f>
        <v>0</v>
      </c>
      <c r="L97" s="389">
        <f>'２-Ⅳ'!F58</f>
        <v>0</v>
      </c>
      <c r="M97" s="389">
        <f>'２-Ⅳ'!G58</f>
        <v>0</v>
      </c>
      <c r="N97" s="351"/>
      <c r="O97" s="351"/>
      <c r="P97" s="351"/>
      <c r="Q97" s="351"/>
      <c r="R97" s="351"/>
    </row>
    <row r="98" spans="10:18" ht="13.5" customHeight="1" x14ac:dyDescent="0.2">
      <c r="J98" s="289" t="s">
        <v>206</v>
      </c>
      <c r="K98" s="389">
        <f>'２-Ⅳ'!B59</f>
        <v>0</v>
      </c>
      <c r="L98" s="389">
        <f>'２-Ⅳ'!F59</f>
        <v>0</v>
      </c>
      <c r="M98" s="389">
        <f>'２-Ⅳ'!G59</f>
        <v>0</v>
      </c>
      <c r="N98" s="351"/>
      <c r="O98" s="351"/>
      <c r="P98" s="351"/>
      <c r="Q98" s="351"/>
      <c r="R98" s="351"/>
    </row>
    <row r="99" spans="10:18" ht="13.5" customHeight="1" x14ac:dyDescent="0.2">
      <c r="J99" s="289" t="s">
        <v>207</v>
      </c>
      <c r="K99" s="389">
        <f>'２-Ⅳ'!B60</f>
        <v>0</v>
      </c>
      <c r="L99" s="389">
        <f>'２-Ⅳ'!F60</f>
        <v>0</v>
      </c>
      <c r="M99" s="389">
        <f>'２-Ⅳ'!G60</f>
        <v>0</v>
      </c>
      <c r="N99" s="351"/>
      <c r="O99" s="351"/>
      <c r="P99" s="351"/>
      <c r="Q99" s="351"/>
      <c r="R99" s="351"/>
    </row>
    <row r="100" spans="10:18" ht="13.5" customHeight="1" x14ac:dyDescent="0.2">
      <c r="J100" s="289" t="s">
        <v>208</v>
      </c>
      <c r="K100" s="389">
        <f>'２-Ⅳ'!B61</f>
        <v>0</v>
      </c>
      <c r="L100" s="389">
        <f>'２-Ⅳ'!F61</f>
        <v>0</v>
      </c>
      <c r="M100" s="389">
        <f>'２-Ⅳ'!G61</f>
        <v>0</v>
      </c>
      <c r="N100" s="351"/>
      <c r="O100" s="351"/>
      <c r="P100" s="351"/>
      <c r="Q100" s="351"/>
      <c r="R100" s="351"/>
    </row>
    <row r="101" spans="10:18" ht="13.5" customHeight="1" x14ac:dyDescent="0.2">
      <c r="J101" s="289" t="s">
        <v>60</v>
      </c>
      <c r="K101" s="389">
        <f>'２-Ⅳ'!B62</f>
        <v>0</v>
      </c>
      <c r="L101" s="389">
        <f>'２-Ⅳ'!F62</f>
        <v>0</v>
      </c>
      <c r="M101" s="389">
        <f>'２-Ⅳ'!G62</f>
        <v>0</v>
      </c>
      <c r="N101" s="351"/>
      <c r="O101" s="351"/>
      <c r="P101" s="351"/>
      <c r="Q101" s="351"/>
      <c r="R101" s="351"/>
    </row>
    <row r="102" spans="10:18" ht="13.5" customHeight="1" x14ac:dyDescent="0.2">
      <c r="J102" s="289" t="s">
        <v>244</v>
      </c>
      <c r="K102" s="389">
        <f>'２-Ⅳ'!B63</f>
        <v>0</v>
      </c>
      <c r="L102" s="389">
        <f>'２-Ⅳ'!F63</f>
        <v>0</v>
      </c>
      <c r="M102" s="389">
        <f>'２-Ⅳ'!G63</f>
        <v>0</v>
      </c>
      <c r="N102" s="351"/>
      <c r="O102" s="351"/>
      <c r="P102" s="351"/>
      <c r="Q102" s="351"/>
      <c r="R102" s="351"/>
    </row>
    <row r="103" spans="10:18" ht="13.5" customHeight="1" x14ac:dyDescent="0.2">
      <c r="J103" s="351"/>
      <c r="K103" s="351"/>
      <c r="L103" s="351"/>
      <c r="M103" s="351"/>
      <c r="N103" s="351"/>
      <c r="O103" s="351"/>
      <c r="P103" s="351"/>
      <c r="Q103" s="351"/>
      <c r="R103" s="351"/>
    </row>
    <row r="104" spans="10:18" ht="13.5" customHeight="1" x14ac:dyDescent="0.2">
      <c r="J104" s="649" t="s">
        <v>423</v>
      </c>
      <c r="K104" s="633" t="s">
        <v>422</v>
      </c>
      <c r="L104" s="643" t="s">
        <v>28</v>
      </c>
      <c r="M104" s="643" t="s">
        <v>29</v>
      </c>
      <c r="N104" s="351"/>
      <c r="O104" s="645" t="s">
        <v>424</v>
      </c>
      <c r="P104" s="645" t="s">
        <v>425</v>
      </c>
      <c r="Q104" s="645" t="s">
        <v>214</v>
      </c>
      <c r="R104" s="351"/>
    </row>
    <row r="105" spans="10:18" ht="13.5" customHeight="1" x14ac:dyDescent="0.2">
      <c r="J105" s="651" t="s">
        <v>374</v>
      </c>
      <c r="K105" s="389">
        <f>'３-Ⅲ'!C5</f>
        <v>1889</v>
      </c>
      <c r="L105" s="389">
        <f>'３-Ⅲ'!H5</f>
        <v>4</v>
      </c>
      <c r="M105" s="389">
        <f>'３-Ⅲ'!I5</f>
        <v>82</v>
      </c>
      <c r="N105" s="351"/>
      <c r="O105" s="651" t="s">
        <v>28</v>
      </c>
      <c r="P105" s="656">
        <f>'３-Ⅳ'!B5</f>
        <v>40</v>
      </c>
      <c r="Q105" s="427">
        <f>'３-Ⅳ'!C5</f>
        <v>5.3814072379927353E-3</v>
      </c>
      <c r="R105" s="351"/>
    </row>
    <row r="106" spans="10:18" ht="13.5" customHeight="1" x14ac:dyDescent="0.2">
      <c r="J106" s="655" t="s">
        <v>375</v>
      </c>
      <c r="K106" s="389">
        <f>'３-Ⅲ'!C6</f>
        <v>997</v>
      </c>
      <c r="L106" s="389">
        <f>'３-Ⅲ'!H6</f>
        <v>3</v>
      </c>
      <c r="M106" s="389">
        <f>'３-Ⅲ'!I6</f>
        <v>32</v>
      </c>
      <c r="N106" s="351"/>
      <c r="O106" s="651" t="s">
        <v>29</v>
      </c>
      <c r="P106" s="656">
        <f>'３-Ⅳ'!B6</f>
        <v>485</v>
      </c>
      <c r="Q106" s="427">
        <f>'３-Ⅳ'!C6</f>
        <v>6.5249562760661919E-2</v>
      </c>
      <c r="R106" s="351"/>
    </row>
    <row r="107" spans="10:18" ht="13.5" customHeight="1" x14ac:dyDescent="0.2">
      <c r="J107" s="655" t="s">
        <v>376</v>
      </c>
      <c r="K107" s="389">
        <f>'３-Ⅲ'!C7</f>
        <v>123</v>
      </c>
      <c r="L107" s="389">
        <f>'３-Ⅲ'!H7</f>
        <v>0</v>
      </c>
      <c r="M107" s="389">
        <f>'３-Ⅲ'!I7</f>
        <v>4</v>
      </c>
      <c r="N107" s="351"/>
      <c r="O107" s="651" t="s">
        <v>30</v>
      </c>
      <c r="P107" s="656">
        <f>'３-Ⅳ'!B7</f>
        <v>1276</v>
      </c>
      <c r="Q107" s="427">
        <f>'３-Ⅳ'!C7</f>
        <v>0.17166689089196824</v>
      </c>
      <c r="R107" s="351"/>
    </row>
    <row r="108" spans="10:18" ht="13.5" customHeight="1" x14ac:dyDescent="0.2">
      <c r="J108" s="658" t="s">
        <v>426</v>
      </c>
      <c r="K108" s="389">
        <f>'３-Ⅲ'!C8</f>
        <v>769</v>
      </c>
      <c r="L108" s="389">
        <f>'３-Ⅲ'!H8</f>
        <v>1</v>
      </c>
      <c r="M108" s="389">
        <f>'３-Ⅲ'!I8</f>
        <v>46</v>
      </c>
      <c r="N108" s="351"/>
      <c r="O108" s="651" t="s">
        <v>31</v>
      </c>
      <c r="P108" s="656">
        <f>'３-Ⅳ'!B8</f>
        <v>3292</v>
      </c>
      <c r="Q108" s="427">
        <f>'３-Ⅳ'!C8</f>
        <v>0.44288981568680208</v>
      </c>
      <c r="R108" s="351"/>
    </row>
    <row r="109" spans="10:18" ht="13.5" customHeight="1" x14ac:dyDescent="0.2">
      <c r="J109" s="651" t="s">
        <v>20</v>
      </c>
      <c r="K109" s="389">
        <f>'３-Ⅲ'!C9</f>
        <v>277</v>
      </c>
      <c r="L109" s="389">
        <f>'３-Ⅲ'!H9</f>
        <v>2</v>
      </c>
      <c r="M109" s="389">
        <f>'３-Ⅲ'!I9</f>
        <v>29</v>
      </c>
      <c r="N109" s="351"/>
      <c r="O109" s="651" t="s">
        <v>32</v>
      </c>
      <c r="P109" s="656">
        <f>'３-Ⅳ'!B9</f>
        <v>2039</v>
      </c>
      <c r="Q109" s="427">
        <f>'３-Ⅳ'!C9</f>
        <v>0.27431723395667967</v>
      </c>
      <c r="R109" s="351"/>
    </row>
    <row r="110" spans="10:18" ht="13.5" customHeight="1" x14ac:dyDescent="0.2">
      <c r="J110" s="651" t="s">
        <v>21</v>
      </c>
      <c r="K110" s="389">
        <f>'３-Ⅲ'!C10</f>
        <v>4321</v>
      </c>
      <c r="L110" s="389">
        <f>'３-Ⅲ'!H10</f>
        <v>21</v>
      </c>
      <c r="M110" s="389">
        <f>'３-Ⅲ'!I10</f>
        <v>290</v>
      </c>
      <c r="N110" s="351"/>
      <c r="O110" s="651" t="s">
        <v>33</v>
      </c>
      <c r="P110" s="656">
        <f>'３-Ⅳ'!B10</f>
        <v>301</v>
      </c>
      <c r="Q110" s="427">
        <f>'３-Ⅳ'!C10</f>
        <v>4.0495089465895334E-2</v>
      </c>
      <c r="R110" s="351"/>
    </row>
    <row r="111" spans="10:18" ht="13.5" customHeight="1" x14ac:dyDescent="0.2">
      <c r="J111" s="651" t="s">
        <v>22</v>
      </c>
      <c r="K111" s="389">
        <f>'３-Ⅲ'!C11</f>
        <v>596</v>
      </c>
      <c r="L111" s="389">
        <f>'３-Ⅲ'!H11</f>
        <v>10</v>
      </c>
      <c r="M111" s="389">
        <f>'３-Ⅲ'!I11</f>
        <v>53</v>
      </c>
      <c r="N111" s="351"/>
      <c r="O111" s="666" t="s">
        <v>244</v>
      </c>
      <c r="P111" s="656">
        <f>'３-Ⅳ'!B11</f>
        <v>7433</v>
      </c>
      <c r="Q111" s="427">
        <f>'３-Ⅳ'!C11</f>
        <v>1</v>
      </c>
      <c r="R111" s="351"/>
    </row>
    <row r="112" spans="10:18" ht="13.5" customHeight="1" x14ac:dyDescent="0.2">
      <c r="J112" s="651" t="s">
        <v>235</v>
      </c>
      <c r="K112" s="389">
        <f>'３-Ⅲ'!C12</f>
        <v>81</v>
      </c>
      <c r="L112" s="389">
        <f>'３-Ⅲ'!H12</f>
        <v>2</v>
      </c>
      <c r="M112" s="389">
        <f>'３-Ⅲ'!I12</f>
        <v>7</v>
      </c>
      <c r="N112" s="351"/>
      <c r="O112" s="351"/>
      <c r="P112" s="351"/>
      <c r="Q112" s="351"/>
      <c r="R112" s="351"/>
    </row>
    <row r="113" spans="10:18" ht="13.5" customHeight="1" x14ac:dyDescent="0.2">
      <c r="J113" s="651" t="s">
        <v>236</v>
      </c>
      <c r="K113" s="389">
        <f>'３-Ⅲ'!C13</f>
        <v>6</v>
      </c>
      <c r="L113" s="389">
        <f>'３-Ⅲ'!H13</f>
        <v>0</v>
      </c>
      <c r="M113" s="389">
        <f>'３-Ⅲ'!I13</f>
        <v>0</v>
      </c>
      <c r="N113" s="351"/>
      <c r="O113" s="351"/>
      <c r="P113" s="351"/>
      <c r="Q113" s="351"/>
      <c r="R113" s="351"/>
    </row>
    <row r="114" spans="10:18" ht="13.5" customHeight="1" x14ac:dyDescent="0.2">
      <c r="J114" s="651" t="s">
        <v>241</v>
      </c>
      <c r="K114" s="389">
        <f>'３-Ⅲ'!C14</f>
        <v>11</v>
      </c>
      <c r="L114" s="389">
        <f>'３-Ⅲ'!H14</f>
        <v>0</v>
      </c>
      <c r="M114" s="389">
        <f>'３-Ⅲ'!I14</f>
        <v>2</v>
      </c>
      <c r="N114" s="351"/>
      <c r="O114" s="351"/>
      <c r="P114" s="351"/>
      <c r="Q114" s="351"/>
      <c r="R114" s="351"/>
    </row>
    <row r="115" spans="10:18" ht="13.5" customHeight="1" x14ac:dyDescent="0.2">
      <c r="J115" s="651" t="s">
        <v>419</v>
      </c>
      <c r="K115" s="389">
        <f>'３-Ⅲ'!C15</f>
        <v>134</v>
      </c>
      <c r="L115" s="389">
        <f>'３-Ⅲ'!H15</f>
        <v>0</v>
      </c>
      <c r="M115" s="389">
        <f>'３-Ⅲ'!I15</f>
        <v>8</v>
      </c>
      <c r="N115" s="351"/>
      <c r="O115" s="351"/>
      <c r="P115" s="351"/>
      <c r="Q115" s="351"/>
      <c r="R115" s="351"/>
    </row>
    <row r="116" spans="10:18" ht="13.5" customHeight="1" x14ac:dyDescent="0.2">
      <c r="J116" s="651" t="s">
        <v>23</v>
      </c>
      <c r="K116" s="389">
        <f>'３-Ⅲ'!C16</f>
        <v>49</v>
      </c>
      <c r="L116" s="389">
        <f>'３-Ⅲ'!H16</f>
        <v>0</v>
      </c>
      <c r="M116" s="389">
        <f>'３-Ⅲ'!I16</f>
        <v>5</v>
      </c>
      <c r="N116" s="351"/>
      <c r="O116" s="351"/>
      <c r="P116" s="351"/>
      <c r="Q116" s="351"/>
      <c r="R116" s="351"/>
    </row>
    <row r="117" spans="10:18" ht="13.5" customHeight="1" x14ac:dyDescent="0.2">
      <c r="J117" s="651" t="s">
        <v>242</v>
      </c>
      <c r="K117" s="389">
        <f>'３-Ⅲ'!C17</f>
        <v>13</v>
      </c>
      <c r="L117" s="389">
        <f>'３-Ⅲ'!H17</f>
        <v>0</v>
      </c>
      <c r="M117" s="389">
        <f>'３-Ⅲ'!I17</f>
        <v>2</v>
      </c>
      <c r="N117" s="351"/>
      <c r="O117" s="351"/>
      <c r="P117" s="351"/>
      <c r="Q117" s="351"/>
      <c r="R117" s="351"/>
    </row>
    <row r="118" spans="10:18" ht="13.5" customHeight="1" x14ac:dyDescent="0.2">
      <c r="J118" s="651" t="s">
        <v>66</v>
      </c>
      <c r="K118" s="389">
        <f>'３-Ⅲ'!C18</f>
        <v>20</v>
      </c>
      <c r="L118" s="389">
        <f>'３-Ⅲ'!H18</f>
        <v>0</v>
      </c>
      <c r="M118" s="389">
        <f>'３-Ⅲ'!I18</f>
        <v>1</v>
      </c>
      <c r="N118" s="351"/>
      <c r="O118" s="351"/>
      <c r="P118" s="351"/>
      <c r="Q118" s="351"/>
      <c r="R118" s="351"/>
    </row>
    <row r="119" spans="10:18" ht="13.5" customHeight="1" x14ac:dyDescent="0.2">
      <c r="J119" s="651" t="s">
        <v>18</v>
      </c>
      <c r="K119" s="389">
        <f>'３-Ⅲ'!C19</f>
        <v>36</v>
      </c>
      <c r="L119" s="389">
        <f>'３-Ⅲ'!H19</f>
        <v>1</v>
      </c>
      <c r="M119" s="389">
        <f>'３-Ⅲ'!I19</f>
        <v>6</v>
      </c>
      <c r="N119" s="351"/>
      <c r="O119" s="351"/>
      <c r="P119" s="351"/>
      <c r="Q119" s="351"/>
      <c r="R119" s="351"/>
    </row>
    <row r="120" spans="10:18" ht="13.5" customHeight="1" x14ac:dyDescent="0.2">
      <c r="J120" s="291" t="s">
        <v>346</v>
      </c>
      <c r="K120" s="389">
        <f>'３-Ⅲ'!C20</f>
        <v>0</v>
      </c>
      <c r="L120" s="389">
        <f>'３-Ⅲ'!H20</f>
        <v>0</v>
      </c>
      <c r="M120" s="389">
        <f>'３-Ⅲ'!I20</f>
        <v>0</v>
      </c>
      <c r="N120" s="351"/>
      <c r="O120" s="351"/>
      <c r="P120" s="351"/>
      <c r="Q120" s="351"/>
      <c r="R120" s="351"/>
    </row>
    <row r="121" spans="10:18" ht="13.5" customHeight="1" x14ac:dyDescent="0.2">
      <c r="J121" s="291" t="s">
        <v>244</v>
      </c>
      <c r="K121" s="389">
        <f>'３-Ⅲ'!C21</f>
        <v>7433</v>
      </c>
      <c r="L121" s="389">
        <f>'３-Ⅲ'!H21</f>
        <v>40</v>
      </c>
      <c r="M121" s="389">
        <f>'３-Ⅲ'!I21</f>
        <v>485</v>
      </c>
    </row>
  </sheetData>
  <mergeCells count="50">
    <mergeCell ref="E8:F8"/>
    <mergeCell ref="E3:F3"/>
    <mergeCell ref="E4:F4"/>
    <mergeCell ref="E5:F5"/>
    <mergeCell ref="E6:F6"/>
    <mergeCell ref="E7:F7"/>
    <mergeCell ref="E28:F28"/>
    <mergeCell ref="E9:F9"/>
    <mergeCell ref="E10:F10"/>
    <mergeCell ref="E11:F11"/>
    <mergeCell ref="E12:F12"/>
    <mergeCell ref="E18:F18"/>
    <mergeCell ref="E19:F19"/>
    <mergeCell ref="E23:F23"/>
    <mergeCell ref="E24:F24"/>
    <mergeCell ref="E25:F25"/>
    <mergeCell ref="E26:F26"/>
    <mergeCell ref="E27:F27"/>
    <mergeCell ref="E44:F44"/>
    <mergeCell ref="E29:F29"/>
    <mergeCell ref="E30:F30"/>
    <mergeCell ref="E31:F31"/>
    <mergeCell ref="E32:F32"/>
    <mergeCell ref="E33:F33"/>
    <mergeCell ref="E34:F34"/>
    <mergeCell ref="E39:F39"/>
    <mergeCell ref="E40:F40"/>
    <mergeCell ref="E41:F41"/>
    <mergeCell ref="E42:F42"/>
    <mergeCell ref="E43:F43"/>
    <mergeCell ref="E63:F63"/>
    <mergeCell ref="E45:F45"/>
    <mergeCell ref="E46:F46"/>
    <mergeCell ref="E47:F47"/>
    <mergeCell ref="E48:F48"/>
    <mergeCell ref="E49:F49"/>
    <mergeCell ref="E54:F54"/>
    <mergeCell ref="E55:F55"/>
    <mergeCell ref="E59:F59"/>
    <mergeCell ref="E60:F60"/>
    <mergeCell ref="E61:F61"/>
    <mergeCell ref="E62:F62"/>
    <mergeCell ref="E70:F70"/>
    <mergeCell ref="E71:F71"/>
    <mergeCell ref="E64:F64"/>
    <mergeCell ref="E65:F65"/>
    <mergeCell ref="E66:F66"/>
    <mergeCell ref="E67:F67"/>
    <mergeCell ref="E68:F68"/>
    <mergeCell ref="E69:F69"/>
  </mergeCells>
  <phoneticPr fontId="2"/>
  <pageMargins left="0.44507575757575757" right="0.32196969696969696" top="0.60606060606060608" bottom="0.51136363636363635" header="0.3" footer="0.3"/>
  <pageSetup paperSize="9" scale="89" fitToHeight="0" orientation="portrait" r:id="rId1"/>
  <headerFooter>
    <oddHeader>&amp;C&amp;"游ゴシック,太字"&amp;14R7年度　大阪府の在院患者の状況&amp;R&amp;"游ゴシック,標準"&amp;10R7.6.30時点</oddHeader>
    <oddFooter>&amp;R&amp;"メイリオ,レギュラー"&amp;10&amp;F</oddFooter>
  </headerFooter>
  <rowBreaks count="1" manualBreakCount="1">
    <brk id="36" max="7"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F2B18-C3C0-4EFF-87A7-545F100AF880}">
  <sheetPr codeName="Sheet50">
    <tabColor theme="7" tint="-0.249977111117893"/>
    <pageSetUpPr fitToPage="1"/>
  </sheetPr>
  <dimension ref="A1:R121"/>
  <sheetViews>
    <sheetView view="pageBreakPreview" zoomScale="80" zoomScaleNormal="100" zoomScaleSheetLayoutView="80" zoomScalePageLayoutView="110" workbookViewId="0"/>
  </sheetViews>
  <sheetFormatPr defaultColWidth="9" defaultRowHeight="13.5" customHeight="1" x14ac:dyDescent="0.2"/>
  <cols>
    <col min="1" max="1" width="18.109375" customWidth="1"/>
    <col min="2" max="3" width="10.109375" customWidth="1"/>
    <col min="4" max="4" width="4.88671875" customWidth="1"/>
    <col min="5" max="5" width="2.77734375" customWidth="1"/>
    <col min="6" max="6" width="40" customWidth="1"/>
    <col min="7" max="7" width="11" customWidth="1"/>
    <col min="8" max="8" width="10.44140625" customWidth="1"/>
    <col min="9" max="9" width="3.109375" customWidth="1"/>
    <col min="10" max="10" width="18.33203125" hidden="1" customWidth="1"/>
    <col min="11" max="13" width="9.44140625" hidden="1" customWidth="1"/>
    <col min="14" max="14" width="5.77734375" hidden="1" customWidth="1"/>
    <col min="15" max="15" width="9.109375" hidden="1" customWidth="1"/>
    <col min="16" max="18" width="9.44140625" hidden="1" customWidth="1"/>
    <col min="19" max="19" width="9" customWidth="1"/>
  </cols>
  <sheetData>
    <row r="1" spans="1:18" ht="20.25" customHeight="1" x14ac:dyDescent="0.2">
      <c r="A1" s="4" t="s">
        <v>400</v>
      </c>
      <c r="J1" s="363" t="s">
        <v>421</v>
      </c>
    </row>
    <row r="2" spans="1:18" ht="20.25" customHeight="1" x14ac:dyDescent="0.2">
      <c r="J2" s="633"/>
      <c r="K2" s="633" t="s">
        <v>422</v>
      </c>
      <c r="L2" s="633" t="s">
        <v>28</v>
      </c>
      <c r="M2" s="633" t="s">
        <v>29</v>
      </c>
      <c r="N2" s="351"/>
      <c r="O2" s="644"/>
      <c r="P2" s="645" t="s">
        <v>422</v>
      </c>
      <c r="Q2" s="633" t="s">
        <v>28</v>
      </c>
      <c r="R2" s="633" t="s">
        <v>29</v>
      </c>
    </row>
    <row r="3" spans="1:18" ht="20.25" customHeight="1" thickBot="1" x14ac:dyDescent="0.25">
      <c r="A3" s="387" t="s">
        <v>247</v>
      </c>
      <c r="B3" s="387" t="s">
        <v>401</v>
      </c>
      <c r="C3" s="387" t="s">
        <v>256</v>
      </c>
      <c r="E3" s="1141" t="s">
        <v>402</v>
      </c>
      <c r="F3" s="1142"/>
      <c r="G3" s="388" t="s">
        <v>401</v>
      </c>
      <c r="H3" s="388" t="s">
        <v>256</v>
      </c>
      <c r="J3" s="289" t="s">
        <v>2</v>
      </c>
      <c r="K3" s="389">
        <f>'2-Ⅰ'!B5</f>
        <v>165</v>
      </c>
      <c r="L3" s="389">
        <f>'2-Ⅰ'!F5</f>
        <v>3</v>
      </c>
      <c r="M3" s="389">
        <f>'2-Ⅰ'!G5</f>
        <v>17</v>
      </c>
      <c r="N3" s="351"/>
      <c r="O3" s="291" t="s">
        <v>278</v>
      </c>
      <c r="P3" s="290">
        <v>0</v>
      </c>
      <c r="Q3" s="290">
        <v>0</v>
      </c>
      <c r="R3" s="291"/>
    </row>
    <row r="4" spans="1:18" ht="20.25" customHeight="1" thickTop="1" x14ac:dyDescent="0.2">
      <c r="A4" s="621" t="s">
        <v>403</v>
      </c>
      <c r="B4" s="390">
        <f t="shared" ref="B4:B15" si="0">K3</f>
        <v>165</v>
      </c>
      <c r="C4" s="390">
        <f t="shared" ref="C4:C15" si="1">L3+M3</f>
        <v>20</v>
      </c>
      <c r="E4" s="1131" t="s">
        <v>404</v>
      </c>
      <c r="F4" s="1132"/>
      <c r="G4" s="391">
        <f t="shared" ref="G4:G12" si="2">P24</f>
        <v>1608</v>
      </c>
      <c r="H4" s="392">
        <f t="shared" ref="H4:H12" si="3">Q24+R24</f>
        <v>173</v>
      </c>
      <c r="J4" s="289" t="s">
        <v>3</v>
      </c>
      <c r="K4" s="389">
        <f>'2-Ⅰ'!B6</f>
        <v>358</v>
      </c>
      <c r="L4" s="389">
        <f>'2-Ⅰ'!F6</f>
        <v>22</v>
      </c>
      <c r="M4" s="389">
        <f>'2-Ⅰ'!G6</f>
        <v>49</v>
      </c>
      <c r="N4" s="351"/>
      <c r="O4" s="291" t="s">
        <v>279</v>
      </c>
      <c r="P4" s="290">
        <v>0</v>
      </c>
      <c r="Q4" s="290">
        <v>0</v>
      </c>
      <c r="R4" s="291"/>
    </row>
    <row r="5" spans="1:18" ht="20.25" customHeight="1" x14ac:dyDescent="0.2">
      <c r="A5" s="221" t="s">
        <v>3</v>
      </c>
      <c r="B5" s="391">
        <f t="shared" si="0"/>
        <v>358</v>
      </c>
      <c r="C5" s="391">
        <f t="shared" si="1"/>
        <v>71</v>
      </c>
      <c r="E5" s="1131" t="s">
        <v>405</v>
      </c>
      <c r="F5" s="1132"/>
      <c r="G5" s="391">
        <f t="shared" si="2"/>
        <v>1813</v>
      </c>
      <c r="H5" s="392">
        <f t="shared" si="3"/>
        <v>218</v>
      </c>
      <c r="J5" s="289" t="s">
        <v>4</v>
      </c>
      <c r="K5" s="389">
        <f>'2-Ⅰ'!B7</f>
        <v>477</v>
      </c>
      <c r="L5" s="389">
        <f>'2-Ⅰ'!F7</f>
        <v>18</v>
      </c>
      <c r="M5" s="389">
        <f>'2-Ⅰ'!G7</f>
        <v>82</v>
      </c>
      <c r="N5" s="351"/>
      <c r="O5" s="291" t="s">
        <v>280</v>
      </c>
      <c r="P5" s="290">
        <v>0</v>
      </c>
      <c r="Q5" s="290">
        <v>0</v>
      </c>
      <c r="R5" s="291"/>
    </row>
    <row r="6" spans="1:18" ht="20.25" customHeight="1" x14ac:dyDescent="0.2">
      <c r="A6" s="221" t="s">
        <v>4</v>
      </c>
      <c r="B6" s="391">
        <f t="shared" si="0"/>
        <v>477</v>
      </c>
      <c r="C6" s="391">
        <f t="shared" si="1"/>
        <v>100</v>
      </c>
      <c r="E6" s="1131" t="s">
        <v>406</v>
      </c>
      <c r="F6" s="1132"/>
      <c r="G6" s="391">
        <f t="shared" si="2"/>
        <v>1333</v>
      </c>
      <c r="H6" s="392">
        <f t="shared" si="3"/>
        <v>128</v>
      </c>
      <c r="J6" s="289" t="s">
        <v>5</v>
      </c>
      <c r="K6" s="389">
        <f>'2-Ⅰ'!B8</f>
        <v>1028</v>
      </c>
      <c r="L6" s="389">
        <f>'2-Ⅰ'!F8</f>
        <v>36</v>
      </c>
      <c r="M6" s="389">
        <f>'2-Ⅰ'!G8</f>
        <v>137</v>
      </c>
      <c r="N6" s="351"/>
      <c r="O6" s="291" t="s">
        <v>281</v>
      </c>
      <c r="P6" s="290">
        <v>0</v>
      </c>
      <c r="Q6" s="290">
        <v>0</v>
      </c>
      <c r="R6" s="291"/>
    </row>
    <row r="7" spans="1:18" ht="20.25" customHeight="1" x14ac:dyDescent="0.2">
      <c r="A7" s="221" t="s">
        <v>5</v>
      </c>
      <c r="B7" s="391">
        <f t="shared" si="0"/>
        <v>1028</v>
      </c>
      <c r="C7" s="391">
        <f t="shared" si="1"/>
        <v>173</v>
      </c>
      <c r="E7" s="1131" t="s">
        <v>407</v>
      </c>
      <c r="F7" s="1132"/>
      <c r="G7" s="391">
        <f t="shared" si="2"/>
        <v>1217</v>
      </c>
      <c r="H7" s="392">
        <f t="shared" si="3"/>
        <v>237</v>
      </c>
      <c r="J7" s="289" t="s">
        <v>6</v>
      </c>
      <c r="K7" s="389">
        <f>'2-Ⅰ'!B9</f>
        <v>2238</v>
      </c>
      <c r="L7" s="389">
        <f>'2-Ⅰ'!F9</f>
        <v>65</v>
      </c>
      <c r="M7" s="389">
        <f>'2-Ⅰ'!G9</f>
        <v>277</v>
      </c>
      <c r="N7" s="351"/>
      <c r="O7" s="291" t="s">
        <v>282</v>
      </c>
      <c r="P7" s="290">
        <v>0</v>
      </c>
      <c r="Q7" s="290">
        <v>0</v>
      </c>
      <c r="R7" s="291"/>
    </row>
    <row r="8" spans="1:18" ht="20.25" customHeight="1" x14ac:dyDescent="0.2">
      <c r="A8" s="221" t="s">
        <v>6</v>
      </c>
      <c r="B8" s="391">
        <f t="shared" si="0"/>
        <v>2238</v>
      </c>
      <c r="C8" s="391">
        <f t="shared" si="1"/>
        <v>342</v>
      </c>
      <c r="E8" s="1131" t="s">
        <v>408</v>
      </c>
      <c r="F8" s="1132"/>
      <c r="G8" s="391">
        <f t="shared" si="2"/>
        <v>1225</v>
      </c>
      <c r="H8" s="392">
        <f t="shared" si="3"/>
        <v>148</v>
      </c>
      <c r="J8" s="289" t="s">
        <v>7</v>
      </c>
      <c r="K8" s="389">
        <f>'2-Ⅰ'!B10</f>
        <v>2346</v>
      </c>
      <c r="L8" s="389">
        <f>'2-Ⅰ'!F10</f>
        <v>48</v>
      </c>
      <c r="M8" s="389">
        <f>'2-Ⅰ'!G10</f>
        <v>242</v>
      </c>
      <c r="N8" s="351"/>
      <c r="O8" s="291" t="s">
        <v>10</v>
      </c>
      <c r="P8" s="290">
        <v>0</v>
      </c>
      <c r="Q8" s="290">
        <v>0</v>
      </c>
      <c r="R8" s="291"/>
    </row>
    <row r="9" spans="1:18" ht="20.25" customHeight="1" x14ac:dyDescent="0.2">
      <c r="A9" s="221" t="s">
        <v>7</v>
      </c>
      <c r="B9" s="391">
        <f t="shared" si="0"/>
        <v>2346</v>
      </c>
      <c r="C9" s="391">
        <f t="shared" si="1"/>
        <v>290</v>
      </c>
      <c r="E9" s="1131" t="s">
        <v>409</v>
      </c>
      <c r="F9" s="1132"/>
      <c r="G9" s="391">
        <f t="shared" si="2"/>
        <v>4712</v>
      </c>
      <c r="H9" s="392">
        <f t="shared" si="3"/>
        <v>517</v>
      </c>
      <c r="J9" s="289" t="s">
        <v>8</v>
      </c>
      <c r="K9" s="389">
        <f>'2-Ⅰ'!B11</f>
        <v>3332</v>
      </c>
      <c r="L9" s="389">
        <f>'2-Ⅰ'!F11</f>
        <v>56</v>
      </c>
      <c r="M9" s="389">
        <f>'2-Ⅰ'!G11</f>
        <v>309</v>
      </c>
      <c r="N9" s="351"/>
      <c r="O9" s="291" t="s">
        <v>244</v>
      </c>
      <c r="P9" s="290">
        <v>0</v>
      </c>
      <c r="Q9" s="290">
        <v>0</v>
      </c>
      <c r="R9" s="291"/>
    </row>
    <row r="10" spans="1:18" ht="20.25" customHeight="1" x14ac:dyDescent="0.2">
      <c r="A10" s="221" t="s">
        <v>8</v>
      </c>
      <c r="B10" s="391">
        <f t="shared" si="0"/>
        <v>3332</v>
      </c>
      <c r="C10" s="391">
        <f t="shared" si="1"/>
        <v>365</v>
      </c>
      <c r="E10" s="1131" t="s">
        <v>380</v>
      </c>
      <c r="F10" s="1132"/>
      <c r="G10" s="391">
        <f t="shared" si="2"/>
        <v>167</v>
      </c>
      <c r="H10" s="392">
        <f t="shared" si="3"/>
        <v>35</v>
      </c>
      <c r="J10" s="289" t="s">
        <v>9</v>
      </c>
      <c r="K10" s="389">
        <f>'2-Ⅰ'!B12</f>
        <v>3250</v>
      </c>
      <c r="L10" s="389">
        <f>'2-Ⅰ'!F12</f>
        <v>43</v>
      </c>
      <c r="M10" s="389">
        <f>'2-Ⅰ'!G12</f>
        <v>196</v>
      </c>
      <c r="N10" s="351"/>
      <c r="O10" s="351"/>
      <c r="P10" s="351"/>
      <c r="Q10" s="351"/>
      <c r="R10" s="351"/>
    </row>
    <row r="11" spans="1:18" ht="20.25" customHeight="1" thickBot="1" x14ac:dyDescent="0.25">
      <c r="A11" s="221" t="s">
        <v>9</v>
      </c>
      <c r="B11" s="391">
        <f t="shared" si="0"/>
        <v>3250</v>
      </c>
      <c r="C11" s="391">
        <f t="shared" si="1"/>
        <v>239</v>
      </c>
      <c r="E11" s="1131" t="s">
        <v>381</v>
      </c>
      <c r="F11" s="1132"/>
      <c r="G11" s="391">
        <f t="shared" si="2"/>
        <v>1932</v>
      </c>
      <c r="H11" s="393">
        <f t="shared" si="3"/>
        <v>205</v>
      </c>
      <c r="J11" s="289" t="s">
        <v>10</v>
      </c>
      <c r="K11" s="389">
        <f>'2-Ⅰ'!B13</f>
        <v>813</v>
      </c>
      <c r="L11" s="389">
        <f>'2-Ⅰ'!F13</f>
        <v>9</v>
      </c>
      <c r="M11" s="389">
        <f>'2-Ⅰ'!G13</f>
        <v>52</v>
      </c>
      <c r="N11" s="351"/>
      <c r="O11" s="351"/>
      <c r="P11" s="351"/>
      <c r="Q11" s="351"/>
      <c r="R11" s="351"/>
    </row>
    <row r="12" spans="1:18" ht="20.25" customHeight="1" thickTop="1" thickBot="1" x14ac:dyDescent="0.25">
      <c r="A12" s="394" t="s">
        <v>10</v>
      </c>
      <c r="B12" s="395">
        <f t="shared" si="0"/>
        <v>813</v>
      </c>
      <c r="C12" s="395">
        <f t="shared" si="1"/>
        <v>61</v>
      </c>
      <c r="E12" s="1149" t="s">
        <v>11</v>
      </c>
      <c r="F12" s="1149"/>
      <c r="G12" s="618">
        <f t="shared" si="2"/>
        <v>14007</v>
      </c>
      <c r="H12" s="398">
        <f t="shared" si="3"/>
        <v>1661</v>
      </c>
      <c r="J12" s="289" t="s">
        <v>244</v>
      </c>
      <c r="K12" s="389">
        <f>'2-Ⅰ'!B14</f>
        <v>0</v>
      </c>
      <c r="L12" s="389">
        <f>'2-Ⅰ'!F14</f>
        <v>0</v>
      </c>
      <c r="M12" s="389">
        <f>'2-Ⅰ'!G14</f>
        <v>0</v>
      </c>
      <c r="N12" s="351"/>
      <c r="O12" s="351"/>
      <c r="P12" s="351"/>
      <c r="Q12" s="351"/>
      <c r="R12" s="351"/>
    </row>
    <row r="13" spans="1:18" ht="20.25" customHeight="1" thickTop="1" thickBot="1" x14ac:dyDescent="0.25">
      <c r="A13" s="399" t="s">
        <v>11</v>
      </c>
      <c r="B13" s="634">
        <f t="shared" si="0"/>
        <v>0</v>
      </c>
      <c r="C13" s="634">
        <f t="shared" si="1"/>
        <v>0</v>
      </c>
      <c r="E13" s="145"/>
      <c r="F13" s="145"/>
      <c r="G13" s="26"/>
      <c r="H13" s="400"/>
      <c r="J13" s="289" t="s">
        <v>284</v>
      </c>
      <c r="K13" s="389">
        <f>'2-Ⅰ'!B15</f>
        <v>14007</v>
      </c>
      <c r="L13" s="389">
        <f>'2-Ⅰ'!F15</f>
        <v>300</v>
      </c>
      <c r="M13" s="389">
        <f>'2-Ⅰ'!G15</f>
        <v>1361</v>
      </c>
      <c r="N13" s="288"/>
      <c r="O13" s="288"/>
      <c r="P13" s="288"/>
      <c r="Q13" s="288"/>
      <c r="R13" s="288"/>
    </row>
    <row r="14" spans="1:18" ht="20.25" customHeight="1" thickTop="1" x14ac:dyDescent="0.2">
      <c r="A14" s="401" t="s">
        <v>410</v>
      </c>
      <c r="B14" s="636">
        <f t="shared" si="0"/>
        <v>14007</v>
      </c>
      <c r="C14" s="636">
        <f t="shared" si="1"/>
        <v>1661</v>
      </c>
      <c r="E14" s="145"/>
      <c r="F14" s="145"/>
      <c r="G14" s="26"/>
      <c r="H14" s="400"/>
      <c r="J14" s="289" t="s">
        <v>285</v>
      </c>
      <c r="K14" s="389">
        <f>'2-Ⅰ'!B16</f>
        <v>5491</v>
      </c>
      <c r="L14" s="389">
        <f>'2-Ⅰ'!F16</f>
        <v>174</v>
      </c>
      <c r="M14" s="389">
        <f>'2-Ⅰ'!G16</f>
        <v>683</v>
      </c>
      <c r="N14" s="288"/>
      <c r="O14" s="288"/>
      <c r="P14" s="288"/>
      <c r="Q14" s="288"/>
      <c r="R14" s="288"/>
    </row>
    <row r="15" spans="1:18" ht="20.25" customHeight="1" x14ac:dyDescent="0.2">
      <c r="A15" s="221" t="s">
        <v>411</v>
      </c>
      <c r="B15" s="637">
        <f t="shared" si="0"/>
        <v>5491</v>
      </c>
      <c r="C15" s="637">
        <f t="shared" si="1"/>
        <v>857</v>
      </c>
      <c r="J15" s="288"/>
      <c r="K15" s="288"/>
      <c r="L15" s="288"/>
      <c r="M15" s="288"/>
      <c r="N15" s="288"/>
      <c r="O15" s="288"/>
      <c r="P15" s="288"/>
      <c r="Q15" s="288"/>
      <c r="R15" s="288"/>
    </row>
    <row r="16" spans="1:18" ht="20.25" customHeight="1" x14ac:dyDescent="0.2"/>
    <row r="17" spans="1:18" ht="20.25" customHeight="1" x14ac:dyDescent="0.2"/>
    <row r="18" spans="1:18" ht="20.25" customHeight="1" x14ac:dyDescent="0.2">
      <c r="A18" s="402" t="s">
        <v>277</v>
      </c>
      <c r="B18" s="403" t="s">
        <v>401</v>
      </c>
      <c r="C18" s="403" t="s">
        <v>256</v>
      </c>
      <c r="E18" s="1139" t="s">
        <v>77</v>
      </c>
      <c r="F18" s="1140"/>
      <c r="G18" s="388" t="s">
        <v>401</v>
      </c>
      <c r="H18" s="388" t="s">
        <v>256</v>
      </c>
    </row>
    <row r="19" spans="1:18" ht="20.25" customHeight="1" x14ac:dyDescent="0.2">
      <c r="A19" s="221" t="s">
        <v>412</v>
      </c>
      <c r="B19" s="391">
        <f>SUM(K24:K27)</f>
        <v>6574</v>
      </c>
      <c r="C19" s="391">
        <f>SUM(L24:M27)</f>
        <v>1136</v>
      </c>
      <c r="E19" s="1127" t="s">
        <v>110</v>
      </c>
      <c r="F19" s="1128"/>
      <c r="G19" s="404">
        <f>K43</f>
        <v>4186</v>
      </c>
      <c r="H19" s="637">
        <f>SUM(L43:M43)</f>
        <v>282</v>
      </c>
    </row>
    <row r="20" spans="1:18" ht="20.25" customHeight="1" x14ac:dyDescent="0.2">
      <c r="A20" s="221" t="s">
        <v>413</v>
      </c>
      <c r="B20" s="391">
        <f>SUM(K28:K32)</f>
        <v>3783</v>
      </c>
      <c r="C20" s="391">
        <f>SUM(L28:M32)</f>
        <v>282</v>
      </c>
      <c r="E20" s="405"/>
      <c r="F20" s="406" t="s">
        <v>111</v>
      </c>
      <c r="G20" s="667">
        <f>K44</f>
        <v>2211</v>
      </c>
      <c r="H20" s="667">
        <f t="shared" ref="H20:H35" si="4">SUM(L44:M44)</f>
        <v>123</v>
      </c>
    </row>
    <row r="21" spans="1:18" ht="20.25" customHeight="1" x14ac:dyDescent="0.2">
      <c r="A21" s="221" t="s">
        <v>414</v>
      </c>
      <c r="B21" s="391">
        <f>SUM(K33:K37)</f>
        <v>1742</v>
      </c>
      <c r="C21" s="391">
        <f>SUM(L33:M37)</f>
        <v>127</v>
      </c>
      <c r="E21" s="405"/>
      <c r="F21" s="407" t="s">
        <v>98</v>
      </c>
      <c r="G21" s="668">
        <f t="shared" ref="G21:G35" si="5">K45</f>
        <v>252</v>
      </c>
      <c r="H21" s="668">
        <f t="shared" si="4"/>
        <v>15</v>
      </c>
    </row>
    <row r="22" spans="1:18" ht="20.25" customHeight="1" x14ac:dyDescent="0.2">
      <c r="A22" s="221" t="s">
        <v>415</v>
      </c>
      <c r="B22" s="391">
        <f>K38</f>
        <v>1203</v>
      </c>
      <c r="C22" s="391">
        <f>SUM(L38:M38)</f>
        <v>76</v>
      </c>
      <c r="E22" s="408"/>
      <c r="F22" s="409" t="s">
        <v>19</v>
      </c>
      <c r="G22" s="669">
        <f t="shared" si="5"/>
        <v>1723</v>
      </c>
      <c r="H22" s="669">
        <f t="shared" si="4"/>
        <v>144</v>
      </c>
    </row>
    <row r="23" spans="1:18" ht="20.25" customHeight="1" thickBot="1" x14ac:dyDescent="0.25">
      <c r="A23" s="394" t="s">
        <v>416</v>
      </c>
      <c r="B23" s="642">
        <f>K39</f>
        <v>705</v>
      </c>
      <c r="C23" s="642">
        <f>SUM(L39:M39)</f>
        <v>40</v>
      </c>
      <c r="E23" s="1127" t="s">
        <v>233</v>
      </c>
      <c r="F23" s="1128"/>
      <c r="G23" s="637">
        <f t="shared" si="5"/>
        <v>746</v>
      </c>
      <c r="H23" s="410">
        <f t="shared" si="4"/>
        <v>226</v>
      </c>
      <c r="J23" s="633"/>
      <c r="K23" s="633" t="s">
        <v>422</v>
      </c>
      <c r="L23" s="643" t="s">
        <v>28</v>
      </c>
      <c r="M23" s="643" t="s">
        <v>29</v>
      </c>
      <c r="N23" s="351"/>
      <c r="O23" s="644"/>
      <c r="P23" s="645" t="s">
        <v>422</v>
      </c>
      <c r="Q23" s="633" t="s">
        <v>28</v>
      </c>
      <c r="R23" s="633" t="s">
        <v>29</v>
      </c>
    </row>
    <row r="24" spans="1:18" ht="20.25" customHeight="1" thickTop="1" x14ac:dyDescent="0.2">
      <c r="A24" s="411" t="s">
        <v>11</v>
      </c>
      <c r="B24" s="646">
        <f>K40</f>
        <v>14007</v>
      </c>
      <c r="C24" s="646">
        <f>SUM(L40:M40)</f>
        <v>1661</v>
      </c>
      <c r="E24" s="1127" t="s">
        <v>72</v>
      </c>
      <c r="F24" s="1128"/>
      <c r="G24" s="637">
        <f t="shared" si="5"/>
        <v>6451</v>
      </c>
      <c r="H24" s="410">
        <f t="shared" si="4"/>
        <v>706</v>
      </c>
      <c r="J24" s="289" t="s">
        <v>59</v>
      </c>
      <c r="K24" s="389">
        <f>'２-Ⅳ'!B5</f>
        <v>1744</v>
      </c>
      <c r="L24" s="389">
        <f>'２-Ⅳ'!F5</f>
        <v>79</v>
      </c>
      <c r="M24" s="389">
        <f>'２-Ⅳ'!G5</f>
        <v>256</v>
      </c>
      <c r="N24" s="351"/>
      <c r="O24" s="291" t="s">
        <v>356</v>
      </c>
      <c r="P24" s="389">
        <f>'6-Ⅰ⑤'!B16</f>
        <v>1608</v>
      </c>
      <c r="Q24" s="389">
        <f>'6-Ⅰ⑤'!B4</f>
        <v>38</v>
      </c>
      <c r="R24" s="389">
        <f>'6-Ⅰ⑤'!B6</f>
        <v>135</v>
      </c>
    </row>
    <row r="25" spans="1:18" ht="20.25" customHeight="1" x14ac:dyDescent="0.2">
      <c r="A25" s="145"/>
      <c r="B25" s="145"/>
      <c r="C25" s="647"/>
      <c r="E25" s="1127" t="s">
        <v>73</v>
      </c>
      <c r="F25" s="1128"/>
      <c r="G25" s="637">
        <f t="shared" si="5"/>
        <v>1663</v>
      </c>
      <c r="H25" s="410">
        <f t="shared" si="4"/>
        <v>302</v>
      </c>
      <c r="J25" s="289" t="s">
        <v>195</v>
      </c>
      <c r="K25" s="389">
        <f>'２-Ⅳ'!B6</f>
        <v>2198</v>
      </c>
      <c r="L25" s="389">
        <f>'２-Ⅳ'!F6</f>
        <v>115</v>
      </c>
      <c r="M25" s="389">
        <f>'２-Ⅳ'!G6</f>
        <v>346</v>
      </c>
      <c r="N25" s="351"/>
      <c r="O25" s="291" t="s">
        <v>357</v>
      </c>
      <c r="P25" s="389">
        <f>'6-Ⅰ⑤'!C16</f>
        <v>1813</v>
      </c>
      <c r="Q25" s="389">
        <f>'6-Ⅰ⑤'!C4</f>
        <v>67</v>
      </c>
      <c r="R25" s="389">
        <f>'6-Ⅰ⑤'!C6</f>
        <v>151</v>
      </c>
    </row>
    <row r="26" spans="1:18" ht="20.25" customHeight="1" x14ac:dyDescent="0.2">
      <c r="E26" s="1127" t="s">
        <v>24</v>
      </c>
      <c r="F26" s="1128"/>
      <c r="G26" s="637">
        <f t="shared" si="5"/>
        <v>247</v>
      </c>
      <c r="H26" s="410">
        <f t="shared" si="4"/>
        <v>50</v>
      </c>
      <c r="J26" s="289" t="s">
        <v>196</v>
      </c>
      <c r="K26" s="389">
        <f>'２-Ⅳ'!B7</f>
        <v>1214</v>
      </c>
      <c r="L26" s="389">
        <f>'２-Ⅳ'!F7</f>
        <v>38</v>
      </c>
      <c r="M26" s="389">
        <f>'２-Ⅳ'!G7</f>
        <v>140</v>
      </c>
      <c r="N26" s="351"/>
      <c r="O26" s="291" t="s">
        <v>358</v>
      </c>
      <c r="P26" s="389">
        <f>'6-Ⅰ⑤'!D16</f>
        <v>1333</v>
      </c>
      <c r="Q26" s="389">
        <f>'6-Ⅰ⑤'!D4</f>
        <v>19</v>
      </c>
      <c r="R26" s="389">
        <f>'6-Ⅰ⑤'!D6</f>
        <v>109</v>
      </c>
    </row>
    <row r="27" spans="1:18" ht="20.25" customHeight="1" thickBot="1" x14ac:dyDescent="0.25">
      <c r="A27" s="387" t="s">
        <v>417</v>
      </c>
      <c r="B27" s="387" t="s">
        <v>401</v>
      </c>
      <c r="C27" s="387" t="s">
        <v>1</v>
      </c>
      <c r="E27" s="1127" t="s">
        <v>25</v>
      </c>
      <c r="F27" s="1128"/>
      <c r="G27" s="637">
        <f t="shared" si="5"/>
        <v>49</v>
      </c>
      <c r="H27" s="410">
        <f t="shared" si="4"/>
        <v>6</v>
      </c>
      <c r="J27" s="289" t="s">
        <v>197</v>
      </c>
      <c r="K27" s="389">
        <f>'２-Ⅳ'!B8</f>
        <v>1418</v>
      </c>
      <c r="L27" s="389">
        <f>'２-Ⅳ'!F8</f>
        <v>28</v>
      </c>
      <c r="M27" s="389">
        <f>'２-Ⅳ'!G8</f>
        <v>134</v>
      </c>
      <c r="N27" s="351"/>
      <c r="O27" s="291" t="s">
        <v>359</v>
      </c>
      <c r="P27" s="389">
        <f>'6-Ⅰ⑤'!E16</f>
        <v>1217</v>
      </c>
      <c r="Q27" s="389">
        <f>'6-Ⅰ⑤'!E4</f>
        <v>45</v>
      </c>
      <c r="R27" s="389">
        <f>'6-Ⅰ⑤'!E6</f>
        <v>192</v>
      </c>
    </row>
    <row r="28" spans="1:18" ht="20.25" customHeight="1" thickTop="1" x14ac:dyDescent="0.2">
      <c r="A28" s="401" t="s">
        <v>257</v>
      </c>
      <c r="B28" s="412">
        <f>P43</f>
        <v>300</v>
      </c>
      <c r="C28" s="428">
        <f>Q43</f>
        <v>2.1417862497322766E-2</v>
      </c>
      <c r="E28" s="1127" t="s">
        <v>238</v>
      </c>
      <c r="F28" s="1128"/>
      <c r="G28" s="637">
        <f t="shared" si="5"/>
        <v>41</v>
      </c>
      <c r="H28" s="410">
        <f t="shared" si="4"/>
        <v>14</v>
      </c>
      <c r="J28" s="289" t="s">
        <v>198</v>
      </c>
      <c r="K28" s="389">
        <f>'２-Ⅳ'!B9</f>
        <v>875</v>
      </c>
      <c r="L28" s="389">
        <f>'２-Ⅳ'!F9</f>
        <v>8</v>
      </c>
      <c r="M28" s="389">
        <f>'２-Ⅳ'!G9</f>
        <v>61</v>
      </c>
      <c r="N28" s="351"/>
      <c r="O28" s="291" t="s">
        <v>360</v>
      </c>
      <c r="P28" s="389">
        <f>'6-Ⅰ⑤'!F16</f>
        <v>1225</v>
      </c>
      <c r="Q28" s="389">
        <f>'6-Ⅰ⑤'!F4</f>
        <v>28</v>
      </c>
      <c r="R28" s="389">
        <f>'6-Ⅰ⑤'!F6</f>
        <v>120</v>
      </c>
    </row>
    <row r="29" spans="1:18" ht="20.25" customHeight="1" x14ac:dyDescent="0.2">
      <c r="A29" s="221" t="s">
        <v>258</v>
      </c>
      <c r="B29" s="391">
        <f t="shared" ref="B29:C34" si="6">P44</f>
        <v>1361</v>
      </c>
      <c r="C29" s="429">
        <f t="shared" si="6"/>
        <v>9.7165702862854281E-2</v>
      </c>
      <c r="E29" s="1127" t="s">
        <v>239</v>
      </c>
      <c r="F29" s="1128"/>
      <c r="G29" s="637">
        <f t="shared" si="5"/>
        <v>280</v>
      </c>
      <c r="H29" s="410">
        <f t="shared" si="4"/>
        <v>27</v>
      </c>
      <c r="J29" s="289" t="s">
        <v>199</v>
      </c>
      <c r="K29" s="389">
        <f>'２-Ⅳ'!B10</f>
        <v>669</v>
      </c>
      <c r="L29" s="389">
        <f>'２-Ⅳ'!F10</f>
        <v>3</v>
      </c>
      <c r="M29" s="389">
        <f>'２-Ⅳ'!G10</f>
        <v>44</v>
      </c>
      <c r="N29" s="351"/>
      <c r="O29" s="291" t="s">
        <v>361</v>
      </c>
      <c r="P29" s="389">
        <f>'6-Ⅰ⑤'!G16</f>
        <v>4712</v>
      </c>
      <c r="Q29" s="389">
        <f>'6-Ⅰ⑤'!G4</f>
        <v>65</v>
      </c>
      <c r="R29" s="389">
        <f>'6-Ⅰ⑤'!G6</f>
        <v>452</v>
      </c>
    </row>
    <row r="30" spans="1:18" ht="20.25" customHeight="1" x14ac:dyDescent="0.2">
      <c r="A30" s="221" t="s">
        <v>382</v>
      </c>
      <c r="B30" s="391">
        <f t="shared" si="6"/>
        <v>2815</v>
      </c>
      <c r="C30" s="429">
        <f t="shared" si="6"/>
        <v>0.20097094309987862</v>
      </c>
      <c r="E30" s="1127" t="s">
        <v>79</v>
      </c>
      <c r="F30" s="1128"/>
      <c r="G30" s="637">
        <f t="shared" si="5"/>
        <v>188</v>
      </c>
      <c r="H30" s="410">
        <f t="shared" si="4"/>
        <v>26</v>
      </c>
      <c r="J30" s="289" t="s">
        <v>200</v>
      </c>
      <c r="K30" s="389">
        <f>'２-Ⅳ'!B11</f>
        <v>1021</v>
      </c>
      <c r="L30" s="389">
        <f>'２-Ⅳ'!F11</f>
        <v>6</v>
      </c>
      <c r="M30" s="389">
        <f>'２-Ⅳ'!G11</f>
        <v>75</v>
      </c>
      <c r="N30" s="351"/>
      <c r="O30" s="291" t="s">
        <v>362</v>
      </c>
      <c r="P30" s="389">
        <f>'6-Ⅰ⑤'!H16</f>
        <v>167</v>
      </c>
      <c r="Q30" s="389">
        <f>'6-Ⅰ⑤'!H4</f>
        <v>22</v>
      </c>
      <c r="R30" s="389">
        <f>'6-Ⅰ⑤'!H6</f>
        <v>13</v>
      </c>
    </row>
    <row r="31" spans="1:18" ht="20.25" customHeight="1" x14ac:dyDescent="0.2">
      <c r="A31" s="221" t="s">
        <v>383</v>
      </c>
      <c r="B31" s="391">
        <f t="shared" si="6"/>
        <v>5639</v>
      </c>
      <c r="C31" s="429">
        <f t="shared" si="6"/>
        <v>0.40258442207467693</v>
      </c>
      <c r="E31" s="1127" t="s">
        <v>240</v>
      </c>
      <c r="F31" s="1128"/>
      <c r="G31" s="637">
        <f t="shared" si="5"/>
        <v>49</v>
      </c>
      <c r="H31" s="410">
        <f t="shared" si="4"/>
        <v>7</v>
      </c>
      <c r="J31" s="289" t="s">
        <v>201</v>
      </c>
      <c r="K31" s="389">
        <f>'２-Ⅳ'!B12</f>
        <v>672</v>
      </c>
      <c r="L31" s="389">
        <f>'２-Ⅳ'!F12</f>
        <v>6</v>
      </c>
      <c r="M31" s="389">
        <f>'２-Ⅳ'!G12</f>
        <v>49</v>
      </c>
      <c r="N31" s="351"/>
      <c r="O31" s="291" t="s">
        <v>363</v>
      </c>
      <c r="P31" s="389">
        <f>'6-Ⅰ⑤'!I16</f>
        <v>1932</v>
      </c>
      <c r="Q31" s="389">
        <f>'6-Ⅰ⑤'!I4</f>
        <v>16</v>
      </c>
      <c r="R31" s="389">
        <f>'6-Ⅰ⑤'!I6</f>
        <v>189</v>
      </c>
    </row>
    <row r="32" spans="1:18" ht="20.25" customHeight="1" x14ac:dyDescent="0.2">
      <c r="A32" s="221" t="s">
        <v>384</v>
      </c>
      <c r="B32" s="391">
        <f t="shared" si="6"/>
        <v>3347</v>
      </c>
      <c r="C32" s="429">
        <f t="shared" si="6"/>
        <v>0.238951952595131</v>
      </c>
      <c r="E32" s="1127" t="s">
        <v>113</v>
      </c>
      <c r="F32" s="1128"/>
      <c r="G32" s="637">
        <f t="shared" si="5"/>
        <v>24</v>
      </c>
      <c r="H32" s="410">
        <f t="shared" si="4"/>
        <v>1</v>
      </c>
      <c r="J32" s="289" t="s">
        <v>202</v>
      </c>
      <c r="K32" s="389">
        <f>'２-Ⅳ'!B13</f>
        <v>546</v>
      </c>
      <c r="L32" s="389">
        <f>'２-Ⅳ'!F13</f>
        <v>4</v>
      </c>
      <c r="M32" s="389">
        <f>'２-Ⅳ'!G13</f>
        <v>26</v>
      </c>
      <c r="N32" s="351"/>
      <c r="O32" s="291" t="s">
        <v>244</v>
      </c>
      <c r="P32" s="413">
        <f>'6-Ⅰ⑤'!J16</f>
        <v>14007</v>
      </c>
      <c r="Q32" s="389">
        <f>'6-Ⅰ⑤'!J4</f>
        <v>300</v>
      </c>
      <c r="R32" s="389">
        <f>'6-Ⅰ⑤'!J6</f>
        <v>1361</v>
      </c>
    </row>
    <row r="33" spans="1:18" ht="20.25" customHeight="1" thickBot="1" x14ac:dyDescent="0.25">
      <c r="A33" s="394" t="s">
        <v>385</v>
      </c>
      <c r="B33" s="395">
        <f t="shared" si="6"/>
        <v>545</v>
      </c>
      <c r="C33" s="430">
        <f t="shared" si="6"/>
        <v>3.8909116870136359E-2</v>
      </c>
      <c r="E33" s="1129" t="s">
        <v>347</v>
      </c>
      <c r="F33" s="1130"/>
      <c r="G33" s="637">
        <f t="shared" si="5"/>
        <v>82</v>
      </c>
      <c r="H33" s="410">
        <f t="shared" si="4"/>
        <v>14</v>
      </c>
      <c r="J33" s="289" t="s">
        <v>203</v>
      </c>
      <c r="K33" s="389">
        <f>'２-Ⅳ'!B14</f>
        <v>505</v>
      </c>
      <c r="L33" s="389">
        <f>'２-Ⅳ'!F14</f>
        <v>1</v>
      </c>
      <c r="M33" s="389">
        <f>'２-Ⅳ'!G14</f>
        <v>30</v>
      </c>
      <c r="N33" s="351"/>
      <c r="O33" s="351"/>
      <c r="P33" s="351"/>
      <c r="Q33" s="351"/>
      <c r="R33" s="351"/>
    </row>
    <row r="34" spans="1:18" ht="20.25" customHeight="1" thickTop="1" thickBot="1" x14ac:dyDescent="0.25">
      <c r="A34" s="411" t="s">
        <v>11</v>
      </c>
      <c r="B34" s="414">
        <f t="shared" si="6"/>
        <v>14007</v>
      </c>
      <c r="C34" s="415">
        <f t="shared" si="6"/>
        <v>0.99999999999999989</v>
      </c>
      <c r="E34" s="1123" t="s">
        <v>418</v>
      </c>
      <c r="F34" s="1124"/>
      <c r="G34" s="648">
        <f t="shared" si="5"/>
        <v>1</v>
      </c>
      <c r="H34" s="431">
        <f t="shared" si="4"/>
        <v>0</v>
      </c>
      <c r="J34" s="289" t="s">
        <v>204</v>
      </c>
      <c r="K34" s="389">
        <f>'２-Ⅳ'!B15</f>
        <v>392</v>
      </c>
      <c r="L34" s="389">
        <f>'２-Ⅳ'!F15</f>
        <v>2</v>
      </c>
      <c r="M34" s="389">
        <f>'２-Ⅳ'!G15</f>
        <v>30</v>
      </c>
      <c r="N34" s="351"/>
      <c r="O34" s="351"/>
      <c r="P34" s="351"/>
      <c r="Q34" s="351"/>
      <c r="R34" s="351"/>
    </row>
    <row r="35" spans="1:18" ht="20.25" customHeight="1" thickTop="1" x14ac:dyDescent="0.2">
      <c r="A35" s="145"/>
      <c r="B35" s="145"/>
      <c r="C35" s="647"/>
      <c r="E35" s="1147" t="s">
        <v>11</v>
      </c>
      <c r="F35" s="1148"/>
      <c r="G35" s="418">
        <f t="shared" si="5"/>
        <v>14007</v>
      </c>
      <c r="H35" s="419">
        <f t="shared" si="4"/>
        <v>1661</v>
      </c>
      <c r="J35" s="289" t="s">
        <v>205</v>
      </c>
      <c r="K35" s="389">
        <f>'２-Ⅳ'!B16</f>
        <v>366</v>
      </c>
      <c r="L35" s="389">
        <f>'２-Ⅳ'!F16</f>
        <v>0</v>
      </c>
      <c r="M35" s="389">
        <f>'２-Ⅳ'!G16</f>
        <v>28</v>
      </c>
      <c r="N35" s="351"/>
      <c r="O35" s="351"/>
      <c r="P35" s="351"/>
      <c r="Q35" s="351"/>
      <c r="R35" s="351"/>
    </row>
    <row r="36" spans="1:18" ht="20.25" customHeight="1" x14ac:dyDescent="0.2">
      <c r="J36" s="289" t="s">
        <v>206</v>
      </c>
      <c r="K36" s="389">
        <f>'２-Ⅳ'!B17</f>
        <v>271</v>
      </c>
      <c r="L36" s="389">
        <f>'２-Ⅳ'!F17</f>
        <v>1</v>
      </c>
      <c r="M36" s="389">
        <f>'２-Ⅳ'!G17</f>
        <v>20</v>
      </c>
      <c r="N36" s="351"/>
      <c r="O36" s="351"/>
      <c r="P36" s="351"/>
      <c r="Q36" s="351"/>
      <c r="R36" s="351"/>
    </row>
    <row r="37" spans="1:18" ht="20.25" customHeight="1" x14ac:dyDescent="0.2">
      <c r="A37" s="4" t="s">
        <v>420</v>
      </c>
      <c r="J37" s="289" t="s">
        <v>207</v>
      </c>
      <c r="K37" s="389">
        <f>'２-Ⅳ'!B18</f>
        <v>208</v>
      </c>
      <c r="L37" s="389">
        <f>'２-Ⅳ'!F18</f>
        <v>0</v>
      </c>
      <c r="M37" s="389">
        <f>'２-Ⅳ'!G18</f>
        <v>15</v>
      </c>
      <c r="N37" s="351"/>
      <c r="O37" s="351"/>
      <c r="P37" s="351"/>
      <c r="Q37" s="351"/>
      <c r="R37" s="351"/>
    </row>
    <row r="38" spans="1:18" ht="20.25" customHeight="1" x14ac:dyDescent="0.2">
      <c r="J38" s="289" t="s">
        <v>208</v>
      </c>
      <c r="K38" s="389">
        <f>'２-Ⅳ'!B19</f>
        <v>1203</v>
      </c>
      <c r="L38" s="389">
        <f>'２-Ⅳ'!F19</f>
        <v>6</v>
      </c>
      <c r="M38" s="389">
        <f>'２-Ⅳ'!G19</f>
        <v>70</v>
      </c>
      <c r="N38" s="351"/>
      <c r="O38" s="351"/>
      <c r="P38" s="351"/>
      <c r="Q38" s="351"/>
      <c r="R38" s="351"/>
    </row>
    <row r="39" spans="1:18" ht="20.25" customHeight="1" thickBot="1" x14ac:dyDescent="0.25">
      <c r="A39" s="420" t="s">
        <v>247</v>
      </c>
      <c r="B39" s="420" t="s">
        <v>401</v>
      </c>
      <c r="C39" s="420" t="s">
        <v>256</v>
      </c>
      <c r="E39" s="1137" t="s">
        <v>402</v>
      </c>
      <c r="F39" s="1138"/>
      <c r="G39" s="421" t="s">
        <v>401</v>
      </c>
      <c r="H39" s="421" t="s">
        <v>256</v>
      </c>
      <c r="J39" s="289" t="s">
        <v>60</v>
      </c>
      <c r="K39" s="389">
        <f>'２-Ⅳ'!B20</f>
        <v>705</v>
      </c>
      <c r="L39" s="389">
        <f>'２-Ⅳ'!F20</f>
        <v>3</v>
      </c>
      <c r="M39" s="389">
        <f>'２-Ⅳ'!G20</f>
        <v>37</v>
      </c>
      <c r="N39" s="351"/>
      <c r="O39" s="351"/>
      <c r="P39" s="351"/>
      <c r="Q39" s="351"/>
      <c r="R39" s="351"/>
    </row>
    <row r="40" spans="1:18" ht="20.25" customHeight="1" thickTop="1" x14ac:dyDescent="0.2">
      <c r="A40" s="621" t="s">
        <v>403</v>
      </c>
      <c r="B40" s="390">
        <f t="shared" ref="B40:B51" si="7">K65</f>
        <v>3</v>
      </c>
      <c r="C40" s="390">
        <f t="shared" ref="C40:C51" si="8">L65+M65</f>
        <v>0</v>
      </c>
      <c r="E40" s="1131" t="s">
        <v>404</v>
      </c>
      <c r="F40" s="1132"/>
      <c r="G40" s="391">
        <f t="shared" ref="G40:G48" si="9">P86</f>
        <v>863</v>
      </c>
      <c r="H40" s="392">
        <f t="shared" ref="H40:H48" si="10">Q86+R86</f>
        <v>55</v>
      </c>
      <c r="J40" s="289" t="s">
        <v>244</v>
      </c>
      <c r="K40" s="389">
        <f>'２-Ⅳ'!B21</f>
        <v>14007</v>
      </c>
      <c r="L40" s="389">
        <f>'２-Ⅳ'!F21</f>
        <v>300</v>
      </c>
      <c r="M40" s="389">
        <f>'２-Ⅳ'!G21</f>
        <v>1361</v>
      </c>
      <c r="N40" s="351"/>
      <c r="O40" s="351"/>
      <c r="P40" s="351"/>
      <c r="Q40" s="351"/>
      <c r="R40" s="351"/>
    </row>
    <row r="41" spans="1:18" ht="20.25" customHeight="1" x14ac:dyDescent="0.2">
      <c r="A41" s="221" t="s">
        <v>3</v>
      </c>
      <c r="B41" s="391">
        <f t="shared" si="7"/>
        <v>49</v>
      </c>
      <c r="C41" s="391">
        <f t="shared" si="8"/>
        <v>5</v>
      </c>
      <c r="E41" s="1131" t="s">
        <v>405</v>
      </c>
      <c r="F41" s="1132"/>
      <c r="G41" s="391">
        <f t="shared" si="9"/>
        <v>970</v>
      </c>
      <c r="H41" s="392">
        <f t="shared" si="10"/>
        <v>44</v>
      </c>
      <c r="J41" s="351"/>
      <c r="K41" s="351"/>
      <c r="L41" s="351"/>
      <c r="M41" s="351"/>
      <c r="N41" s="351"/>
      <c r="O41" s="351"/>
      <c r="P41" s="351"/>
      <c r="Q41" s="351"/>
      <c r="R41" s="351"/>
    </row>
    <row r="42" spans="1:18" ht="20.25" customHeight="1" thickBot="1" x14ac:dyDescent="0.25">
      <c r="A42" s="221" t="s">
        <v>4</v>
      </c>
      <c r="B42" s="391">
        <f t="shared" si="7"/>
        <v>133</v>
      </c>
      <c r="C42" s="391">
        <f t="shared" si="8"/>
        <v>15</v>
      </c>
      <c r="E42" s="1131" t="s">
        <v>406</v>
      </c>
      <c r="F42" s="1132"/>
      <c r="G42" s="391">
        <f t="shared" si="9"/>
        <v>567</v>
      </c>
      <c r="H42" s="392">
        <f t="shared" si="10"/>
        <v>36</v>
      </c>
      <c r="J42" s="649" t="s">
        <v>423</v>
      </c>
      <c r="K42" s="633" t="s">
        <v>422</v>
      </c>
      <c r="L42" s="643" t="s">
        <v>28</v>
      </c>
      <c r="M42" s="643" t="s">
        <v>29</v>
      </c>
      <c r="N42" s="351"/>
      <c r="O42" s="650" t="s">
        <v>424</v>
      </c>
      <c r="P42" s="650" t="s">
        <v>425</v>
      </c>
      <c r="Q42" s="650" t="s">
        <v>214</v>
      </c>
      <c r="R42" s="351"/>
    </row>
    <row r="43" spans="1:18" ht="20.25" customHeight="1" thickTop="1" x14ac:dyDescent="0.2">
      <c r="A43" s="221" t="s">
        <v>5</v>
      </c>
      <c r="B43" s="391">
        <f t="shared" si="7"/>
        <v>465</v>
      </c>
      <c r="C43" s="391">
        <f t="shared" si="8"/>
        <v>34</v>
      </c>
      <c r="E43" s="1131" t="s">
        <v>407</v>
      </c>
      <c r="F43" s="1132"/>
      <c r="G43" s="391">
        <f t="shared" si="9"/>
        <v>538</v>
      </c>
      <c r="H43" s="392">
        <f t="shared" si="10"/>
        <v>71</v>
      </c>
      <c r="J43" s="651" t="s">
        <v>374</v>
      </c>
      <c r="K43" s="389">
        <f>'２-Ⅲ'!C5</f>
        <v>4186</v>
      </c>
      <c r="L43" s="389">
        <f>'２-Ⅲ'!H5</f>
        <v>41</v>
      </c>
      <c r="M43" s="389">
        <f>'２-Ⅲ'!I5</f>
        <v>241</v>
      </c>
      <c r="N43" s="351"/>
      <c r="O43" s="652" t="s">
        <v>28</v>
      </c>
      <c r="P43" s="653">
        <f>'２-Ⅴ'!B5</f>
        <v>300</v>
      </c>
      <c r="Q43" s="654">
        <f>'２-Ⅴ'!C5</f>
        <v>2.1417862497322766E-2</v>
      </c>
      <c r="R43" s="351"/>
    </row>
    <row r="44" spans="1:18" ht="20.25" customHeight="1" x14ac:dyDescent="0.2">
      <c r="A44" s="221" t="s">
        <v>6</v>
      </c>
      <c r="B44" s="391">
        <f t="shared" si="7"/>
        <v>1269</v>
      </c>
      <c r="C44" s="391">
        <f t="shared" si="8"/>
        <v>101</v>
      </c>
      <c r="E44" s="1131" t="s">
        <v>408</v>
      </c>
      <c r="F44" s="1132"/>
      <c r="G44" s="391">
        <f t="shared" si="9"/>
        <v>679</v>
      </c>
      <c r="H44" s="392">
        <f t="shared" si="10"/>
        <v>46</v>
      </c>
      <c r="J44" s="655" t="s">
        <v>375</v>
      </c>
      <c r="K44" s="389">
        <f>'２-Ⅲ'!C6</f>
        <v>2211</v>
      </c>
      <c r="L44" s="389">
        <f>'２-Ⅲ'!H6</f>
        <v>24</v>
      </c>
      <c r="M44" s="389">
        <f>'２-Ⅲ'!I6</f>
        <v>99</v>
      </c>
      <c r="N44" s="351"/>
      <c r="O44" s="651" t="s">
        <v>29</v>
      </c>
      <c r="P44" s="656">
        <f>'２-Ⅴ'!B6</f>
        <v>1361</v>
      </c>
      <c r="Q44" s="657">
        <f>'２-Ⅴ'!C6</f>
        <v>9.7165702862854281E-2</v>
      </c>
      <c r="R44" s="351"/>
    </row>
    <row r="45" spans="1:18" ht="20.25" customHeight="1" x14ac:dyDescent="0.2">
      <c r="A45" s="221" t="s">
        <v>7</v>
      </c>
      <c r="B45" s="391">
        <f t="shared" si="7"/>
        <v>1439</v>
      </c>
      <c r="C45" s="391">
        <f t="shared" si="8"/>
        <v>105</v>
      </c>
      <c r="E45" s="1131" t="s">
        <v>409</v>
      </c>
      <c r="F45" s="1132"/>
      <c r="G45" s="391">
        <f t="shared" si="9"/>
        <v>2907</v>
      </c>
      <c r="H45" s="392">
        <f t="shared" si="10"/>
        <v>217</v>
      </c>
      <c r="J45" s="655" t="s">
        <v>376</v>
      </c>
      <c r="K45" s="389">
        <f>'２-Ⅲ'!C7</f>
        <v>252</v>
      </c>
      <c r="L45" s="389">
        <f>'２-Ⅲ'!H7</f>
        <v>1</v>
      </c>
      <c r="M45" s="389">
        <f>'２-Ⅲ'!I7</f>
        <v>14</v>
      </c>
      <c r="N45" s="351"/>
      <c r="O45" s="651" t="s">
        <v>30</v>
      </c>
      <c r="P45" s="656">
        <f>'２-Ⅴ'!B7</f>
        <v>2815</v>
      </c>
      <c r="Q45" s="657">
        <f>'２-Ⅴ'!C7</f>
        <v>0.20097094309987862</v>
      </c>
      <c r="R45" s="351"/>
    </row>
    <row r="46" spans="1:18" ht="20.25" customHeight="1" x14ac:dyDescent="0.2">
      <c r="A46" s="221" t="s">
        <v>8</v>
      </c>
      <c r="B46" s="391">
        <f t="shared" si="7"/>
        <v>1927</v>
      </c>
      <c r="C46" s="391">
        <f t="shared" si="8"/>
        <v>151</v>
      </c>
      <c r="E46" s="1131" t="s">
        <v>380</v>
      </c>
      <c r="F46" s="1132"/>
      <c r="G46" s="391">
        <f t="shared" si="9"/>
        <v>0</v>
      </c>
      <c r="H46" s="392">
        <f t="shared" si="10"/>
        <v>0</v>
      </c>
      <c r="J46" s="658" t="s">
        <v>426</v>
      </c>
      <c r="K46" s="389">
        <f>'２-Ⅲ'!C8</f>
        <v>1723</v>
      </c>
      <c r="L46" s="389">
        <f>'２-Ⅲ'!H8</f>
        <v>16</v>
      </c>
      <c r="M46" s="389">
        <f>'２-Ⅲ'!I8</f>
        <v>128</v>
      </c>
      <c r="N46" s="351"/>
      <c r="O46" s="651" t="s">
        <v>31</v>
      </c>
      <c r="P46" s="656">
        <f>'２-Ⅴ'!B8</f>
        <v>5639</v>
      </c>
      <c r="Q46" s="657">
        <f>'２-Ⅴ'!C8</f>
        <v>0.40258442207467693</v>
      </c>
      <c r="R46" s="351"/>
    </row>
    <row r="47" spans="1:18" ht="20.25" customHeight="1" thickBot="1" x14ac:dyDescent="0.25">
      <c r="A47" s="221" t="s">
        <v>9</v>
      </c>
      <c r="B47" s="391">
        <f t="shared" si="7"/>
        <v>1692</v>
      </c>
      <c r="C47" s="391">
        <f t="shared" si="8"/>
        <v>94</v>
      </c>
      <c r="E47" s="1131" t="s">
        <v>381</v>
      </c>
      <c r="F47" s="1132"/>
      <c r="G47" s="391">
        <f t="shared" si="9"/>
        <v>909</v>
      </c>
      <c r="H47" s="393">
        <f t="shared" si="10"/>
        <v>56</v>
      </c>
      <c r="J47" s="651" t="s">
        <v>20</v>
      </c>
      <c r="K47" s="389">
        <f>'２-Ⅲ'!C9</f>
        <v>746</v>
      </c>
      <c r="L47" s="389">
        <f>'２-Ⅲ'!H9</f>
        <v>43</v>
      </c>
      <c r="M47" s="389">
        <f>'２-Ⅲ'!I9</f>
        <v>183</v>
      </c>
      <c r="N47" s="351"/>
      <c r="O47" s="651" t="s">
        <v>32</v>
      </c>
      <c r="P47" s="656">
        <f>'２-Ⅴ'!B9</f>
        <v>3347</v>
      </c>
      <c r="Q47" s="657">
        <f>'２-Ⅴ'!C9</f>
        <v>0.238951952595131</v>
      </c>
      <c r="R47" s="351"/>
    </row>
    <row r="48" spans="1:18" ht="20.25" customHeight="1" thickTop="1" thickBot="1" x14ac:dyDescent="0.25">
      <c r="A48" s="394" t="s">
        <v>10</v>
      </c>
      <c r="B48" s="395">
        <f t="shared" si="7"/>
        <v>456</v>
      </c>
      <c r="C48" s="395">
        <f t="shared" si="8"/>
        <v>20</v>
      </c>
      <c r="E48" s="1145" t="s">
        <v>11</v>
      </c>
      <c r="F48" s="1146"/>
      <c r="G48" s="663">
        <f t="shared" si="9"/>
        <v>7433</v>
      </c>
      <c r="H48" s="422">
        <f t="shared" si="10"/>
        <v>525</v>
      </c>
      <c r="J48" s="651" t="s">
        <v>21</v>
      </c>
      <c r="K48" s="389">
        <f>'２-Ⅲ'!C10</f>
        <v>6451</v>
      </c>
      <c r="L48" s="389">
        <f>'２-Ⅲ'!H10</f>
        <v>96</v>
      </c>
      <c r="M48" s="389">
        <f>'２-Ⅲ'!I10</f>
        <v>610</v>
      </c>
      <c r="N48" s="351"/>
      <c r="O48" s="659" t="s">
        <v>33</v>
      </c>
      <c r="P48" s="660">
        <f>'２-Ⅴ'!B10</f>
        <v>545</v>
      </c>
      <c r="Q48" s="661">
        <f>'２-Ⅴ'!C10</f>
        <v>3.8909116870136359E-2</v>
      </c>
      <c r="R48" s="351"/>
    </row>
    <row r="49" spans="1:18" ht="20.25" customHeight="1" thickTop="1" thickBot="1" x14ac:dyDescent="0.25">
      <c r="A49" s="423" t="s">
        <v>11</v>
      </c>
      <c r="B49" s="662">
        <f t="shared" si="7"/>
        <v>7433</v>
      </c>
      <c r="C49" s="662">
        <f t="shared" si="8"/>
        <v>525</v>
      </c>
      <c r="E49" s="145"/>
      <c r="F49" s="145"/>
      <c r="G49" s="26"/>
      <c r="H49" s="400"/>
      <c r="J49" s="651" t="s">
        <v>22</v>
      </c>
      <c r="K49" s="389">
        <f>'２-Ⅲ'!C11</f>
        <v>1663</v>
      </c>
      <c r="L49" s="389">
        <f>'２-Ⅲ'!H11</f>
        <v>79</v>
      </c>
      <c r="M49" s="389">
        <f>'２-Ⅲ'!I11</f>
        <v>223</v>
      </c>
      <c r="N49" s="351"/>
      <c r="O49" s="664" t="s">
        <v>244</v>
      </c>
      <c r="P49" s="653">
        <f>'２-Ⅴ'!B11</f>
        <v>14007</v>
      </c>
      <c r="Q49" s="665">
        <f>'２-Ⅴ'!C11</f>
        <v>0.99999999999999989</v>
      </c>
      <c r="R49" s="351"/>
    </row>
    <row r="50" spans="1:18" ht="20.25" customHeight="1" thickTop="1" x14ac:dyDescent="0.2">
      <c r="A50" s="401" t="s">
        <v>410</v>
      </c>
      <c r="B50" s="636">
        <f t="shared" si="7"/>
        <v>2668</v>
      </c>
      <c r="C50" s="636">
        <f t="shared" si="8"/>
        <v>198</v>
      </c>
      <c r="E50" s="145"/>
      <c r="F50" s="145"/>
      <c r="G50" s="26"/>
      <c r="H50" s="400"/>
      <c r="J50" s="651" t="s">
        <v>235</v>
      </c>
      <c r="K50" s="389">
        <f>'２-Ⅲ'!C12</f>
        <v>247</v>
      </c>
      <c r="L50" s="389">
        <f>'２-Ⅲ'!H12</f>
        <v>13</v>
      </c>
      <c r="M50" s="389">
        <f>'２-Ⅲ'!I12</f>
        <v>37</v>
      </c>
      <c r="N50" s="351"/>
      <c r="O50" s="351"/>
      <c r="P50" s="351"/>
      <c r="Q50" s="351"/>
      <c r="R50" s="351"/>
    </row>
    <row r="51" spans="1:18" ht="20.25" customHeight="1" x14ac:dyDescent="0.2">
      <c r="A51" s="221" t="s">
        <v>411</v>
      </c>
      <c r="B51" s="637">
        <f t="shared" si="7"/>
        <v>4765</v>
      </c>
      <c r="C51" s="637">
        <f t="shared" si="8"/>
        <v>327</v>
      </c>
      <c r="J51" s="651" t="s">
        <v>236</v>
      </c>
      <c r="K51" s="389">
        <f>'２-Ⅲ'!C13</f>
        <v>49</v>
      </c>
      <c r="L51" s="389">
        <f>'２-Ⅲ'!H13</f>
        <v>3</v>
      </c>
      <c r="M51" s="389">
        <f>'２-Ⅲ'!I13</f>
        <v>3</v>
      </c>
      <c r="N51" s="351"/>
      <c r="O51" s="351"/>
      <c r="P51" s="351"/>
      <c r="Q51" s="351"/>
      <c r="R51" s="351"/>
    </row>
    <row r="52" spans="1:18" ht="20.25" customHeight="1" x14ac:dyDescent="0.2">
      <c r="J52" s="651" t="s">
        <v>241</v>
      </c>
      <c r="K52" s="389">
        <f>'２-Ⅲ'!C14</f>
        <v>41</v>
      </c>
      <c r="L52" s="389">
        <f>'２-Ⅲ'!H14</f>
        <v>7</v>
      </c>
      <c r="M52" s="389">
        <f>'２-Ⅲ'!I14</f>
        <v>7</v>
      </c>
      <c r="N52" s="351"/>
      <c r="O52" s="351"/>
      <c r="P52" s="351"/>
      <c r="Q52" s="351"/>
      <c r="R52" s="351"/>
    </row>
    <row r="53" spans="1:18" ht="20.25" customHeight="1" x14ac:dyDescent="0.2">
      <c r="J53" s="651" t="s">
        <v>419</v>
      </c>
      <c r="K53" s="389">
        <f>'２-Ⅲ'!C15</f>
        <v>280</v>
      </c>
      <c r="L53" s="389">
        <f>'２-Ⅲ'!H15</f>
        <v>5</v>
      </c>
      <c r="M53" s="389">
        <f>'２-Ⅲ'!I15</f>
        <v>22</v>
      </c>
      <c r="N53" s="351"/>
      <c r="O53" s="351"/>
      <c r="P53" s="351"/>
      <c r="Q53" s="351"/>
      <c r="R53" s="351"/>
    </row>
    <row r="54" spans="1:18" ht="20.25" customHeight="1" thickBot="1" x14ac:dyDescent="0.25">
      <c r="A54" s="420" t="s">
        <v>417</v>
      </c>
      <c r="B54" s="420" t="s">
        <v>401</v>
      </c>
      <c r="C54" s="420" t="s">
        <v>1</v>
      </c>
      <c r="E54" s="1135" t="s">
        <v>77</v>
      </c>
      <c r="F54" s="1136"/>
      <c r="G54" s="421" t="s">
        <v>401</v>
      </c>
      <c r="H54" s="421" t="s">
        <v>256</v>
      </c>
      <c r="J54" s="651" t="s">
        <v>23</v>
      </c>
      <c r="K54" s="389">
        <f>'２-Ⅲ'!C16</f>
        <v>188</v>
      </c>
      <c r="L54" s="389">
        <f>'２-Ⅲ'!H16</f>
        <v>7</v>
      </c>
      <c r="M54" s="389">
        <f>'２-Ⅲ'!I16</f>
        <v>19</v>
      </c>
      <c r="N54" s="351"/>
      <c r="O54" s="351"/>
      <c r="P54" s="351"/>
      <c r="Q54" s="351"/>
      <c r="R54" s="351"/>
    </row>
    <row r="55" spans="1:18" ht="20.25" customHeight="1" thickTop="1" x14ac:dyDescent="0.2">
      <c r="A55" s="401" t="s">
        <v>257</v>
      </c>
      <c r="B55" s="412">
        <f t="shared" ref="B55:C61" si="11">P105</f>
        <v>40</v>
      </c>
      <c r="C55" s="428">
        <f t="shared" si="11"/>
        <v>5.3814072379927353E-3</v>
      </c>
      <c r="E55" s="1127" t="s">
        <v>110</v>
      </c>
      <c r="F55" s="1128"/>
      <c r="G55" s="404">
        <f t="shared" ref="G55:G71" si="12">K105</f>
        <v>1889</v>
      </c>
      <c r="H55" s="637">
        <f t="shared" ref="H55:H71" si="13">SUM(L105:M105)</f>
        <v>86</v>
      </c>
      <c r="J55" s="651" t="s">
        <v>242</v>
      </c>
      <c r="K55" s="389">
        <f>'２-Ⅲ'!C17</f>
        <v>49</v>
      </c>
      <c r="L55" s="389">
        <f>'２-Ⅲ'!H17</f>
        <v>2</v>
      </c>
      <c r="M55" s="389">
        <f>'２-Ⅲ'!I17</f>
        <v>5</v>
      </c>
      <c r="N55" s="351"/>
      <c r="O55" s="351"/>
      <c r="P55" s="351"/>
      <c r="Q55" s="351"/>
      <c r="R55" s="351"/>
    </row>
    <row r="56" spans="1:18" ht="20.25" customHeight="1" x14ac:dyDescent="0.2">
      <c r="A56" s="221" t="s">
        <v>258</v>
      </c>
      <c r="B56" s="391">
        <f t="shared" si="11"/>
        <v>485</v>
      </c>
      <c r="C56" s="429">
        <f t="shared" si="11"/>
        <v>6.5249562760661919E-2</v>
      </c>
      <c r="E56" s="405"/>
      <c r="F56" s="406" t="s">
        <v>111</v>
      </c>
      <c r="G56" s="638">
        <f t="shared" si="12"/>
        <v>997</v>
      </c>
      <c r="H56" s="638">
        <f t="shared" si="13"/>
        <v>35</v>
      </c>
      <c r="J56" s="651" t="s">
        <v>66</v>
      </c>
      <c r="K56" s="389">
        <f>'２-Ⅲ'!C18</f>
        <v>24</v>
      </c>
      <c r="L56" s="389">
        <f>'２-Ⅲ'!H18</f>
        <v>0</v>
      </c>
      <c r="M56" s="389">
        <f>'２-Ⅲ'!I18</f>
        <v>1</v>
      </c>
      <c r="N56" s="351"/>
      <c r="O56" s="351"/>
      <c r="P56" s="351"/>
      <c r="Q56" s="351"/>
      <c r="R56" s="351"/>
    </row>
    <row r="57" spans="1:18" ht="20.25" customHeight="1" x14ac:dyDescent="0.2">
      <c r="A57" s="221" t="s">
        <v>382</v>
      </c>
      <c r="B57" s="391">
        <f t="shared" si="11"/>
        <v>1276</v>
      </c>
      <c r="C57" s="429">
        <f t="shared" si="11"/>
        <v>0.17166689089196824</v>
      </c>
      <c r="E57" s="405"/>
      <c r="F57" s="407" t="s">
        <v>98</v>
      </c>
      <c r="G57" s="670">
        <f t="shared" si="12"/>
        <v>123</v>
      </c>
      <c r="H57" s="670">
        <f t="shared" si="13"/>
        <v>4</v>
      </c>
      <c r="J57" s="651" t="s">
        <v>18</v>
      </c>
      <c r="K57" s="389">
        <f>'２-Ⅲ'!C19</f>
        <v>82</v>
      </c>
      <c r="L57" s="389">
        <f>'２-Ⅲ'!H19</f>
        <v>4</v>
      </c>
      <c r="M57" s="389">
        <f>'２-Ⅲ'!I19</f>
        <v>10</v>
      </c>
      <c r="N57" s="351"/>
      <c r="O57" s="351"/>
      <c r="P57" s="351"/>
      <c r="Q57" s="351"/>
      <c r="R57" s="351"/>
    </row>
    <row r="58" spans="1:18" ht="20.25" customHeight="1" x14ac:dyDescent="0.2">
      <c r="A58" s="221" t="s">
        <v>383</v>
      </c>
      <c r="B58" s="391">
        <f t="shared" si="11"/>
        <v>3292</v>
      </c>
      <c r="C58" s="429">
        <f t="shared" si="11"/>
        <v>0.44288981568680208</v>
      </c>
      <c r="E58" s="408"/>
      <c r="F58" s="409" t="s">
        <v>19</v>
      </c>
      <c r="G58" s="671">
        <f t="shared" si="12"/>
        <v>769</v>
      </c>
      <c r="H58" s="671">
        <f t="shared" si="13"/>
        <v>47</v>
      </c>
      <c r="J58" s="291" t="s">
        <v>346</v>
      </c>
      <c r="K58" s="389">
        <f>'２-Ⅲ'!C20</f>
        <v>1</v>
      </c>
      <c r="L58" s="389">
        <f>'２-Ⅲ'!H20</f>
        <v>0</v>
      </c>
      <c r="M58" s="389">
        <f>'２-Ⅲ'!I20</f>
        <v>0</v>
      </c>
      <c r="N58" s="351"/>
      <c r="O58" s="351"/>
      <c r="P58" s="351"/>
      <c r="Q58" s="351"/>
      <c r="R58" s="351"/>
    </row>
    <row r="59" spans="1:18" ht="20.25" customHeight="1" x14ac:dyDescent="0.2">
      <c r="A59" s="221" t="s">
        <v>384</v>
      </c>
      <c r="B59" s="391">
        <f t="shared" si="11"/>
        <v>2039</v>
      </c>
      <c r="C59" s="429">
        <f t="shared" si="11"/>
        <v>0.27431723395667967</v>
      </c>
      <c r="E59" s="1127" t="s">
        <v>233</v>
      </c>
      <c r="F59" s="1128"/>
      <c r="G59" s="637">
        <f t="shared" si="12"/>
        <v>277</v>
      </c>
      <c r="H59" s="410">
        <f t="shared" si="13"/>
        <v>31</v>
      </c>
      <c r="J59" s="291" t="s">
        <v>244</v>
      </c>
      <c r="K59" s="389">
        <f>'２-Ⅲ'!C21</f>
        <v>14007</v>
      </c>
      <c r="L59" s="389">
        <f>'２-Ⅲ'!H21</f>
        <v>300</v>
      </c>
      <c r="M59" s="389">
        <f>'２-Ⅲ'!I21</f>
        <v>1361</v>
      </c>
    </row>
    <row r="60" spans="1:18" ht="20.25" customHeight="1" thickBot="1" x14ac:dyDescent="0.25">
      <c r="A60" s="394" t="s">
        <v>385</v>
      </c>
      <c r="B60" s="395">
        <f t="shared" si="11"/>
        <v>301</v>
      </c>
      <c r="C60" s="430">
        <f t="shared" si="11"/>
        <v>4.0495089465895334E-2</v>
      </c>
      <c r="E60" s="1127" t="s">
        <v>72</v>
      </c>
      <c r="F60" s="1128"/>
      <c r="G60" s="637">
        <f t="shared" si="12"/>
        <v>4321</v>
      </c>
      <c r="H60" s="410">
        <f t="shared" si="13"/>
        <v>311</v>
      </c>
    </row>
    <row r="61" spans="1:18" ht="20.25" customHeight="1" thickTop="1" x14ac:dyDescent="0.2">
      <c r="A61" s="424" t="s">
        <v>11</v>
      </c>
      <c r="B61" s="425">
        <f t="shared" si="11"/>
        <v>7433</v>
      </c>
      <c r="C61" s="426">
        <f t="shared" si="11"/>
        <v>1</v>
      </c>
      <c r="E61" s="1127" t="s">
        <v>73</v>
      </c>
      <c r="F61" s="1128"/>
      <c r="G61" s="637">
        <f t="shared" si="12"/>
        <v>596</v>
      </c>
      <c r="H61" s="410">
        <f t="shared" si="13"/>
        <v>63</v>
      </c>
    </row>
    <row r="62" spans="1:18" ht="20.25" customHeight="1" x14ac:dyDescent="0.2">
      <c r="E62" s="1127" t="s">
        <v>24</v>
      </c>
      <c r="F62" s="1128"/>
      <c r="G62" s="637">
        <f t="shared" si="12"/>
        <v>81</v>
      </c>
      <c r="H62" s="410">
        <f t="shared" si="13"/>
        <v>9</v>
      </c>
    </row>
    <row r="63" spans="1:18" ht="20.25" customHeight="1" x14ac:dyDescent="0.2">
      <c r="E63" s="1127" t="s">
        <v>25</v>
      </c>
      <c r="F63" s="1128"/>
      <c r="G63" s="637">
        <f t="shared" si="12"/>
        <v>6</v>
      </c>
      <c r="H63" s="410">
        <f t="shared" si="13"/>
        <v>0</v>
      </c>
      <c r="J63" s="363" t="s">
        <v>427</v>
      </c>
    </row>
    <row r="64" spans="1:18" ht="20.25" customHeight="1" x14ac:dyDescent="0.2">
      <c r="E64" s="1127" t="s">
        <v>238</v>
      </c>
      <c r="F64" s="1128"/>
      <c r="G64" s="637">
        <f t="shared" si="12"/>
        <v>11</v>
      </c>
      <c r="H64" s="410">
        <f t="shared" si="13"/>
        <v>2</v>
      </c>
      <c r="J64" s="633"/>
      <c r="K64" s="633" t="s">
        <v>422</v>
      </c>
      <c r="L64" s="633" t="s">
        <v>28</v>
      </c>
      <c r="M64" s="633" t="s">
        <v>29</v>
      </c>
      <c r="N64" s="351"/>
      <c r="O64" s="644"/>
      <c r="P64" s="645" t="s">
        <v>422</v>
      </c>
      <c r="Q64" s="633" t="s">
        <v>28</v>
      </c>
      <c r="R64" s="633" t="s">
        <v>29</v>
      </c>
    </row>
    <row r="65" spans="1:18" ht="20.25" customHeight="1" x14ac:dyDescent="0.2">
      <c r="E65" s="1127" t="s">
        <v>239</v>
      </c>
      <c r="F65" s="1128"/>
      <c r="G65" s="637">
        <f t="shared" si="12"/>
        <v>134</v>
      </c>
      <c r="H65" s="410">
        <f t="shared" si="13"/>
        <v>8</v>
      </c>
      <c r="J65" s="289" t="s">
        <v>2</v>
      </c>
      <c r="K65" s="389">
        <f>'３-Ⅰ'!B5</f>
        <v>3</v>
      </c>
      <c r="L65" s="389">
        <f>'３-Ⅰ'!F5</f>
        <v>0</v>
      </c>
      <c r="M65" s="389">
        <f>'３-Ⅰ'!G5</f>
        <v>0</v>
      </c>
      <c r="N65" s="351"/>
      <c r="O65" s="291" t="s">
        <v>278</v>
      </c>
      <c r="P65" s="290">
        <v>0</v>
      </c>
      <c r="Q65" s="290">
        <v>0</v>
      </c>
      <c r="R65" s="291"/>
    </row>
    <row r="66" spans="1:18" ht="20.25" customHeight="1" x14ac:dyDescent="0.2">
      <c r="E66" s="1127" t="s">
        <v>79</v>
      </c>
      <c r="F66" s="1128"/>
      <c r="G66" s="637">
        <f t="shared" si="12"/>
        <v>49</v>
      </c>
      <c r="H66" s="410">
        <f t="shared" si="13"/>
        <v>5</v>
      </c>
      <c r="J66" s="289" t="s">
        <v>3</v>
      </c>
      <c r="K66" s="389">
        <f>'３-Ⅰ'!B6</f>
        <v>49</v>
      </c>
      <c r="L66" s="389">
        <f>'３-Ⅰ'!F6</f>
        <v>1</v>
      </c>
      <c r="M66" s="389">
        <f>'３-Ⅰ'!G6</f>
        <v>4</v>
      </c>
      <c r="N66" s="351"/>
      <c r="O66" s="291" t="s">
        <v>279</v>
      </c>
      <c r="P66" s="290">
        <v>0</v>
      </c>
      <c r="Q66" s="290">
        <v>0</v>
      </c>
      <c r="R66" s="291"/>
    </row>
    <row r="67" spans="1:18" ht="20.25" customHeight="1" x14ac:dyDescent="0.2">
      <c r="E67" s="1127" t="s">
        <v>240</v>
      </c>
      <c r="F67" s="1128"/>
      <c r="G67" s="637">
        <f t="shared" si="12"/>
        <v>13</v>
      </c>
      <c r="H67" s="410">
        <f t="shared" si="13"/>
        <v>2</v>
      </c>
      <c r="J67" s="289" t="s">
        <v>4</v>
      </c>
      <c r="K67" s="389">
        <f>'３-Ⅰ'!B7</f>
        <v>133</v>
      </c>
      <c r="L67" s="389">
        <f>'３-Ⅰ'!F7</f>
        <v>0</v>
      </c>
      <c r="M67" s="389">
        <f>'３-Ⅰ'!G7</f>
        <v>15</v>
      </c>
      <c r="N67" s="351"/>
      <c r="O67" s="291" t="s">
        <v>280</v>
      </c>
      <c r="P67" s="290">
        <v>0</v>
      </c>
      <c r="Q67" s="290">
        <v>0</v>
      </c>
      <c r="R67" s="291"/>
    </row>
    <row r="68" spans="1:18" ht="20.25" customHeight="1" x14ac:dyDescent="0.2">
      <c r="E68" s="1127" t="s">
        <v>113</v>
      </c>
      <c r="F68" s="1128"/>
      <c r="G68" s="637">
        <f t="shared" si="12"/>
        <v>20</v>
      </c>
      <c r="H68" s="410">
        <f t="shared" si="13"/>
        <v>1</v>
      </c>
      <c r="J68" s="289" t="s">
        <v>5</v>
      </c>
      <c r="K68" s="389">
        <f>'３-Ⅰ'!B8</f>
        <v>465</v>
      </c>
      <c r="L68" s="389">
        <f>'３-Ⅰ'!F8</f>
        <v>3</v>
      </c>
      <c r="M68" s="389">
        <f>'３-Ⅰ'!G8</f>
        <v>31</v>
      </c>
      <c r="N68" s="351"/>
      <c r="O68" s="291" t="s">
        <v>281</v>
      </c>
      <c r="P68" s="290">
        <v>0</v>
      </c>
      <c r="Q68" s="290">
        <v>0</v>
      </c>
      <c r="R68" s="291"/>
    </row>
    <row r="69" spans="1:18" ht="20.25" customHeight="1" x14ac:dyDescent="0.2">
      <c r="E69" s="1129" t="s">
        <v>418</v>
      </c>
      <c r="F69" s="1130"/>
      <c r="G69" s="637">
        <f t="shared" si="12"/>
        <v>36</v>
      </c>
      <c r="H69" s="410">
        <f t="shared" si="13"/>
        <v>7</v>
      </c>
      <c r="J69" s="289" t="s">
        <v>6</v>
      </c>
      <c r="K69" s="389">
        <f>'３-Ⅰ'!B9</f>
        <v>1269</v>
      </c>
      <c r="L69" s="389">
        <f>'３-Ⅰ'!F9</f>
        <v>6</v>
      </c>
      <c r="M69" s="389">
        <f>'３-Ⅰ'!G9</f>
        <v>95</v>
      </c>
      <c r="N69" s="351"/>
      <c r="O69" s="291" t="s">
        <v>282</v>
      </c>
      <c r="P69" s="290">
        <v>0</v>
      </c>
      <c r="Q69" s="290">
        <v>0</v>
      </c>
      <c r="R69" s="291"/>
    </row>
    <row r="70" spans="1:18" ht="20.25" customHeight="1" thickBot="1" x14ac:dyDescent="0.25">
      <c r="E70" s="1123" t="s">
        <v>347</v>
      </c>
      <c r="F70" s="1124"/>
      <c r="G70" s="648">
        <f t="shared" si="12"/>
        <v>0</v>
      </c>
      <c r="H70" s="431">
        <f t="shared" si="13"/>
        <v>0</v>
      </c>
      <c r="J70" s="289" t="s">
        <v>7</v>
      </c>
      <c r="K70" s="389">
        <f>'３-Ⅰ'!B10</f>
        <v>1439</v>
      </c>
      <c r="L70" s="389">
        <f>'３-Ⅰ'!F10</f>
        <v>12</v>
      </c>
      <c r="M70" s="389">
        <f>'３-Ⅰ'!G10</f>
        <v>93</v>
      </c>
      <c r="N70" s="351"/>
      <c r="O70" s="291" t="s">
        <v>10</v>
      </c>
      <c r="P70" s="290">
        <v>0</v>
      </c>
      <c r="Q70" s="290">
        <v>0</v>
      </c>
      <c r="R70" s="291"/>
    </row>
    <row r="71" spans="1:18" ht="20.25" customHeight="1" thickTop="1" x14ac:dyDescent="0.2">
      <c r="A71" s="145"/>
      <c r="B71" s="145"/>
      <c r="C71" s="647"/>
      <c r="E71" s="1143" t="s">
        <v>11</v>
      </c>
      <c r="F71" s="1144"/>
      <c r="G71" s="672">
        <f t="shared" si="12"/>
        <v>7433</v>
      </c>
      <c r="H71" s="673">
        <f t="shared" si="13"/>
        <v>525</v>
      </c>
      <c r="J71" s="289" t="s">
        <v>8</v>
      </c>
      <c r="K71" s="389">
        <f>'３-Ⅰ'!B11</f>
        <v>1927</v>
      </c>
      <c r="L71" s="389">
        <f>'３-Ⅰ'!F11</f>
        <v>9</v>
      </c>
      <c r="M71" s="389">
        <f>'３-Ⅰ'!G11</f>
        <v>142</v>
      </c>
      <c r="N71" s="351"/>
      <c r="O71" s="291" t="s">
        <v>244</v>
      </c>
      <c r="P71" s="290">
        <v>0</v>
      </c>
      <c r="Q71" s="290">
        <v>0</v>
      </c>
      <c r="R71" s="291"/>
    </row>
    <row r="72" spans="1:18" ht="20.25" customHeight="1" x14ac:dyDescent="0.2">
      <c r="J72" s="289" t="s">
        <v>9</v>
      </c>
      <c r="K72" s="389">
        <f>'３-Ⅰ'!B12</f>
        <v>1692</v>
      </c>
      <c r="L72" s="389">
        <f>'３-Ⅰ'!F12</f>
        <v>7</v>
      </c>
      <c r="M72" s="389">
        <f>'３-Ⅰ'!G12</f>
        <v>87</v>
      </c>
      <c r="N72" s="351"/>
      <c r="O72" s="351"/>
      <c r="P72" s="351"/>
      <c r="Q72" s="351"/>
      <c r="R72" s="351"/>
    </row>
    <row r="73" spans="1:18" ht="20.25" customHeight="1" x14ac:dyDescent="0.2">
      <c r="J73" s="289" t="s">
        <v>10</v>
      </c>
      <c r="K73" s="389">
        <f>'３-Ⅰ'!B13</f>
        <v>456</v>
      </c>
      <c r="L73" s="389">
        <f>'３-Ⅰ'!F13</f>
        <v>2</v>
      </c>
      <c r="M73" s="389">
        <f>'３-Ⅰ'!G13</f>
        <v>18</v>
      </c>
      <c r="N73" s="351"/>
      <c r="O73" s="351"/>
      <c r="P73" s="351"/>
      <c r="Q73" s="351"/>
      <c r="R73" s="351"/>
    </row>
    <row r="74" spans="1:18" ht="20.25" customHeight="1" x14ac:dyDescent="0.2">
      <c r="J74" s="289" t="s">
        <v>244</v>
      </c>
      <c r="K74" s="389">
        <f>'３-Ⅰ'!B14</f>
        <v>7433</v>
      </c>
      <c r="L74" s="389">
        <f>'３-Ⅰ'!F14</f>
        <v>40</v>
      </c>
      <c r="M74" s="389">
        <f>'３-Ⅰ'!G14</f>
        <v>485</v>
      </c>
      <c r="N74" s="351"/>
      <c r="O74" s="351"/>
      <c r="P74" s="351"/>
      <c r="Q74" s="351"/>
      <c r="R74" s="351"/>
    </row>
    <row r="75" spans="1:18" ht="20.25" customHeight="1" x14ac:dyDescent="0.2">
      <c r="J75" s="289" t="s">
        <v>284</v>
      </c>
      <c r="K75" s="389">
        <f>'３-Ⅰ'!B15</f>
        <v>2668</v>
      </c>
      <c r="L75" s="389">
        <f>'３-Ⅰ'!F15</f>
        <v>17</v>
      </c>
      <c r="M75" s="389">
        <f>'３-Ⅰ'!G15</f>
        <v>181</v>
      </c>
      <c r="N75" s="288"/>
      <c r="O75" s="288"/>
      <c r="P75" s="288"/>
      <c r="Q75" s="288"/>
      <c r="R75" s="288"/>
    </row>
    <row r="76" spans="1:18" ht="20.25" customHeight="1" x14ac:dyDescent="0.2">
      <c r="J76" s="289" t="s">
        <v>285</v>
      </c>
      <c r="K76" s="389">
        <f>'３-Ⅰ'!B16</f>
        <v>4765</v>
      </c>
      <c r="L76" s="389">
        <f>'３-Ⅰ'!F16</f>
        <v>23</v>
      </c>
      <c r="M76" s="389">
        <f>'３-Ⅰ'!G16</f>
        <v>304</v>
      </c>
      <c r="N76" s="288"/>
      <c r="O76" s="288"/>
      <c r="P76" s="288"/>
      <c r="Q76" s="288"/>
      <c r="R76" s="288"/>
    </row>
    <row r="77" spans="1:18" ht="20.25" customHeight="1" x14ac:dyDescent="0.2">
      <c r="J77" s="288"/>
      <c r="K77" s="288"/>
      <c r="L77" s="288"/>
      <c r="M77" s="288"/>
      <c r="N77" s="288"/>
      <c r="O77" s="288"/>
      <c r="P77" s="288"/>
      <c r="Q77" s="288"/>
      <c r="R77" s="288"/>
    </row>
    <row r="78" spans="1:18" ht="20.25" customHeight="1" x14ac:dyDescent="0.2"/>
    <row r="79" spans="1:18" ht="20.25" customHeight="1" x14ac:dyDescent="0.2"/>
    <row r="80" spans="1:18" ht="20.25" customHeight="1" x14ac:dyDescent="0.2"/>
    <row r="81" spans="10:18" ht="20.25" customHeight="1" x14ac:dyDescent="0.2"/>
    <row r="82" spans="10:18" ht="20.25" customHeight="1" x14ac:dyDescent="0.2"/>
    <row r="83" spans="10:18" ht="20.25" customHeight="1" x14ac:dyDescent="0.2"/>
    <row r="84" spans="10:18" ht="20.25" customHeight="1" x14ac:dyDescent="0.2"/>
    <row r="85" spans="10:18" ht="20.25" customHeight="1" x14ac:dyDescent="0.2">
      <c r="J85" s="633"/>
      <c r="K85" s="633" t="s">
        <v>422</v>
      </c>
      <c r="L85" s="643" t="s">
        <v>28</v>
      </c>
      <c r="M85" s="643" t="s">
        <v>29</v>
      </c>
      <c r="N85" s="351"/>
      <c r="O85" s="644"/>
      <c r="P85" s="645" t="s">
        <v>422</v>
      </c>
      <c r="Q85" s="633" t="s">
        <v>28</v>
      </c>
      <c r="R85" s="633" t="s">
        <v>29</v>
      </c>
    </row>
    <row r="86" spans="10:18" ht="20.25" customHeight="1" x14ac:dyDescent="0.2">
      <c r="J86" s="289" t="s">
        <v>59</v>
      </c>
      <c r="K86" s="389">
        <f>'２-Ⅳ'!B47</f>
        <v>0</v>
      </c>
      <c r="L86" s="389">
        <f>'２-Ⅳ'!F47</f>
        <v>0</v>
      </c>
      <c r="M86" s="389">
        <f>'２-Ⅳ'!G47</f>
        <v>0</v>
      </c>
      <c r="N86" s="351"/>
      <c r="O86" s="291" t="s">
        <v>356</v>
      </c>
      <c r="P86" s="389">
        <f>'6-Ⅰ⑤'!B37</f>
        <v>863</v>
      </c>
      <c r="Q86" s="389">
        <f>'6-Ⅰ⑤'!B25</f>
        <v>9</v>
      </c>
      <c r="R86" s="389">
        <f>'6-Ⅰ⑤'!B27</f>
        <v>46</v>
      </c>
    </row>
    <row r="87" spans="10:18" ht="20.25" customHeight="1" x14ac:dyDescent="0.2">
      <c r="J87" s="289" t="s">
        <v>195</v>
      </c>
      <c r="K87" s="389">
        <f>'２-Ⅳ'!B48</f>
        <v>0</v>
      </c>
      <c r="L87" s="389">
        <f>'２-Ⅳ'!F48</f>
        <v>0</v>
      </c>
      <c r="M87" s="389">
        <f>'２-Ⅳ'!G48</f>
        <v>0</v>
      </c>
      <c r="N87" s="351"/>
      <c r="O87" s="291" t="s">
        <v>357</v>
      </c>
      <c r="P87" s="389">
        <f>'6-Ⅰ⑤'!C37</f>
        <v>970</v>
      </c>
      <c r="Q87" s="389">
        <f>'6-Ⅰ⑤'!C25</f>
        <v>0</v>
      </c>
      <c r="R87" s="389">
        <f>'6-Ⅰ⑤'!C27</f>
        <v>44</v>
      </c>
    </row>
    <row r="88" spans="10:18" ht="20.25" customHeight="1" x14ac:dyDescent="0.2">
      <c r="J88" s="289" t="s">
        <v>196</v>
      </c>
      <c r="K88" s="389">
        <f>'２-Ⅳ'!B49</f>
        <v>0</v>
      </c>
      <c r="L88" s="389">
        <f>'２-Ⅳ'!F49</f>
        <v>0</v>
      </c>
      <c r="M88" s="389">
        <f>'２-Ⅳ'!G49</f>
        <v>0</v>
      </c>
      <c r="N88" s="351"/>
      <c r="O88" s="291" t="s">
        <v>358</v>
      </c>
      <c r="P88" s="389">
        <f>'6-Ⅰ⑤'!D37</f>
        <v>567</v>
      </c>
      <c r="Q88" s="389">
        <f>'6-Ⅰ⑤'!D25</f>
        <v>7</v>
      </c>
      <c r="R88" s="389">
        <f>'6-Ⅰ⑤'!D27</f>
        <v>29</v>
      </c>
    </row>
    <row r="89" spans="10:18" ht="20.25" customHeight="1" x14ac:dyDescent="0.2">
      <c r="J89" s="289" t="s">
        <v>197</v>
      </c>
      <c r="K89" s="389">
        <f>'２-Ⅳ'!B50</f>
        <v>0</v>
      </c>
      <c r="L89" s="389">
        <f>'２-Ⅳ'!F50</f>
        <v>0</v>
      </c>
      <c r="M89" s="389">
        <f>'２-Ⅳ'!G50</f>
        <v>0</v>
      </c>
      <c r="N89" s="351"/>
      <c r="O89" s="291" t="s">
        <v>359</v>
      </c>
      <c r="P89" s="389">
        <f>'6-Ⅰ⑤'!E37</f>
        <v>538</v>
      </c>
      <c r="Q89" s="389">
        <f>'6-Ⅰ⑤'!E25</f>
        <v>10</v>
      </c>
      <c r="R89" s="389">
        <f>'6-Ⅰ⑤'!E27</f>
        <v>61</v>
      </c>
    </row>
    <row r="90" spans="10:18" ht="20.25" customHeight="1" x14ac:dyDescent="0.2">
      <c r="J90" s="289" t="s">
        <v>198</v>
      </c>
      <c r="K90" s="389">
        <f>'２-Ⅳ'!B51</f>
        <v>0</v>
      </c>
      <c r="L90" s="389">
        <f>'２-Ⅳ'!F51</f>
        <v>0</v>
      </c>
      <c r="M90" s="389">
        <f>'２-Ⅳ'!G51</f>
        <v>0</v>
      </c>
      <c r="N90" s="351"/>
      <c r="O90" s="291" t="s">
        <v>360</v>
      </c>
      <c r="P90" s="389">
        <f>'6-Ⅰ⑤'!F37</f>
        <v>679</v>
      </c>
      <c r="Q90" s="389">
        <f>'6-Ⅰ⑤'!F25</f>
        <v>1</v>
      </c>
      <c r="R90" s="389">
        <f>'6-Ⅰ⑤'!F27</f>
        <v>45</v>
      </c>
    </row>
    <row r="91" spans="10:18" ht="20.25" customHeight="1" x14ac:dyDescent="0.2">
      <c r="J91" s="289" t="s">
        <v>199</v>
      </c>
      <c r="K91" s="389">
        <f>'２-Ⅳ'!B52</f>
        <v>0</v>
      </c>
      <c r="L91" s="389">
        <f>'２-Ⅳ'!F52</f>
        <v>0</v>
      </c>
      <c r="M91" s="389">
        <f>'２-Ⅳ'!G52</f>
        <v>0</v>
      </c>
      <c r="N91" s="351"/>
      <c r="O91" s="291" t="s">
        <v>361</v>
      </c>
      <c r="P91" s="389">
        <f>'6-Ⅰ⑤'!G37</f>
        <v>2907</v>
      </c>
      <c r="Q91" s="389">
        <f>'6-Ⅰ⑤'!G25</f>
        <v>9</v>
      </c>
      <c r="R91" s="389">
        <f>'6-Ⅰ⑤'!G27</f>
        <v>208</v>
      </c>
    </row>
    <row r="92" spans="10:18" ht="20.25" customHeight="1" x14ac:dyDescent="0.2">
      <c r="J92" s="289" t="s">
        <v>200</v>
      </c>
      <c r="K92" s="389">
        <f>'２-Ⅳ'!B53</f>
        <v>0</v>
      </c>
      <c r="L92" s="389">
        <f>'２-Ⅳ'!F53</f>
        <v>0</v>
      </c>
      <c r="M92" s="389">
        <f>'２-Ⅳ'!G53</f>
        <v>0</v>
      </c>
      <c r="N92" s="351"/>
      <c r="O92" s="291" t="s">
        <v>362</v>
      </c>
      <c r="P92" s="389">
        <f>'6-Ⅰ⑤'!H37</f>
        <v>0</v>
      </c>
      <c r="Q92" s="389">
        <f>'6-Ⅰ⑤'!H25</f>
        <v>0</v>
      </c>
      <c r="R92" s="389">
        <f>'6-Ⅰ⑤'!H27</f>
        <v>0</v>
      </c>
    </row>
    <row r="93" spans="10:18" ht="20.25" customHeight="1" x14ac:dyDescent="0.2">
      <c r="J93" s="289" t="s">
        <v>201</v>
      </c>
      <c r="K93" s="389">
        <f>'２-Ⅳ'!B54</f>
        <v>0</v>
      </c>
      <c r="L93" s="389">
        <f>'２-Ⅳ'!F54</f>
        <v>0</v>
      </c>
      <c r="M93" s="389">
        <f>'２-Ⅳ'!G54</f>
        <v>0</v>
      </c>
      <c r="N93" s="351"/>
      <c r="O93" s="291" t="s">
        <v>363</v>
      </c>
      <c r="P93" s="389">
        <f>'6-Ⅰ⑤'!I37</f>
        <v>909</v>
      </c>
      <c r="Q93" s="389">
        <f>'6-Ⅰ⑤'!I25</f>
        <v>4</v>
      </c>
      <c r="R93" s="389">
        <f>'6-Ⅰ⑤'!I27</f>
        <v>52</v>
      </c>
    </row>
    <row r="94" spans="10:18" ht="20.25" customHeight="1" x14ac:dyDescent="0.2">
      <c r="J94" s="289" t="s">
        <v>202</v>
      </c>
      <c r="K94" s="389">
        <f>'２-Ⅳ'!B55</f>
        <v>0</v>
      </c>
      <c r="L94" s="389">
        <f>'２-Ⅳ'!F55</f>
        <v>0</v>
      </c>
      <c r="M94" s="389">
        <f>'２-Ⅳ'!G55</f>
        <v>0</v>
      </c>
      <c r="N94" s="351"/>
      <c r="O94" s="291" t="s">
        <v>244</v>
      </c>
      <c r="P94" s="413">
        <f>'6-Ⅰ⑤'!J37</f>
        <v>7433</v>
      </c>
      <c r="Q94" s="389">
        <f>'6-Ⅰ⑤'!J25</f>
        <v>40</v>
      </c>
      <c r="R94" s="389">
        <f>'6-Ⅰ⑤'!J27</f>
        <v>485</v>
      </c>
    </row>
    <row r="95" spans="10:18" ht="20.25" customHeight="1" x14ac:dyDescent="0.2">
      <c r="J95" s="289" t="s">
        <v>203</v>
      </c>
      <c r="K95" s="389">
        <f>'２-Ⅳ'!B56</f>
        <v>0</v>
      </c>
      <c r="L95" s="389">
        <f>'２-Ⅳ'!F56</f>
        <v>0</v>
      </c>
      <c r="M95" s="389">
        <f>'２-Ⅳ'!G56</f>
        <v>0</v>
      </c>
      <c r="N95" s="351"/>
      <c r="O95" s="351"/>
      <c r="P95" s="351"/>
      <c r="Q95" s="351"/>
      <c r="R95" s="351"/>
    </row>
    <row r="96" spans="10:18" ht="20.25" customHeight="1" x14ac:dyDescent="0.2">
      <c r="J96" s="289" t="s">
        <v>204</v>
      </c>
      <c r="K96" s="389">
        <f>'２-Ⅳ'!B57</f>
        <v>0</v>
      </c>
      <c r="L96" s="389">
        <f>'２-Ⅳ'!F57</f>
        <v>0</v>
      </c>
      <c r="M96" s="389">
        <f>'２-Ⅳ'!G57</f>
        <v>0</v>
      </c>
      <c r="N96" s="351"/>
      <c r="O96" s="351"/>
      <c r="P96" s="351"/>
      <c r="Q96" s="351"/>
      <c r="R96" s="351"/>
    </row>
    <row r="97" spans="10:18" ht="20.25" customHeight="1" x14ac:dyDescent="0.2">
      <c r="J97" s="289" t="s">
        <v>205</v>
      </c>
      <c r="K97" s="389">
        <f>'２-Ⅳ'!B58</f>
        <v>0</v>
      </c>
      <c r="L97" s="389">
        <f>'２-Ⅳ'!F58</f>
        <v>0</v>
      </c>
      <c r="M97" s="389">
        <f>'２-Ⅳ'!G58</f>
        <v>0</v>
      </c>
      <c r="N97" s="351"/>
      <c r="O97" s="351"/>
      <c r="P97" s="351"/>
      <c r="Q97" s="351"/>
      <c r="R97" s="351"/>
    </row>
    <row r="98" spans="10:18" ht="13.5" customHeight="1" x14ac:dyDescent="0.2">
      <c r="J98" s="289" t="s">
        <v>206</v>
      </c>
      <c r="K98" s="389">
        <f>'２-Ⅳ'!B59</f>
        <v>0</v>
      </c>
      <c r="L98" s="389">
        <f>'２-Ⅳ'!F59</f>
        <v>0</v>
      </c>
      <c r="M98" s="389">
        <f>'２-Ⅳ'!G59</f>
        <v>0</v>
      </c>
      <c r="N98" s="351"/>
      <c r="O98" s="351"/>
      <c r="P98" s="351"/>
      <c r="Q98" s="351"/>
      <c r="R98" s="351"/>
    </row>
    <row r="99" spans="10:18" ht="13.5" customHeight="1" x14ac:dyDescent="0.2">
      <c r="J99" s="289" t="s">
        <v>207</v>
      </c>
      <c r="K99" s="389">
        <f>'２-Ⅳ'!B60</f>
        <v>0</v>
      </c>
      <c r="L99" s="389">
        <f>'２-Ⅳ'!F60</f>
        <v>0</v>
      </c>
      <c r="M99" s="389">
        <f>'２-Ⅳ'!G60</f>
        <v>0</v>
      </c>
      <c r="N99" s="351"/>
      <c r="O99" s="351"/>
      <c r="P99" s="351"/>
      <c r="Q99" s="351"/>
      <c r="R99" s="351"/>
    </row>
    <row r="100" spans="10:18" ht="13.5" customHeight="1" x14ac:dyDescent="0.2">
      <c r="J100" s="289" t="s">
        <v>208</v>
      </c>
      <c r="K100" s="389">
        <f>'２-Ⅳ'!B61</f>
        <v>0</v>
      </c>
      <c r="L100" s="389">
        <f>'２-Ⅳ'!F61</f>
        <v>0</v>
      </c>
      <c r="M100" s="389">
        <f>'２-Ⅳ'!G61</f>
        <v>0</v>
      </c>
      <c r="N100" s="351"/>
      <c r="O100" s="351"/>
      <c r="P100" s="351"/>
      <c r="Q100" s="351"/>
      <c r="R100" s="351"/>
    </row>
    <row r="101" spans="10:18" ht="13.5" customHeight="1" x14ac:dyDescent="0.2">
      <c r="J101" s="289" t="s">
        <v>60</v>
      </c>
      <c r="K101" s="389">
        <f>'２-Ⅳ'!B62</f>
        <v>0</v>
      </c>
      <c r="L101" s="389">
        <f>'２-Ⅳ'!F62</f>
        <v>0</v>
      </c>
      <c r="M101" s="389">
        <f>'２-Ⅳ'!G62</f>
        <v>0</v>
      </c>
      <c r="N101" s="351"/>
      <c r="O101" s="351"/>
      <c r="P101" s="351"/>
      <c r="Q101" s="351"/>
      <c r="R101" s="351"/>
    </row>
    <row r="102" spans="10:18" ht="13.5" customHeight="1" x14ac:dyDescent="0.2">
      <c r="J102" s="289" t="s">
        <v>244</v>
      </c>
      <c r="K102" s="389">
        <f>'２-Ⅳ'!B63</f>
        <v>0</v>
      </c>
      <c r="L102" s="389">
        <f>'２-Ⅳ'!F63</f>
        <v>0</v>
      </c>
      <c r="M102" s="389">
        <f>'２-Ⅳ'!G63</f>
        <v>0</v>
      </c>
      <c r="N102" s="351"/>
      <c r="O102" s="351"/>
      <c r="P102" s="351"/>
      <c r="Q102" s="351"/>
      <c r="R102" s="351"/>
    </row>
    <row r="103" spans="10:18" ht="13.5" customHeight="1" x14ac:dyDescent="0.2">
      <c r="J103" s="351"/>
      <c r="K103" s="351"/>
      <c r="L103" s="351"/>
      <c r="M103" s="351"/>
      <c r="N103" s="351"/>
      <c r="O103" s="351"/>
      <c r="P103" s="351"/>
      <c r="Q103" s="351"/>
      <c r="R103" s="351"/>
    </row>
    <row r="104" spans="10:18" ht="13.5" customHeight="1" x14ac:dyDescent="0.2">
      <c r="J104" s="649" t="s">
        <v>423</v>
      </c>
      <c r="K104" s="633" t="s">
        <v>422</v>
      </c>
      <c r="L104" s="643" t="s">
        <v>28</v>
      </c>
      <c r="M104" s="643" t="s">
        <v>29</v>
      </c>
      <c r="N104" s="351"/>
      <c r="O104" s="645" t="s">
        <v>424</v>
      </c>
      <c r="P104" s="645" t="s">
        <v>425</v>
      </c>
      <c r="Q104" s="645" t="s">
        <v>214</v>
      </c>
      <c r="R104" s="351"/>
    </row>
    <row r="105" spans="10:18" ht="13.5" customHeight="1" x14ac:dyDescent="0.2">
      <c r="J105" s="651" t="s">
        <v>374</v>
      </c>
      <c r="K105" s="389">
        <f>'３-Ⅲ'!C5</f>
        <v>1889</v>
      </c>
      <c r="L105" s="389">
        <f>'３-Ⅲ'!H5</f>
        <v>4</v>
      </c>
      <c r="M105" s="389">
        <f>'３-Ⅲ'!I5</f>
        <v>82</v>
      </c>
      <c r="N105" s="351"/>
      <c r="O105" s="651" t="s">
        <v>28</v>
      </c>
      <c r="P105" s="656">
        <f>'３-Ⅳ'!B5</f>
        <v>40</v>
      </c>
      <c r="Q105" s="427">
        <f>'３-Ⅳ'!C5</f>
        <v>5.3814072379927353E-3</v>
      </c>
      <c r="R105" s="351"/>
    </row>
    <row r="106" spans="10:18" ht="13.5" customHeight="1" x14ac:dyDescent="0.2">
      <c r="J106" s="655" t="s">
        <v>375</v>
      </c>
      <c r="K106" s="389">
        <f>'３-Ⅲ'!C6</f>
        <v>997</v>
      </c>
      <c r="L106" s="389">
        <f>'３-Ⅲ'!H6</f>
        <v>3</v>
      </c>
      <c r="M106" s="389">
        <f>'３-Ⅲ'!I6</f>
        <v>32</v>
      </c>
      <c r="N106" s="351"/>
      <c r="O106" s="651" t="s">
        <v>29</v>
      </c>
      <c r="P106" s="656">
        <f>'３-Ⅳ'!B6</f>
        <v>485</v>
      </c>
      <c r="Q106" s="427">
        <f>'３-Ⅳ'!C6</f>
        <v>6.5249562760661919E-2</v>
      </c>
      <c r="R106" s="351"/>
    </row>
    <row r="107" spans="10:18" ht="13.5" customHeight="1" x14ac:dyDescent="0.2">
      <c r="J107" s="655" t="s">
        <v>376</v>
      </c>
      <c r="K107" s="389">
        <f>'３-Ⅲ'!C7</f>
        <v>123</v>
      </c>
      <c r="L107" s="389">
        <f>'３-Ⅲ'!H7</f>
        <v>0</v>
      </c>
      <c r="M107" s="389">
        <f>'３-Ⅲ'!I7</f>
        <v>4</v>
      </c>
      <c r="N107" s="351"/>
      <c r="O107" s="651" t="s">
        <v>30</v>
      </c>
      <c r="P107" s="656">
        <f>'３-Ⅳ'!B7</f>
        <v>1276</v>
      </c>
      <c r="Q107" s="427">
        <f>'３-Ⅳ'!C7</f>
        <v>0.17166689089196824</v>
      </c>
      <c r="R107" s="351"/>
    </row>
    <row r="108" spans="10:18" ht="13.5" customHeight="1" x14ac:dyDescent="0.2">
      <c r="J108" s="658" t="s">
        <v>426</v>
      </c>
      <c r="K108" s="389">
        <f>'３-Ⅲ'!C8</f>
        <v>769</v>
      </c>
      <c r="L108" s="389">
        <f>'３-Ⅲ'!H8</f>
        <v>1</v>
      </c>
      <c r="M108" s="389">
        <f>'３-Ⅲ'!I8</f>
        <v>46</v>
      </c>
      <c r="N108" s="351"/>
      <c r="O108" s="651" t="s">
        <v>31</v>
      </c>
      <c r="P108" s="656">
        <f>'３-Ⅳ'!B8</f>
        <v>3292</v>
      </c>
      <c r="Q108" s="427">
        <f>'３-Ⅳ'!C8</f>
        <v>0.44288981568680208</v>
      </c>
      <c r="R108" s="351"/>
    </row>
    <row r="109" spans="10:18" ht="13.5" customHeight="1" x14ac:dyDescent="0.2">
      <c r="J109" s="651" t="s">
        <v>20</v>
      </c>
      <c r="K109" s="389">
        <f>'３-Ⅲ'!C9</f>
        <v>277</v>
      </c>
      <c r="L109" s="389">
        <f>'３-Ⅲ'!H9</f>
        <v>2</v>
      </c>
      <c r="M109" s="389">
        <f>'３-Ⅲ'!I9</f>
        <v>29</v>
      </c>
      <c r="N109" s="351"/>
      <c r="O109" s="651" t="s">
        <v>32</v>
      </c>
      <c r="P109" s="656">
        <f>'３-Ⅳ'!B9</f>
        <v>2039</v>
      </c>
      <c r="Q109" s="427">
        <f>'３-Ⅳ'!C9</f>
        <v>0.27431723395667967</v>
      </c>
      <c r="R109" s="351"/>
    </row>
    <row r="110" spans="10:18" ht="13.5" customHeight="1" x14ac:dyDescent="0.2">
      <c r="J110" s="651" t="s">
        <v>21</v>
      </c>
      <c r="K110" s="389">
        <f>'３-Ⅲ'!C10</f>
        <v>4321</v>
      </c>
      <c r="L110" s="389">
        <f>'３-Ⅲ'!H10</f>
        <v>21</v>
      </c>
      <c r="M110" s="389">
        <f>'３-Ⅲ'!I10</f>
        <v>290</v>
      </c>
      <c r="N110" s="351"/>
      <c r="O110" s="651" t="s">
        <v>33</v>
      </c>
      <c r="P110" s="656">
        <f>'３-Ⅳ'!B10</f>
        <v>301</v>
      </c>
      <c r="Q110" s="427">
        <f>'３-Ⅳ'!C10</f>
        <v>4.0495089465895334E-2</v>
      </c>
      <c r="R110" s="351"/>
    </row>
    <row r="111" spans="10:18" ht="13.5" customHeight="1" x14ac:dyDescent="0.2">
      <c r="J111" s="651" t="s">
        <v>22</v>
      </c>
      <c r="K111" s="389">
        <f>'３-Ⅲ'!C11</f>
        <v>596</v>
      </c>
      <c r="L111" s="389">
        <f>'３-Ⅲ'!H11</f>
        <v>10</v>
      </c>
      <c r="M111" s="389">
        <f>'３-Ⅲ'!I11</f>
        <v>53</v>
      </c>
      <c r="N111" s="351"/>
      <c r="O111" s="666" t="s">
        <v>244</v>
      </c>
      <c r="P111" s="656">
        <f>'３-Ⅳ'!B11</f>
        <v>7433</v>
      </c>
      <c r="Q111" s="427">
        <f>'３-Ⅳ'!C11</f>
        <v>1</v>
      </c>
      <c r="R111" s="351"/>
    </row>
    <row r="112" spans="10:18" ht="13.5" customHeight="1" x14ac:dyDescent="0.2">
      <c r="J112" s="651" t="s">
        <v>235</v>
      </c>
      <c r="K112" s="389">
        <f>'３-Ⅲ'!C12</f>
        <v>81</v>
      </c>
      <c r="L112" s="389">
        <f>'３-Ⅲ'!H12</f>
        <v>2</v>
      </c>
      <c r="M112" s="389">
        <f>'３-Ⅲ'!I12</f>
        <v>7</v>
      </c>
      <c r="N112" s="351"/>
      <c r="O112" s="351"/>
      <c r="P112" s="351"/>
      <c r="Q112" s="351"/>
      <c r="R112" s="351"/>
    </row>
    <row r="113" spans="10:18" ht="13.5" customHeight="1" x14ac:dyDescent="0.2">
      <c r="J113" s="651" t="s">
        <v>236</v>
      </c>
      <c r="K113" s="389">
        <f>'３-Ⅲ'!C13</f>
        <v>6</v>
      </c>
      <c r="L113" s="389">
        <f>'３-Ⅲ'!H13</f>
        <v>0</v>
      </c>
      <c r="M113" s="389">
        <f>'３-Ⅲ'!I13</f>
        <v>0</v>
      </c>
      <c r="N113" s="351"/>
      <c r="O113" s="351"/>
      <c r="P113" s="351"/>
      <c r="Q113" s="351"/>
      <c r="R113" s="351"/>
    </row>
    <row r="114" spans="10:18" ht="13.5" customHeight="1" x14ac:dyDescent="0.2">
      <c r="J114" s="651" t="s">
        <v>241</v>
      </c>
      <c r="K114" s="389">
        <f>'３-Ⅲ'!C14</f>
        <v>11</v>
      </c>
      <c r="L114" s="389">
        <f>'３-Ⅲ'!H14</f>
        <v>0</v>
      </c>
      <c r="M114" s="389">
        <f>'３-Ⅲ'!I14</f>
        <v>2</v>
      </c>
      <c r="N114" s="351"/>
      <c r="O114" s="351"/>
      <c r="P114" s="351"/>
      <c r="Q114" s="351"/>
      <c r="R114" s="351"/>
    </row>
    <row r="115" spans="10:18" ht="13.5" customHeight="1" x14ac:dyDescent="0.2">
      <c r="J115" s="651" t="s">
        <v>419</v>
      </c>
      <c r="K115" s="389">
        <f>'３-Ⅲ'!C15</f>
        <v>134</v>
      </c>
      <c r="L115" s="389">
        <f>'３-Ⅲ'!H15</f>
        <v>0</v>
      </c>
      <c r="M115" s="389">
        <f>'３-Ⅲ'!I15</f>
        <v>8</v>
      </c>
      <c r="N115" s="351"/>
      <c r="O115" s="351"/>
      <c r="P115" s="351"/>
      <c r="Q115" s="351"/>
      <c r="R115" s="351"/>
    </row>
    <row r="116" spans="10:18" ht="13.5" customHeight="1" x14ac:dyDescent="0.2">
      <c r="J116" s="651" t="s">
        <v>23</v>
      </c>
      <c r="K116" s="389">
        <f>'３-Ⅲ'!C16</f>
        <v>49</v>
      </c>
      <c r="L116" s="389">
        <f>'３-Ⅲ'!H16</f>
        <v>0</v>
      </c>
      <c r="M116" s="389">
        <f>'３-Ⅲ'!I16</f>
        <v>5</v>
      </c>
      <c r="N116" s="351"/>
      <c r="O116" s="351"/>
      <c r="P116" s="351"/>
      <c r="Q116" s="351"/>
      <c r="R116" s="351"/>
    </row>
    <row r="117" spans="10:18" ht="13.5" customHeight="1" x14ac:dyDescent="0.2">
      <c r="J117" s="651" t="s">
        <v>242</v>
      </c>
      <c r="K117" s="389">
        <f>'３-Ⅲ'!C17</f>
        <v>13</v>
      </c>
      <c r="L117" s="389">
        <f>'３-Ⅲ'!H17</f>
        <v>0</v>
      </c>
      <c r="M117" s="389">
        <f>'３-Ⅲ'!I17</f>
        <v>2</v>
      </c>
      <c r="N117" s="351"/>
      <c r="O117" s="351"/>
      <c r="P117" s="351"/>
      <c r="Q117" s="351"/>
      <c r="R117" s="351"/>
    </row>
    <row r="118" spans="10:18" ht="13.5" customHeight="1" x14ac:dyDescent="0.2">
      <c r="J118" s="651" t="s">
        <v>66</v>
      </c>
      <c r="K118" s="389">
        <f>'３-Ⅲ'!C18</f>
        <v>20</v>
      </c>
      <c r="L118" s="389">
        <f>'３-Ⅲ'!H18</f>
        <v>0</v>
      </c>
      <c r="M118" s="389">
        <f>'３-Ⅲ'!I18</f>
        <v>1</v>
      </c>
      <c r="N118" s="351"/>
      <c r="O118" s="351"/>
      <c r="P118" s="351"/>
      <c r="Q118" s="351"/>
      <c r="R118" s="351"/>
    </row>
    <row r="119" spans="10:18" ht="13.5" customHeight="1" x14ac:dyDescent="0.2">
      <c r="J119" s="651" t="s">
        <v>18</v>
      </c>
      <c r="K119" s="389">
        <f>'３-Ⅲ'!C19</f>
        <v>36</v>
      </c>
      <c r="L119" s="389">
        <f>'３-Ⅲ'!H19</f>
        <v>1</v>
      </c>
      <c r="M119" s="389">
        <f>'３-Ⅲ'!I19</f>
        <v>6</v>
      </c>
      <c r="N119" s="351"/>
      <c r="O119" s="351"/>
      <c r="P119" s="351"/>
      <c r="Q119" s="351"/>
      <c r="R119" s="351"/>
    </row>
    <row r="120" spans="10:18" ht="13.5" customHeight="1" x14ac:dyDescent="0.2">
      <c r="J120" s="291" t="s">
        <v>346</v>
      </c>
      <c r="K120" s="389">
        <f>'３-Ⅲ'!C20</f>
        <v>0</v>
      </c>
      <c r="L120" s="389">
        <f>'３-Ⅲ'!H20</f>
        <v>0</v>
      </c>
      <c r="M120" s="389">
        <f>'３-Ⅲ'!I20</f>
        <v>0</v>
      </c>
      <c r="N120" s="351"/>
      <c r="O120" s="351"/>
      <c r="P120" s="351"/>
      <c r="Q120" s="351"/>
      <c r="R120" s="351"/>
    </row>
    <row r="121" spans="10:18" ht="13.5" customHeight="1" x14ac:dyDescent="0.2">
      <c r="J121" s="291" t="s">
        <v>244</v>
      </c>
      <c r="K121" s="389">
        <f>'３-Ⅲ'!C21</f>
        <v>7433</v>
      </c>
      <c r="L121" s="389">
        <f>'３-Ⅲ'!H21</f>
        <v>40</v>
      </c>
      <c r="M121" s="389">
        <f>'３-Ⅲ'!I21</f>
        <v>485</v>
      </c>
    </row>
  </sheetData>
  <mergeCells count="50">
    <mergeCell ref="E8:F8"/>
    <mergeCell ref="E3:F3"/>
    <mergeCell ref="E4:F4"/>
    <mergeCell ref="E5:F5"/>
    <mergeCell ref="E6:F6"/>
    <mergeCell ref="E7:F7"/>
    <mergeCell ref="E28:F28"/>
    <mergeCell ref="E9:F9"/>
    <mergeCell ref="E10:F10"/>
    <mergeCell ref="E11:F11"/>
    <mergeCell ref="E12:F12"/>
    <mergeCell ref="E18:F18"/>
    <mergeCell ref="E19:F19"/>
    <mergeCell ref="E23:F23"/>
    <mergeCell ref="E24:F24"/>
    <mergeCell ref="E25:F25"/>
    <mergeCell ref="E26:F26"/>
    <mergeCell ref="E27:F27"/>
    <mergeCell ref="E43:F43"/>
    <mergeCell ref="E29:F29"/>
    <mergeCell ref="E30:F30"/>
    <mergeCell ref="E31:F31"/>
    <mergeCell ref="E32:F32"/>
    <mergeCell ref="E33:F33"/>
    <mergeCell ref="E34:F34"/>
    <mergeCell ref="E35:F35"/>
    <mergeCell ref="E39:F39"/>
    <mergeCell ref="E40:F40"/>
    <mergeCell ref="E41:F41"/>
    <mergeCell ref="E42:F42"/>
    <mergeCell ref="E63:F63"/>
    <mergeCell ref="E44:F44"/>
    <mergeCell ref="E45:F45"/>
    <mergeCell ref="E46:F46"/>
    <mergeCell ref="E47:F47"/>
    <mergeCell ref="E48:F48"/>
    <mergeCell ref="E54:F54"/>
    <mergeCell ref="E55:F55"/>
    <mergeCell ref="E59:F59"/>
    <mergeCell ref="E60:F60"/>
    <mergeCell ref="E61:F61"/>
    <mergeCell ref="E62:F62"/>
    <mergeCell ref="E70:F70"/>
    <mergeCell ref="E71:F71"/>
    <mergeCell ref="E64:F64"/>
    <mergeCell ref="E65:F65"/>
    <mergeCell ref="E66:F66"/>
    <mergeCell ref="E67:F67"/>
    <mergeCell ref="E68:F68"/>
    <mergeCell ref="E69:F69"/>
  </mergeCells>
  <phoneticPr fontId="2"/>
  <pageMargins left="0.44507575757575757" right="0.32196969696969696" top="0.60606060606060608" bottom="0.51136363636363635" header="0.3" footer="0.3"/>
  <pageSetup paperSize="9" scale="89" fitToHeight="0" orientation="portrait" r:id="rId1"/>
  <headerFooter>
    <oddHeader>&amp;C&amp;"游ゴシック,太字"&amp;14R7年度　大阪府の在院患者の状況&amp;R&amp;"游ゴシック,標準"&amp;10R7.6.30時点</oddHeader>
    <oddFooter>&amp;R&amp;"メイリオ,レギュラー"&amp;10&amp;F</oddFooter>
  </headerFooter>
  <rowBreaks count="1" manualBreakCount="1">
    <brk id="35" max="7"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5">
    <tabColor theme="7" tint="-0.249977111117893"/>
  </sheetPr>
  <dimension ref="L2:S60"/>
  <sheetViews>
    <sheetView view="pageBreakPreview" zoomScale="90" zoomScaleNormal="100" zoomScaleSheetLayoutView="90" zoomScalePageLayoutView="110" workbookViewId="0"/>
  </sheetViews>
  <sheetFormatPr defaultRowHeight="13.5" customHeight="1" x14ac:dyDescent="0.2"/>
  <cols>
    <col min="10" max="10" width="6.44140625" customWidth="1"/>
    <col min="11" max="11" width="7.21875" customWidth="1"/>
    <col min="12" max="12" width="8.88671875" hidden="1" customWidth="1"/>
    <col min="13" max="13" width="18.21875" hidden="1" customWidth="1"/>
    <col min="14" max="14" width="9.44140625" hidden="1" customWidth="1"/>
    <col min="15" max="16" width="9.109375" hidden="1" customWidth="1"/>
    <col min="17" max="17" width="17.33203125" hidden="1" customWidth="1"/>
    <col min="18" max="18" width="8.88671875" hidden="1" customWidth="1"/>
  </cols>
  <sheetData>
    <row r="2" spans="13:19" ht="13.5" customHeight="1" x14ac:dyDescent="0.2">
      <c r="M2" s="958"/>
      <c r="N2" s="958"/>
      <c r="O2" s="958"/>
    </row>
    <row r="3" spans="13:19" ht="13.5" customHeight="1" x14ac:dyDescent="0.2">
      <c r="M3" s="958"/>
      <c r="N3" s="958"/>
      <c r="O3" s="958"/>
      <c r="P3" s="958"/>
      <c r="Q3" s="958"/>
      <c r="R3" s="958"/>
      <c r="S3" s="958"/>
    </row>
    <row r="4" spans="13:19" ht="13.5" customHeight="1" x14ac:dyDescent="0.2">
      <c r="M4" s="176"/>
      <c r="N4" s="176" t="s">
        <v>326</v>
      </c>
      <c r="O4" s="176" t="s">
        <v>106</v>
      </c>
      <c r="P4" s="176" t="s">
        <v>107</v>
      </c>
      <c r="Q4" s="176" t="s">
        <v>12</v>
      </c>
      <c r="R4" s="958"/>
      <c r="S4" s="958"/>
    </row>
    <row r="5" spans="13:19" ht="13.5" customHeight="1" x14ac:dyDescent="0.2">
      <c r="M5" s="959" t="s">
        <v>2</v>
      </c>
      <c r="N5" s="960">
        <f>IFERROR(VLOOKUP($M5,年齢区分[],2,FALSE),0)</f>
        <v>165</v>
      </c>
      <c r="O5" s="960">
        <f>IFERROR(VLOOKUP($M5,年齢区分＿寛解[],2,FALSE),0)</f>
        <v>3</v>
      </c>
      <c r="P5" s="960">
        <f>IFERROR(VLOOKUP($M5,年齢区分＿院内寛解[],2,FALSE),0)</f>
        <v>17</v>
      </c>
      <c r="Q5" s="404">
        <f>SUM(O5:P5)</f>
        <v>20</v>
      </c>
      <c r="R5" s="958"/>
      <c r="S5" s="958"/>
    </row>
    <row r="6" spans="13:19" ht="13.5" customHeight="1" x14ac:dyDescent="0.2">
      <c r="M6" s="959" t="s">
        <v>3</v>
      </c>
      <c r="N6" s="960">
        <f>IFERROR(VLOOKUP($M6,年齢区分[],2,FALSE),0)</f>
        <v>358</v>
      </c>
      <c r="O6" s="960">
        <f>IFERROR(VLOOKUP($M6,年齢区分＿寛解[],2,FALSE),0)</f>
        <v>22</v>
      </c>
      <c r="P6" s="960">
        <f>IFERROR(VLOOKUP($M6,年齢区分＿院内寛解[],2,FALSE),0)</f>
        <v>49</v>
      </c>
      <c r="Q6" s="404">
        <f t="shared" ref="Q6:Q13" si="0">SUM(O6:P6)</f>
        <v>71</v>
      </c>
      <c r="R6" s="958"/>
      <c r="S6" s="958"/>
    </row>
    <row r="7" spans="13:19" ht="13.5" customHeight="1" x14ac:dyDescent="0.2">
      <c r="M7" s="959" t="s">
        <v>4</v>
      </c>
      <c r="N7" s="960">
        <f>IFERROR(VLOOKUP($M7,年齢区分[],2,FALSE),0)</f>
        <v>477</v>
      </c>
      <c r="O7" s="960">
        <f>IFERROR(VLOOKUP($M7,年齢区分＿寛解[],2,FALSE),0)</f>
        <v>18</v>
      </c>
      <c r="P7" s="960">
        <f>IFERROR(VLOOKUP($M7,年齢区分＿院内寛解[],2,FALSE),0)</f>
        <v>82</v>
      </c>
      <c r="Q7" s="404">
        <f t="shared" si="0"/>
        <v>100</v>
      </c>
      <c r="R7" s="958"/>
      <c r="S7" s="958"/>
    </row>
    <row r="8" spans="13:19" ht="13.5" customHeight="1" x14ac:dyDescent="0.2">
      <c r="M8" s="959" t="s">
        <v>5</v>
      </c>
      <c r="N8" s="960">
        <f>IFERROR(VLOOKUP($M8,年齢区分[],2,FALSE),0)</f>
        <v>1028</v>
      </c>
      <c r="O8" s="960">
        <f>IFERROR(VLOOKUP($M8,年齢区分＿寛解[],2,FALSE),0)</f>
        <v>36</v>
      </c>
      <c r="P8" s="960">
        <f>IFERROR(VLOOKUP($M8,年齢区分＿院内寛解[],2,FALSE),0)</f>
        <v>137</v>
      </c>
      <c r="Q8" s="404">
        <f t="shared" si="0"/>
        <v>173</v>
      </c>
      <c r="R8" s="958"/>
      <c r="S8" s="958"/>
    </row>
    <row r="9" spans="13:19" ht="13.5" customHeight="1" x14ac:dyDescent="0.2">
      <c r="M9" s="959" t="s">
        <v>6</v>
      </c>
      <c r="N9" s="960">
        <f>IFERROR(VLOOKUP($M9,年齢区分[],2,FALSE),0)</f>
        <v>2238</v>
      </c>
      <c r="O9" s="960">
        <f>IFERROR(VLOOKUP($M9,年齢区分＿寛解[],2,FALSE),0)</f>
        <v>65</v>
      </c>
      <c r="P9" s="960">
        <f>IFERROR(VLOOKUP($M9,年齢区分＿院内寛解[],2,FALSE),0)</f>
        <v>277</v>
      </c>
      <c r="Q9" s="404">
        <f t="shared" si="0"/>
        <v>342</v>
      </c>
      <c r="R9" s="958"/>
      <c r="S9" s="958"/>
    </row>
    <row r="10" spans="13:19" ht="13.5" customHeight="1" x14ac:dyDescent="0.2">
      <c r="M10" s="959" t="s">
        <v>7</v>
      </c>
      <c r="N10" s="960">
        <f>IFERROR(VLOOKUP($M10,年齢区分[],2,FALSE),0)</f>
        <v>2346</v>
      </c>
      <c r="O10" s="960">
        <f>IFERROR(VLOOKUP($M10,年齢区分＿寛解[],2,FALSE),0)</f>
        <v>48</v>
      </c>
      <c r="P10" s="960">
        <f>IFERROR(VLOOKUP($M10,年齢区分＿院内寛解[],2,FALSE),0)</f>
        <v>242</v>
      </c>
      <c r="Q10" s="404">
        <f t="shared" si="0"/>
        <v>290</v>
      </c>
      <c r="R10" s="958"/>
      <c r="S10" s="958"/>
    </row>
    <row r="11" spans="13:19" ht="13.5" customHeight="1" x14ac:dyDescent="0.2">
      <c r="M11" s="959" t="s">
        <v>8</v>
      </c>
      <c r="N11" s="960">
        <f>IFERROR(VLOOKUP($M11,年齢区分[],2,FALSE),0)</f>
        <v>3332</v>
      </c>
      <c r="O11" s="960">
        <f>IFERROR(VLOOKUP($M11,年齢区分＿寛解[],2,FALSE),0)</f>
        <v>56</v>
      </c>
      <c r="P11" s="960">
        <f>IFERROR(VLOOKUP($M11,年齢区分＿院内寛解[],2,FALSE),0)</f>
        <v>309</v>
      </c>
      <c r="Q11" s="404">
        <f t="shared" si="0"/>
        <v>365</v>
      </c>
      <c r="R11" s="958"/>
      <c r="S11" s="958"/>
    </row>
    <row r="12" spans="13:19" ht="13.5" customHeight="1" x14ac:dyDescent="0.2">
      <c r="M12" s="959" t="s">
        <v>9</v>
      </c>
      <c r="N12" s="960">
        <f>IFERROR(VLOOKUP($M12,年齢区分[],2,FALSE),0)</f>
        <v>3250</v>
      </c>
      <c r="O12" s="960">
        <f>IFERROR(VLOOKUP($M12,年齢区分＿寛解[],2,FALSE),0)</f>
        <v>43</v>
      </c>
      <c r="P12" s="960">
        <f>IFERROR(VLOOKUP($M12,年齢区分＿院内寛解[],2,FALSE),0)</f>
        <v>196</v>
      </c>
      <c r="Q12" s="404">
        <f t="shared" si="0"/>
        <v>239</v>
      </c>
      <c r="R12" s="958"/>
      <c r="S12" s="958"/>
    </row>
    <row r="13" spans="13:19" ht="13.5" customHeight="1" x14ac:dyDescent="0.2">
      <c r="M13" s="959" t="s">
        <v>10</v>
      </c>
      <c r="N13" s="960">
        <f>IFERROR(VLOOKUP($M13,年齢区分[],2,FALSE),0)</f>
        <v>813</v>
      </c>
      <c r="O13" s="960">
        <f>IFERROR(VLOOKUP($M13,年齢区分＿寛解[],2,FALSE),0)</f>
        <v>9</v>
      </c>
      <c r="P13" s="960">
        <f>IFERROR(VLOOKUP($M13,年齢区分＿院内寛解[],2,FALSE),0)</f>
        <v>52</v>
      </c>
      <c r="Q13" s="404">
        <f t="shared" si="0"/>
        <v>61</v>
      </c>
      <c r="R13" s="958"/>
      <c r="S13" s="958"/>
    </row>
    <row r="14" spans="13:19" ht="13.5" customHeight="1" x14ac:dyDescent="0.2">
      <c r="M14" s="958"/>
      <c r="N14" s="958"/>
      <c r="O14" s="958"/>
      <c r="P14" s="958"/>
      <c r="Q14" s="958"/>
      <c r="R14" s="958"/>
      <c r="S14" s="958"/>
    </row>
    <row r="15" spans="13:19" ht="13.5" customHeight="1" x14ac:dyDescent="0.2">
      <c r="M15" s="958"/>
      <c r="N15" s="958"/>
      <c r="O15" s="958"/>
      <c r="P15" s="958"/>
      <c r="Q15" s="958"/>
      <c r="R15" s="958"/>
      <c r="S15" s="958"/>
    </row>
    <row r="16" spans="13:19" ht="13.5" customHeight="1" x14ac:dyDescent="0.2">
      <c r="M16" s="958"/>
      <c r="N16" s="958"/>
      <c r="O16" s="958"/>
      <c r="P16" s="958"/>
      <c r="Q16" s="958"/>
      <c r="R16" s="958"/>
      <c r="S16" s="958"/>
    </row>
    <row r="17" spans="13:19" ht="13.5" customHeight="1" x14ac:dyDescent="0.2">
      <c r="M17" s="958"/>
      <c r="N17" s="958"/>
      <c r="O17" s="958"/>
      <c r="P17" s="958"/>
      <c r="Q17" s="958"/>
      <c r="R17" s="958"/>
      <c r="S17" s="958"/>
    </row>
    <row r="18" spans="13:19" ht="13.5" customHeight="1" x14ac:dyDescent="0.2">
      <c r="M18" s="958"/>
      <c r="N18" s="958"/>
      <c r="O18" s="958"/>
      <c r="P18" s="958"/>
      <c r="Q18" s="958"/>
      <c r="R18" s="958"/>
      <c r="S18" s="958"/>
    </row>
    <row r="19" spans="13:19" ht="13.5" customHeight="1" x14ac:dyDescent="0.2">
      <c r="M19" s="958"/>
      <c r="N19" s="958"/>
      <c r="O19" s="958"/>
      <c r="P19" s="958"/>
      <c r="Q19" s="958"/>
      <c r="R19" s="958"/>
      <c r="S19" s="958"/>
    </row>
    <row r="20" spans="13:19" ht="13.5" customHeight="1" x14ac:dyDescent="0.2">
      <c r="M20" s="958"/>
      <c r="N20" s="958"/>
      <c r="O20" s="958"/>
      <c r="P20" s="958"/>
      <c r="Q20" s="958"/>
      <c r="R20" s="958"/>
      <c r="S20" s="958"/>
    </row>
    <row r="21" spans="13:19" ht="13.5" customHeight="1" x14ac:dyDescent="0.2">
      <c r="M21" s="958"/>
      <c r="N21" s="958"/>
      <c r="O21" s="958"/>
      <c r="P21" s="958"/>
      <c r="Q21" s="958"/>
      <c r="R21" s="958"/>
      <c r="S21" s="958"/>
    </row>
    <row r="22" spans="13:19" ht="13.5" customHeight="1" x14ac:dyDescent="0.2">
      <c r="M22" s="958"/>
      <c r="N22" s="958"/>
      <c r="O22" s="958"/>
      <c r="P22" s="958"/>
      <c r="Q22" s="958"/>
      <c r="R22" s="958"/>
      <c r="S22" s="958"/>
    </row>
    <row r="23" spans="13:19" ht="13.5" customHeight="1" x14ac:dyDescent="0.2">
      <c r="M23" s="958"/>
      <c r="N23" s="958"/>
      <c r="O23" s="958"/>
      <c r="P23" s="958"/>
      <c r="Q23" s="958"/>
      <c r="R23" s="958"/>
      <c r="S23" s="958"/>
    </row>
    <row r="24" spans="13:19" ht="13.5" customHeight="1" x14ac:dyDescent="0.2">
      <c r="M24" s="201"/>
      <c r="N24" s="961" t="s">
        <v>326</v>
      </c>
      <c r="O24" s="961" t="s">
        <v>106</v>
      </c>
      <c r="P24" s="961" t="s">
        <v>107</v>
      </c>
      <c r="Q24" s="961" t="s">
        <v>328</v>
      </c>
      <c r="R24" s="958"/>
      <c r="S24" s="958"/>
    </row>
    <row r="25" spans="13:19" ht="13.5" customHeight="1" x14ac:dyDescent="0.2">
      <c r="M25" s="959" t="s">
        <v>2</v>
      </c>
      <c r="N25" s="637">
        <f>IFERROR(VLOOKUP($M25,年齢区分＿1年以上[],2,FALSE),0)</f>
        <v>3</v>
      </c>
      <c r="O25" s="637">
        <f>IFERROR(VLOOKUP($M25,年齢区分＿1年以上＿寛解[#All],2,FALSE),0)</f>
        <v>0</v>
      </c>
      <c r="P25" s="637">
        <f>IFERROR(VLOOKUP($M25,年齢区分＿1年以上＿院内寛解[#All],2,FALSE),0)</f>
        <v>0</v>
      </c>
      <c r="Q25" s="404">
        <f>SUM(O25:P25)</f>
        <v>0</v>
      </c>
      <c r="R25" s="958"/>
      <c r="S25" s="958"/>
    </row>
    <row r="26" spans="13:19" ht="13.5" customHeight="1" x14ac:dyDescent="0.2">
      <c r="M26" s="959" t="s">
        <v>3</v>
      </c>
      <c r="N26" s="637">
        <f>IFERROR(VLOOKUP($M26,年齢区分＿1年以上[],2,FALSE),0)</f>
        <v>49</v>
      </c>
      <c r="O26" s="637">
        <f>IFERROR(VLOOKUP($M26,年齢区分＿1年以上＿寛解[#All],2,FALSE),0)</f>
        <v>1</v>
      </c>
      <c r="P26" s="637">
        <f>IFERROR(VLOOKUP($M26,年齢区分＿1年以上＿院内寛解[#All],2,FALSE),0)</f>
        <v>4</v>
      </c>
      <c r="Q26" s="404">
        <f t="shared" ref="Q26:Q33" si="1">SUM(O26:P26)</f>
        <v>5</v>
      </c>
      <c r="R26" s="958"/>
      <c r="S26" s="958"/>
    </row>
    <row r="27" spans="13:19" ht="13.5" customHeight="1" x14ac:dyDescent="0.2">
      <c r="M27" s="959" t="s">
        <v>4</v>
      </c>
      <c r="N27" s="637">
        <f>IFERROR(VLOOKUP($M27,年齢区分＿1年以上[],2,FALSE),0)</f>
        <v>133</v>
      </c>
      <c r="O27" s="637">
        <f>IFERROR(VLOOKUP($M27,年齢区分＿1年以上＿寛解[#All],2,FALSE),0)</f>
        <v>0</v>
      </c>
      <c r="P27" s="637">
        <f>IFERROR(VLOOKUP($M27,年齢区分＿1年以上＿院内寛解[#All],2,FALSE),0)</f>
        <v>15</v>
      </c>
      <c r="Q27" s="404">
        <f t="shared" si="1"/>
        <v>15</v>
      </c>
      <c r="R27" s="958"/>
      <c r="S27" s="958"/>
    </row>
    <row r="28" spans="13:19" ht="13.5" customHeight="1" x14ac:dyDescent="0.2">
      <c r="M28" s="959" t="s">
        <v>5</v>
      </c>
      <c r="N28" s="637">
        <f>IFERROR(VLOOKUP($M28,年齢区分＿1年以上[],2,FALSE),0)</f>
        <v>465</v>
      </c>
      <c r="O28" s="637">
        <f>IFERROR(VLOOKUP($M28,年齢区分＿1年以上＿寛解[#All],2,FALSE),0)</f>
        <v>3</v>
      </c>
      <c r="P28" s="637">
        <f>IFERROR(VLOOKUP($M28,年齢区分＿1年以上＿院内寛解[#All],2,FALSE),0)</f>
        <v>31</v>
      </c>
      <c r="Q28" s="404">
        <f t="shared" si="1"/>
        <v>34</v>
      </c>
      <c r="R28" s="958"/>
      <c r="S28" s="958"/>
    </row>
    <row r="29" spans="13:19" ht="13.5" customHeight="1" x14ac:dyDescent="0.2">
      <c r="M29" s="959" t="s">
        <v>6</v>
      </c>
      <c r="N29" s="637">
        <f>IFERROR(VLOOKUP($M29,年齢区分＿1年以上[],2,FALSE),0)</f>
        <v>1269</v>
      </c>
      <c r="O29" s="637">
        <f>IFERROR(VLOOKUP($M29,年齢区分＿1年以上＿寛解[#All],2,FALSE),0)</f>
        <v>6</v>
      </c>
      <c r="P29" s="637">
        <f>IFERROR(VLOOKUP($M29,年齢区分＿1年以上＿院内寛解[#All],2,FALSE),0)</f>
        <v>95</v>
      </c>
      <c r="Q29" s="404">
        <f t="shared" si="1"/>
        <v>101</v>
      </c>
      <c r="R29" s="958"/>
      <c r="S29" s="958"/>
    </row>
    <row r="30" spans="13:19" ht="13.5" customHeight="1" x14ac:dyDescent="0.2">
      <c r="M30" s="959" t="s">
        <v>7</v>
      </c>
      <c r="N30" s="637">
        <f>IFERROR(VLOOKUP($M30,年齢区分＿1年以上[],2,FALSE),0)</f>
        <v>1439</v>
      </c>
      <c r="O30" s="637">
        <f>IFERROR(VLOOKUP($M30,年齢区分＿1年以上＿寛解[#All],2,FALSE),0)</f>
        <v>12</v>
      </c>
      <c r="P30" s="637">
        <f>IFERROR(VLOOKUP($M30,年齢区分＿1年以上＿院内寛解[#All],2,FALSE),0)</f>
        <v>93</v>
      </c>
      <c r="Q30" s="404">
        <f t="shared" si="1"/>
        <v>105</v>
      </c>
      <c r="R30" s="958"/>
      <c r="S30" s="958"/>
    </row>
    <row r="31" spans="13:19" ht="13.5" customHeight="1" x14ac:dyDescent="0.2">
      <c r="M31" s="959" t="s">
        <v>8</v>
      </c>
      <c r="N31" s="637">
        <f>IFERROR(VLOOKUP($M31,年齢区分＿1年以上[],2,FALSE),0)</f>
        <v>1927</v>
      </c>
      <c r="O31" s="637">
        <f>IFERROR(VLOOKUP($M31,年齢区分＿1年以上＿寛解[#All],2,FALSE),0)</f>
        <v>9</v>
      </c>
      <c r="P31" s="637">
        <f>IFERROR(VLOOKUP($M31,年齢区分＿1年以上＿院内寛解[#All],2,FALSE),0)</f>
        <v>142</v>
      </c>
      <c r="Q31" s="404">
        <f t="shared" si="1"/>
        <v>151</v>
      </c>
      <c r="R31" s="958"/>
      <c r="S31" s="958"/>
    </row>
    <row r="32" spans="13:19" ht="13.5" customHeight="1" x14ac:dyDescent="0.2">
      <c r="M32" s="959" t="s">
        <v>9</v>
      </c>
      <c r="N32" s="637">
        <f>IFERROR(VLOOKUP($M32,年齢区分＿1年以上[],2,FALSE),0)</f>
        <v>1692</v>
      </c>
      <c r="O32" s="637">
        <f>IFERROR(VLOOKUP($M32,年齢区分＿1年以上＿寛解[#All],2,FALSE),0)</f>
        <v>7</v>
      </c>
      <c r="P32" s="637">
        <f>IFERROR(VLOOKUP($M32,年齢区分＿1年以上＿院内寛解[#All],2,FALSE),0)</f>
        <v>87</v>
      </c>
      <c r="Q32" s="404">
        <f t="shared" si="1"/>
        <v>94</v>
      </c>
      <c r="R32" s="958"/>
      <c r="S32" s="958"/>
    </row>
    <row r="33" spans="13:19" ht="13.5" customHeight="1" x14ac:dyDescent="0.2">
      <c r="M33" s="959" t="s">
        <v>10</v>
      </c>
      <c r="N33" s="637">
        <f>IFERROR(VLOOKUP($M33,年齢区分＿1年以上[],2,FALSE),0)</f>
        <v>456</v>
      </c>
      <c r="O33" s="637">
        <f>IFERROR(VLOOKUP($M33,年齢区分＿1年以上＿寛解[#All],2,FALSE),0)</f>
        <v>2</v>
      </c>
      <c r="P33" s="637">
        <f>IFERROR(VLOOKUP($M33,年齢区分＿1年以上＿院内寛解[#All],2,FALSE),0)</f>
        <v>18</v>
      </c>
      <c r="Q33" s="404">
        <f t="shared" si="1"/>
        <v>20</v>
      </c>
      <c r="R33" s="958"/>
      <c r="S33" s="958"/>
    </row>
    <row r="34" spans="13:19" ht="13.5" customHeight="1" x14ac:dyDescent="0.2">
      <c r="M34" s="958"/>
      <c r="N34" s="958"/>
      <c r="O34" s="958"/>
      <c r="P34" s="958"/>
      <c r="Q34" s="958"/>
      <c r="R34" s="958"/>
      <c r="S34" s="958"/>
    </row>
    <row r="35" spans="13:19" ht="13.5" customHeight="1" x14ac:dyDescent="0.2">
      <c r="M35" s="958"/>
      <c r="N35" s="958"/>
      <c r="O35" s="958"/>
      <c r="P35" s="958"/>
      <c r="Q35" s="958"/>
      <c r="R35" s="958"/>
      <c r="S35" s="958"/>
    </row>
    <row r="36" spans="13:19" ht="13.5" customHeight="1" x14ac:dyDescent="0.2">
      <c r="M36" s="958"/>
      <c r="N36" s="958"/>
      <c r="O36" s="958"/>
      <c r="P36" s="958"/>
      <c r="Q36" s="958"/>
      <c r="R36" s="958"/>
      <c r="S36" s="958"/>
    </row>
    <row r="37" spans="13:19" ht="13.5" customHeight="1" x14ac:dyDescent="0.2">
      <c r="M37" s="958"/>
      <c r="N37" s="958"/>
      <c r="O37" s="958"/>
      <c r="P37" s="958"/>
      <c r="Q37" s="958"/>
      <c r="R37" s="958"/>
      <c r="S37" s="958"/>
    </row>
    <row r="38" spans="13:19" ht="13.5" customHeight="1" x14ac:dyDescent="0.2">
      <c r="M38" s="958"/>
      <c r="N38" s="958"/>
      <c r="O38" s="958"/>
      <c r="P38" s="958"/>
      <c r="Q38" s="958"/>
      <c r="R38" s="958"/>
      <c r="S38" s="958"/>
    </row>
    <row r="39" spans="13:19" ht="13.5" customHeight="1" x14ac:dyDescent="0.2">
      <c r="M39" s="958"/>
      <c r="N39" s="958"/>
      <c r="O39" s="958"/>
      <c r="P39" s="958"/>
      <c r="Q39" s="958"/>
      <c r="R39" s="958"/>
      <c r="S39" s="958"/>
    </row>
    <row r="40" spans="13:19" ht="13.5" customHeight="1" x14ac:dyDescent="0.2">
      <c r="M40" s="958"/>
      <c r="N40" s="958"/>
      <c r="O40" s="958"/>
      <c r="P40" s="958"/>
      <c r="Q40" s="958"/>
      <c r="R40" s="958"/>
      <c r="S40" s="958"/>
    </row>
    <row r="41" spans="13:19" ht="13.5" customHeight="1" x14ac:dyDescent="0.2">
      <c r="M41" s="958"/>
      <c r="N41" s="958"/>
      <c r="O41" s="958"/>
      <c r="P41" s="958"/>
      <c r="Q41" s="958"/>
      <c r="R41" s="958"/>
      <c r="S41" s="958"/>
    </row>
    <row r="42" spans="13:19" ht="13.5" customHeight="1" x14ac:dyDescent="0.2">
      <c r="M42" s="958"/>
      <c r="N42" s="958"/>
      <c r="O42" s="958"/>
      <c r="P42" s="958"/>
      <c r="Q42" s="958"/>
      <c r="R42" s="958"/>
      <c r="S42" s="958"/>
    </row>
    <row r="43" spans="13:19" ht="13.5" customHeight="1" x14ac:dyDescent="0.2">
      <c r="M43" s="958"/>
      <c r="N43" s="958"/>
      <c r="O43" s="958"/>
      <c r="P43" s="958"/>
      <c r="Q43" s="958"/>
      <c r="R43" s="958"/>
      <c r="S43" s="958"/>
    </row>
    <row r="44" spans="13:19" ht="13.5" customHeight="1" x14ac:dyDescent="0.2">
      <c r="M44" s="958"/>
      <c r="N44" s="958"/>
      <c r="O44" s="958"/>
      <c r="P44" s="958"/>
      <c r="Q44" s="958"/>
      <c r="R44" s="958"/>
      <c r="S44" s="958"/>
    </row>
    <row r="45" spans="13:19" ht="13.5" customHeight="1" x14ac:dyDescent="0.2">
      <c r="M45" s="962"/>
      <c r="N45" s="518" t="s">
        <v>326</v>
      </c>
      <c r="O45" s="518" t="s">
        <v>327</v>
      </c>
      <c r="P45" s="958"/>
      <c r="Q45" s="958"/>
      <c r="R45" s="958"/>
      <c r="S45" s="958"/>
    </row>
    <row r="46" spans="13:19" ht="13.5" customHeight="1" x14ac:dyDescent="0.2">
      <c r="M46" s="196" t="s">
        <v>278</v>
      </c>
      <c r="N46" s="963">
        <f>IFERROR(VLOOKUP($M46,'４-Ⅰ'!$I$4:$J$13,2,FALSE),0)</f>
        <v>1121</v>
      </c>
      <c r="O46" s="963">
        <f>IFERROR(VLOOKUP($M46,'４-Ⅰ'!$L$4:$M$13,2,FALSE),0)</f>
        <v>139</v>
      </c>
      <c r="P46" s="958"/>
      <c r="Q46" s="958"/>
      <c r="R46" s="958"/>
      <c r="S46" s="958"/>
    </row>
    <row r="47" spans="13:19" ht="13.5" customHeight="1" x14ac:dyDescent="0.2">
      <c r="M47" s="196" t="s">
        <v>279</v>
      </c>
      <c r="N47" s="963">
        <f>IFERROR(VLOOKUP($M47,'４-Ⅰ'!$I$4:$J$13,2,FALSE),0)</f>
        <v>1398</v>
      </c>
      <c r="O47" s="963">
        <f>IFERROR(VLOOKUP($M47,'４-Ⅰ'!$L$4:$M$13,2,FALSE),0)</f>
        <v>161</v>
      </c>
      <c r="P47" s="958"/>
      <c r="Q47" s="958"/>
      <c r="R47" s="958"/>
      <c r="S47" s="958"/>
    </row>
    <row r="48" spans="13:19" ht="13.5" customHeight="1" x14ac:dyDescent="0.2">
      <c r="M48" s="196" t="s">
        <v>280</v>
      </c>
      <c r="N48" s="963">
        <f>IFERROR(VLOOKUP($M48,'４-Ⅰ'!$I$4:$J$13,2,FALSE),0)</f>
        <v>1934</v>
      </c>
      <c r="O48" s="963">
        <f>IFERROR(VLOOKUP($M48,'４-Ⅰ'!$L$4:$M$13,2,FALSE),0)</f>
        <v>204</v>
      </c>
      <c r="P48" s="958"/>
      <c r="Q48" s="958"/>
      <c r="R48" s="958"/>
      <c r="S48" s="958"/>
    </row>
    <row r="49" spans="13:19" ht="13.5" customHeight="1" x14ac:dyDescent="0.2">
      <c r="M49" s="196" t="s">
        <v>281</v>
      </c>
      <c r="N49" s="963">
        <f>IFERROR(VLOOKUP($M49,'４-Ⅰ'!$I$4:$J$13,2,FALSE),0)</f>
        <v>1868</v>
      </c>
      <c r="O49" s="963">
        <f>IFERROR(VLOOKUP($M49,'４-Ⅰ'!$L$4:$M$13,2,FALSE),0)</f>
        <v>150</v>
      </c>
      <c r="P49" s="958"/>
      <c r="Q49" s="958"/>
      <c r="R49" s="958"/>
      <c r="S49" s="958"/>
    </row>
    <row r="50" spans="13:19" ht="13.5" customHeight="1" x14ac:dyDescent="0.2">
      <c r="M50" s="196" t="s">
        <v>282</v>
      </c>
      <c r="N50" s="963">
        <f>IFERROR(VLOOKUP($M50,'４-Ⅰ'!$I$4:$J$13,2,FALSE),0)</f>
        <v>1382</v>
      </c>
      <c r="O50" s="963">
        <f>IFERROR(VLOOKUP($M50,'４-Ⅰ'!$L$4:$M$13,2,FALSE),0)</f>
        <v>89</v>
      </c>
      <c r="P50" s="958"/>
      <c r="Q50" s="958"/>
      <c r="R50" s="958"/>
      <c r="S50" s="958"/>
    </row>
    <row r="51" spans="13:19" ht="13.5" customHeight="1" x14ac:dyDescent="0.2">
      <c r="M51" s="196" t="s">
        <v>10</v>
      </c>
      <c r="N51" s="963">
        <f>IFERROR(VLOOKUP($M51,'４-Ⅰ'!$I$4:$J$13,2,FALSE),0)</f>
        <v>813</v>
      </c>
      <c r="O51" s="963">
        <f>IFERROR(VLOOKUP($M51,'４-Ⅰ'!$L$4:$M$13,2,FALSE),0)</f>
        <v>61</v>
      </c>
      <c r="P51" s="958"/>
      <c r="Q51" s="958"/>
      <c r="R51" s="958"/>
      <c r="S51" s="958"/>
    </row>
    <row r="52" spans="13:19" ht="13.5" customHeight="1" x14ac:dyDescent="0.2">
      <c r="M52" s="958"/>
      <c r="N52" s="958"/>
      <c r="O52" s="958"/>
      <c r="P52" s="958"/>
      <c r="Q52" s="958"/>
      <c r="R52" s="958"/>
      <c r="S52" s="958"/>
    </row>
    <row r="53" spans="13:19" ht="13.5" customHeight="1" x14ac:dyDescent="0.2">
      <c r="M53" s="958"/>
      <c r="N53" s="958"/>
      <c r="O53" s="958"/>
      <c r="P53" s="958"/>
      <c r="Q53" s="958"/>
      <c r="R53" s="958"/>
      <c r="S53" s="958"/>
    </row>
    <row r="54" spans="13:19" ht="13.5" customHeight="1" x14ac:dyDescent="0.2">
      <c r="M54" s="958"/>
      <c r="N54" s="958"/>
      <c r="O54" s="958"/>
    </row>
    <row r="55" spans="13:19" ht="13.5" customHeight="1" x14ac:dyDescent="0.2">
      <c r="M55" s="958"/>
      <c r="N55" s="958"/>
      <c r="O55" s="958"/>
    </row>
    <row r="56" spans="13:19" ht="13.5" customHeight="1" x14ac:dyDescent="0.2">
      <c r="M56" s="958"/>
      <c r="N56" s="958"/>
      <c r="O56" s="958"/>
    </row>
    <row r="57" spans="13:19" ht="13.5" customHeight="1" x14ac:dyDescent="0.2">
      <c r="M57" s="958"/>
      <c r="N57" s="958"/>
      <c r="O57" s="958"/>
    </row>
    <row r="58" spans="13:19" ht="13.5" customHeight="1" x14ac:dyDescent="0.2">
      <c r="M58" s="958"/>
      <c r="N58" s="958"/>
      <c r="O58" s="958"/>
    </row>
    <row r="59" spans="13:19" ht="13.5" customHeight="1" x14ac:dyDescent="0.2">
      <c r="M59" s="958"/>
      <c r="N59" s="958"/>
      <c r="O59" s="958"/>
    </row>
    <row r="60" spans="13:19" ht="13.5" customHeight="1" x14ac:dyDescent="0.2">
      <c r="M60" s="958"/>
      <c r="N60" s="958"/>
      <c r="O60" s="958"/>
    </row>
  </sheetData>
  <phoneticPr fontId="2"/>
  <pageMargins left="0.44270833333333331" right="0.41666666666666669" top="0.60606060606060608" bottom="0.51136363636363635" header="0.3" footer="0.3"/>
  <pageSetup paperSize="9" scale="98" orientation="portrait" r:id="rId1"/>
  <headerFooter>
    <oddHeader>&amp;C&amp;"游ゴシック,太字"&amp;14R7年度　大阪府の在院患者の状況&amp;R&amp;"游ゴシック,標準"&amp;10R7.6.30時点</oddHeader>
    <oddFooter>&amp;R&amp;"メイリオ,レギュラー"&amp;10&amp;F</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6">
    <tabColor theme="7" tint="-0.249977111117893"/>
  </sheetPr>
  <dimension ref="M4:AC58"/>
  <sheetViews>
    <sheetView view="pageBreakPreview" zoomScale="120" zoomScaleNormal="100" zoomScaleSheetLayoutView="120" workbookViewId="0"/>
  </sheetViews>
  <sheetFormatPr defaultRowHeight="13.5" customHeight="1" x14ac:dyDescent="0.2"/>
  <cols>
    <col min="10" max="10" width="6.44140625" customWidth="1"/>
    <col min="11" max="11" width="7.21875" customWidth="1"/>
    <col min="13" max="13" width="4.109375" hidden="1" customWidth="1"/>
    <col min="14" max="14" width="35.88671875" hidden="1" customWidth="1"/>
    <col min="15" max="15" width="9.44140625" hidden="1" customWidth="1"/>
    <col min="16" max="18" width="9.109375" hidden="1" customWidth="1"/>
    <col min="19" max="25" width="0" hidden="1" customWidth="1"/>
  </cols>
  <sheetData>
    <row r="4" spans="13:29" ht="13.5" customHeight="1" x14ac:dyDescent="0.2">
      <c r="M4" s="310"/>
      <c r="N4" s="311"/>
      <c r="O4" s="287" t="s">
        <v>0</v>
      </c>
      <c r="P4" s="287" t="s">
        <v>106</v>
      </c>
      <c r="Q4" s="287" t="s">
        <v>107</v>
      </c>
      <c r="R4" s="287" t="s">
        <v>12</v>
      </c>
      <c r="S4" s="288"/>
      <c r="T4" s="288"/>
      <c r="U4" s="288"/>
      <c r="V4" s="288"/>
      <c r="W4" s="288"/>
      <c r="X4" s="288"/>
      <c r="Y4" s="288"/>
      <c r="Z4" s="288"/>
      <c r="AA4" s="288"/>
      <c r="AB4" s="288"/>
      <c r="AC4" s="288"/>
    </row>
    <row r="5" spans="13:29" ht="13.5" customHeight="1" x14ac:dyDescent="0.2">
      <c r="M5" s="1150" t="s">
        <v>110</v>
      </c>
      <c r="N5" s="1151"/>
      <c r="O5" s="308">
        <f>'２-Ⅲ'!C5</f>
        <v>4186</v>
      </c>
      <c r="P5" s="309">
        <f>'２-Ⅲ'!H5</f>
        <v>41</v>
      </c>
      <c r="Q5" s="308">
        <f>'２-Ⅲ'!I5</f>
        <v>241</v>
      </c>
      <c r="R5" s="308">
        <f t="shared" ref="R5:R16" si="0">SUM(P5:Q5)</f>
        <v>282</v>
      </c>
      <c r="S5" s="288"/>
      <c r="T5" s="312" t="s">
        <v>329</v>
      </c>
      <c r="U5" s="312" t="s">
        <v>273</v>
      </c>
      <c r="V5" s="288"/>
      <c r="W5" s="288"/>
      <c r="X5" s="288"/>
      <c r="Y5" s="288"/>
      <c r="Z5" s="288"/>
      <c r="AA5" s="288"/>
      <c r="AB5" s="288"/>
      <c r="AC5" s="288"/>
    </row>
    <row r="6" spans="13:29" ht="13.5" customHeight="1" x14ac:dyDescent="0.2">
      <c r="M6" s="1152" t="s">
        <v>20</v>
      </c>
      <c r="N6" s="1153"/>
      <c r="O6" s="309">
        <f>'２-Ⅲ'!C9</f>
        <v>746</v>
      </c>
      <c r="P6" s="309">
        <f>'２-Ⅲ'!H9</f>
        <v>43</v>
      </c>
      <c r="Q6" s="309">
        <f>'２-Ⅲ'!I9</f>
        <v>183</v>
      </c>
      <c r="R6" s="308">
        <f t="shared" si="0"/>
        <v>226</v>
      </c>
      <c r="S6" s="288"/>
      <c r="T6" s="312" t="s">
        <v>330</v>
      </c>
      <c r="U6" s="312" t="s">
        <v>262</v>
      </c>
      <c r="V6" s="288"/>
      <c r="W6" s="288"/>
      <c r="X6" s="288"/>
      <c r="Y6" s="288"/>
      <c r="Z6" s="288"/>
      <c r="AA6" s="288"/>
      <c r="AB6" s="288"/>
      <c r="AC6" s="288"/>
    </row>
    <row r="7" spans="13:29" ht="13.5" customHeight="1" x14ac:dyDescent="0.2">
      <c r="M7" s="1152" t="s">
        <v>72</v>
      </c>
      <c r="N7" s="1153"/>
      <c r="O7" s="309">
        <f>'２-Ⅲ'!C10</f>
        <v>6451</v>
      </c>
      <c r="P7" s="309">
        <f>'２-Ⅲ'!H10</f>
        <v>96</v>
      </c>
      <c r="Q7" s="309">
        <f>'２-Ⅲ'!I10</f>
        <v>610</v>
      </c>
      <c r="R7" s="308">
        <f t="shared" si="0"/>
        <v>706</v>
      </c>
      <c r="S7" s="288"/>
      <c r="T7" s="312" t="s">
        <v>292</v>
      </c>
      <c r="U7" s="312" t="s">
        <v>263</v>
      </c>
      <c r="V7" s="288"/>
      <c r="W7" s="288"/>
      <c r="X7" s="288"/>
      <c r="Y7" s="288"/>
      <c r="Z7" s="288"/>
      <c r="AA7" s="288"/>
      <c r="AB7" s="288"/>
      <c r="AC7" s="288"/>
    </row>
    <row r="8" spans="13:29" ht="13.5" customHeight="1" x14ac:dyDescent="0.2">
      <c r="M8" s="1152" t="s">
        <v>22</v>
      </c>
      <c r="N8" s="1153"/>
      <c r="O8" s="309">
        <f>'２-Ⅲ'!C11</f>
        <v>1663</v>
      </c>
      <c r="P8" s="309">
        <f>'２-Ⅲ'!H11</f>
        <v>79</v>
      </c>
      <c r="Q8" s="309">
        <f>'２-Ⅲ'!I11</f>
        <v>223</v>
      </c>
      <c r="R8" s="308">
        <f t="shared" si="0"/>
        <v>302</v>
      </c>
      <c r="S8" s="288"/>
      <c r="T8" s="312" t="s">
        <v>293</v>
      </c>
      <c r="U8" s="312" t="s">
        <v>264</v>
      </c>
      <c r="V8" s="288"/>
      <c r="W8" s="288"/>
      <c r="X8" s="288"/>
      <c r="Y8" s="288"/>
      <c r="Z8" s="288"/>
      <c r="AA8" s="288"/>
      <c r="AB8" s="288"/>
      <c r="AC8" s="288"/>
    </row>
    <row r="9" spans="13:29" ht="13.5" customHeight="1" x14ac:dyDescent="0.2">
      <c r="M9" s="1152" t="s">
        <v>24</v>
      </c>
      <c r="N9" s="1153"/>
      <c r="O9" s="309">
        <f>'２-Ⅲ'!C12</f>
        <v>247</v>
      </c>
      <c r="P9" s="309">
        <f>'２-Ⅲ'!H12</f>
        <v>13</v>
      </c>
      <c r="Q9" s="309">
        <f>'２-Ⅲ'!I12</f>
        <v>37</v>
      </c>
      <c r="R9" s="308">
        <f t="shared" si="0"/>
        <v>50</v>
      </c>
      <c r="S9" s="288"/>
      <c r="T9" s="312" t="s">
        <v>294</v>
      </c>
      <c r="U9" s="312" t="s">
        <v>289</v>
      </c>
      <c r="V9" s="288"/>
      <c r="W9" s="288"/>
      <c r="X9" s="288"/>
      <c r="Y9" s="288"/>
      <c r="Z9" s="288"/>
      <c r="AA9" s="288"/>
      <c r="AB9" s="288"/>
      <c r="AC9" s="288"/>
    </row>
    <row r="10" spans="13:29" ht="13.5" customHeight="1" x14ac:dyDescent="0.2">
      <c r="M10" s="1152" t="s">
        <v>25</v>
      </c>
      <c r="N10" s="1153"/>
      <c r="O10" s="309">
        <f>'２-Ⅲ'!C13</f>
        <v>49</v>
      </c>
      <c r="P10" s="309">
        <f>'２-Ⅲ'!H13</f>
        <v>3</v>
      </c>
      <c r="Q10" s="309">
        <f>'２-Ⅲ'!I13</f>
        <v>3</v>
      </c>
      <c r="R10" s="308">
        <f t="shared" si="0"/>
        <v>6</v>
      </c>
      <c r="S10" s="288"/>
      <c r="T10" s="312" t="s">
        <v>295</v>
      </c>
      <c r="U10" s="312" t="s">
        <v>290</v>
      </c>
      <c r="V10" s="288"/>
      <c r="W10" s="288"/>
      <c r="X10" s="288"/>
      <c r="Y10" s="288"/>
      <c r="Z10" s="288"/>
      <c r="AA10" s="288"/>
      <c r="AB10" s="288"/>
      <c r="AC10" s="288"/>
    </row>
    <row r="11" spans="13:29" ht="13.5" customHeight="1" x14ac:dyDescent="0.2">
      <c r="M11" s="1152" t="s">
        <v>238</v>
      </c>
      <c r="N11" s="1153"/>
      <c r="O11" s="309">
        <f>'２-Ⅲ'!C14</f>
        <v>41</v>
      </c>
      <c r="P11" s="309">
        <f>'２-Ⅲ'!H14</f>
        <v>7</v>
      </c>
      <c r="Q11" s="309">
        <f>'２-Ⅲ'!I14</f>
        <v>7</v>
      </c>
      <c r="R11" s="308">
        <f t="shared" si="0"/>
        <v>14</v>
      </c>
      <c r="S11" s="288"/>
      <c r="T11" s="312" t="s">
        <v>296</v>
      </c>
      <c r="U11" s="312" t="s">
        <v>265</v>
      </c>
      <c r="V11" s="288"/>
      <c r="W11" s="288"/>
      <c r="X11" s="288"/>
      <c r="Y11" s="288"/>
      <c r="Z11" s="288"/>
      <c r="AA11" s="288"/>
      <c r="AB11" s="288"/>
      <c r="AC11" s="288"/>
    </row>
    <row r="12" spans="13:29" ht="13.5" customHeight="1" x14ac:dyDescent="0.2">
      <c r="M12" s="1152" t="s">
        <v>239</v>
      </c>
      <c r="N12" s="1153"/>
      <c r="O12" s="309">
        <f>'２-Ⅲ'!C15</f>
        <v>280</v>
      </c>
      <c r="P12" s="309">
        <f>'２-Ⅲ'!H15</f>
        <v>5</v>
      </c>
      <c r="Q12" s="309">
        <f>'２-Ⅲ'!I15</f>
        <v>22</v>
      </c>
      <c r="R12" s="308">
        <f t="shared" si="0"/>
        <v>27</v>
      </c>
      <c r="S12" s="288"/>
      <c r="T12" s="312" t="s">
        <v>297</v>
      </c>
      <c r="U12" s="312" t="s">
        <v>266</v>
      </c>
      <c r="V12" s="288"/>
      <c r="W12" s="288"/>
      <c r="X12" s="288"/>
      <c r="Y12" s="288"/>
      <c r="Z12" s="288"/>
      <c r="AA12" s="288"/>
      <c r="AB12" s="288"/>
      <c r="AC12" s="288"/>
    </row>
    <row r="13" spans="13:29" ht="13.5" customHeight="1" x14ac:dyDescent="0.2">
      <c r="M13" s="1152" t="s">
        <v>23</v>
      </c>
      <c r="N13" s="1153"/>
      <c r="O13" s="309">
        <f>'２-Ⅲ'!C16</f>
        <v>188</v>
      </c>
      <c r="P13" s="309">
        <f>'２-Ⅲ'!H16</f>
        <v>7</v>
      </c>
      <c r="Q13" s="309">
        <f>'２-Ⅲ'!I16</f>
        <v>19</v>
      </c>
      <c r="R13" s="308">
        <f t="shared" si="0"/>
        <v>26</v>
      </c>
      <c r="S13" s="288"/>
      <c r="T13" s="312" t="s">
        <v>298</v>
      </c>
      <c r="U13" s="312" t="s">
        <v>267</v>
      </c>
      <c r="V13" s="288"/>
      <c r="W13" s="288"/>
      <c r="X13" s="288"/>
      <c r="Y13" s="288"/>
      <c r="Z13" s="288"/>
      <c r="AA13" s="288"/>
      <c r="AB13" s="288"/>
      <c r="AC13" s="288"/>
    </row>
    <row r="14" spans="13:29" ht="13.5" customHeight="1" x14ac:dyDescent="0.2">
      <c r="M14" s="1152" t="s">
        <v>240</v>
      </c>
      <c r="N14" s="1154"/>
      <c r="O14" s="309">
        <f>'２-Ⅲ'!C17</f>
        <v>49</v>
      </c>
      <c r="P14" s="309">
        <f>'２-Ⅲ'!H17</f>
        <v>2</v>
      </c>
      <c r="Q14" s="309">
        <f>'２-Ⅲ'!I17</f>
        <v>5</v>
      </c>
      <c r="R14" s="308">
        <f t="shared" si="0"/>
        <v>7</v>
      </c>
      <c r="S14" s="288"/>
      <c r="T14" s="312" t="s">
        <v>299</v>
      </c>
      <c r="U14" s="312" t="s">
        <v>268</v>
      </c>
      <c r="V14" s="288"/>
      <c r="W14" s="288"/>
      <c r="X14" s="288"/>
      <c r="Y14" s="288"/>
      <c r="Z14" s="288"/>
      <c r="AA14" s="288"/>
      <c r="AB14" s="288"/>
      <c r="AC14" s="288"/>
    </row>
    <row r="15" spans="13:29" ht="13.5" customHeight="1" x14ac:dyDescent="0.2">
      <c r="M15" s="1152" t="s">
        <v>113</v>
      </c>
      <c r="N15" s="1155"/>
      <c r="O15" s="309">
        <f>'２-Ⅲ'!C18</f>
        <v>24</v>
      </c>
      <c r="P15" s="309">
        <f>'２-Ⅲ'!H18</f>
        <v>0</v>
      </c>
      <c r="Q15" s="309">
        <f>'２-Ⅲ'!I18</f>
        <v>1</v>
      </c>
      <c r="R15" s="308">
        <f t="shared" si="0"/>
        <v>1</v>
      </c>
      <c r="S15" s="288"/>
      <c r="T15" s="312" t="s">
        <v>331</v>
      </c>
      <c r="U15" s="312" t="s">
        <v>269</v>
      </c>
      <c r="V15" s="288"/>
      <c r="W15" s="288"/>
      <c r="X15" s="288"/>
      <c r="Y15" s="288"/>
      <c r="Z15" s="288"/>
      <c r="AA15" s="288"/>
      <c r="AB15" s="288"/>
      <c r="AC15" s="288"/>
    </row>
    <row r="16" spans="13:29" ht="13.5" customHeight="1" x14ac:dyDescent="0.2">
      <c r="M16" s="1156" t="s">
        <v>18</v>
      </c>
      <c r="N16" s="1157"/>
      <c r="O16" s="309">
        <f>'２-Ⅲ'!C19</f>
        <v>82</v>
      </c>
      <c r="P16" s="309">
        <f>'２-Ⅲ'!H19</f>
        <v>4</v>
      </c>
      <c r="Q16" s="309">
        <f>'２-Ⅲ'!I19</f>
        <v>10</v>
      </c>
      <c r="R16" s="308">
        <f t="shared" si="0"/>
        <v>14</v>
      </c>
      <c r="S16" s="288"/>
      <c r="T16" s="312" t="s">
        <v>95</v>
      </c>
      <c r="U16" s="312" t="s">
        <v>274</v>
      </c>
      <c r="V16" s="288"/>
      <c r="W16" s="288"/>
      <c r="X16" s="288"/>
      <c r="Y16" s="288"/>
      <c r="Z16" s="288"/>
      <c r="AA16" s="288"/>
      <c r="AB16" s="288"/>
      <c r="AC16" s="288"/>
    </row>
    <row r="17" spans="13:29" ht="13.5" customHeight="1" x14ac:dyDescent="0.2">
      <c r="M17" s="288"/>
      <c r="N17" s="288"/>
      <c r="O17" s="288"/>
      <c r="P17" s="288"/>
      <c r="Q17" s="288"/>
      <c r="R17" s="288"/>
      <c r="S17" s="288"/>
      <c r="T17" s="288"/>
      <c r="U17" s="312" t="s">
        <v>270</v>
      </c>
      <c r="V17" s="288"/>
      <c r="W17" s="288"/>
      <c r="X17" s="288"/>
      <c r="Y17" s="288"/>
      <c r="Z17" s="288"/>
      <c r="AA17" s="288"/>
      <c r="AB17" s="288"/>
      <c r="AC17" s="288"/>
    </row>
    <row r="18" spans="13:29" ht="13.5" customHeight="1" x14ac:dyDescent="0.2">
      <c r="M18" s="288"/>
      <c r="N18" s="288"/>
      <c r="O18" s="288"/>
      <c r="P18" s="288"/>
      <c r="Q18" s="288"/>
      <c r="R18" s="288"/>
      <c r="S18" s="288"/>
      <c r="T18" s="288"/>
      <c r="U18" s="312" t="s">
        <v>271</v>
      </c>
      <c r="V18" s="288"/>
      <c r="W18" s="288"/>
      <c r="X18" s="288"/>
      <c r="Y18" s="288"/>
      <c r="Z18" s="288"/>
      <c r="AA18" s="288"/>
      <c r="AB18" s="288"/>
      <c r="AC18" s="288"/>
    </row>
    <row r="19" spans="13:29" ht="13.5" customHeight="1" x14ac:dyDescent="0.2">
      <c r="M19" s="288"/>
      <c r="N19" s="288"/>
      <c r="O19" s="288"/>
      <c r="P19" s="288"/>
      <c r="Q19" s="288"/>
      <c r="R19" s="288"/>
      <c r="S19" s="288"/>
      <c r="T19" s="288"/>
      <c r="U19" s="312" t="s">
        <v>275</v>
      </c>
      <c r="V19" s="288"/>
      <c r="W19" s="288"/>
      <c r="X19" s="288"/>
      <c r="Y19" s="288"/>
      <c r="Z19" s="288"/>
      <c r="AA19" s="288"/>
      <c r="AB19" s="288"/>
      <c r="AC19" s="288"/>
    </row>
    <row r="20" spans="13:29" ht="13.5" customHeight="1" x14ac:dyDescent="0.2">
      <c r="M20" s="288"/>
      <c r="N20" s="288"/>
      <c r="O20" s="288"/>
      <c r="P20" s="288"/>
      <c r="Q20" s="288"/>
      <c r="R20" s="288"/>
      <c r="S20" s="288"/>
      <c r="T20" s="288"/>
      <c r="U20" s="312" t="s">
        <v>272</v>
      </c>
      <c r="V20" s="288"/>
      <c r="W20" s="288"/>
      <c r="X20" s="288"/>
      <c r="Y20" s="288"/>
      <c r="Z20" s="288"/>
      <c r="AA20" s="288"/>
      <c r="AB20" s="288"/>
      <c r="AC20" s="288"/>
    </row>
    <row r="21" spans="13:29" ht="13.5" customHeight="1" x14ac:dyDescent="0.2">
      <c r="M21" s="288"/>
      <c r="N21" s="288"/>
      <c r="O21" s="288"/>
      <c r="P21" s="288"/>
      <c r="Q21" s="288"/>
      <c r="R21" s="288"/>
      <c r="S21" s="288"/>
      <c r="T21" s="288"/>
      <c r="U21" s="312" t="s">
        <v>18</v>
      </c>
      <c r="V21" s="288"/>
      <c r="W21" s="288"/>
      <c r="X21" s="288"/>
      <c r="Y21" s="288"/>
      <c r="Z21" s="288"/>
      <c r="AA21" s="288"/>
      <c r="AB21" s="288"/>
      <c r="AC21" s="288"/>
    </row>
    <row r="22" spans="13:29" ht="13.5" customHeight="1" x14ac:dyDescent="0.2">
      <c r="M22" s="288"/>
      <c r="N22" s="288"/>
      <c r="O22" s="288"/>
      <c r="P22" s="288"/>
      <c r="Q22" s="288"/>
      <c r="R22" s="288"/>
      <c r="S22" s="288"/>
      <c r="T22" s="288"/>
      <c r="U22" s="288"/>
      <c r="V22" s="288"/>
      <c r="W22" s="288"/>
      <c r="X22" s="288"/>
      <c r="Y22" s="288"/>
      <c r="Z22" s="288"/>
      <c r="AA22" s="288"/>
      <c r="AB22" s="288"/>
      <c r="AC22" s="288"/>
    </row>
    <row r="23" spans="13:29" ht="13.5" customHeight="1" x14ac:dyDescent="0.2">
      <c r="M23" s="313"/>
      <c r="N23" s="314"/>
      <c r="O23" s="315" t="s">
        <v>0</v>
      </c>
      <c r="P23" s="315" t="s">
        <v>106</v>
      </c>
      <c r="Q23" s="315" t="s">
        <v>107</v>
      </c>
      <c r="R23" s="315" t="s">
        <v>12</v>
      </c>
      <c r="S23" s="288"/>
      <c r="T23" s="288"/>
      <c r="U23" s="288"/>
      <c r="V23" s="288"/>
      <c r="W23" s="288"/>
      <c r="X23" s="288"/>
      <c r="Y23" s="288"/>
      <c r="Z23" s="288"/>
      <c r="AA23" s="288"/>
      <c r="AB23" s="288"/>
      <c r="AC23" s="288"/>
    </row>
    <row r="24" spans="13:29" ht="13.5" customHeight="1" x14ac:dyDescent="0.2">
      <c r="M24" s="1150" t="s">
        <v>110</v>
      </c>
      <c r="N24" s="1151"/>
      <c r="O24" s="308">
        <f>'３-Ⅲ'!C5</f>
        <v>1889</v>
      </c>
      <c r="P24" s="309">
        <f>'３-Ⅲ'!H5</f>
        <v>4</v>
      </c>
      <c r="Q24" s="308">
        <f>'３-Ⅲ'!I5</f>
        <v>82</v>
      </c>
      <c r="R24" s="308">
        <f t="shared" ref="R24:R35" si="1">SUM(P24:Q24)</f>
        <v>86</v>
      </c>
      <c r="S24" s="288"/>
      <c r="T24" s="288"/>
      <c r="U24" s="288"/>
      <c r="V24" s="288"/>
      <c r="W24" s="288"/>
      <c r="X24" s="288"/>
      <c r="Y24" s="288"/>
      <c r="Z24" s="288"/>
      <c r="AA24" s="288"/>
      <c r="AB24" s="288"/>
      <c r="AC24" s="288"/>
    </row>
    <row r="25" spans="13:29" ht="13.5" customHeight="1" x14ac:dyDescent="0.2">
      <c r="M25" s="1152" t="s">
        <v>20</v>
      </c>
      <c r="N25" s="1153"/>
      <c r="O25" s="309">
        <f>'３-Ⅲ'!C9</f>
        <v>277</v>
      </c>
      <c r="P25" s="309">
        <f>'３-Ⅲ'!H9</f>
        <v>2</v>
      </c>
      <c r="Q25" s="308">
        <f>'３-Ⅲ'!I9</f>
        <v>29</v>
      </c>
      <c r="R25" s="308">
        <f t="shared" si="1"/>
        <v>31</v>
      </c>
      <c r="S25" s="288"/>
      <c r="T25" s="288"/>
      <c r="U25" s="288"/>
      <c r="V25" s="288"/>
      <c r="W25" s="288"/>
      <c r="X25" s="288"/>
      <c r="Y25" s="288"/>
      <c r="Z25" s="288"/>
      <c r="AA25" s="288"/>
      <c r="AB25" s="288"/>
      <c r="AC25" s="288"/>
    </row>
    <row r="26" spans="13:29" ht="13.5" customHeight="1" x14ac:dyDescent="0.2">
      <c r="M26" s="1152" t="s">
        <v>72</v>
      </c>
      <c r="N26" s="1153"/>
      <c r="O26" s="309">
        <f>'３-Ⅲ'!C10</f>
        <v>4321</v>
      </c>
      <c r="P26" s="309">
        <f>'３-Ⅲ'!H10</f>
        <v>21</v>
      </c>
      <c r="Q26" s="308">
        <f>'３-Ⅲ'!I10</f>
        <v>290</v>
      </c>
      <c r="R26" s="308">
        <f t="shared" si="1"/>
        <v>311</v>
      </c>
      <c r="S26" s="288"/>
      <c r="T26" s="288"/>
      <c r="U26" s="288"/>
      <c r="V26" s="288"/>
      <c r="W26" s="288"/>
      <c r="X26" s="288"/>
      <c r="Y26" s="288"/>
      <c r="Z26" s="288"/>
      <c r="AA26" s="288"/>
      <c r="AB26" s="288"/>
      <c r="AC26" s="288"/>
    </row>
    <row r="27" spans="13:29" ht="13.5" customHeight="1" x14ac:dyDescent="0.2">
      <c r="M27" s="1152" t="s">
        <v>22</v>
      </c>
      <c r="N27" s="1153"/>
      <c r="O27" s="309">
        <f>'３-Ⅲ'!C11</f>
        <v>596</v>
      </c>
      <c r="P27" s="309">
        <f>'３-Ⅲ'!H11</f>
        <v>10</v>
      </c>
      <c r="Q27" s="308">
        <f>'３-Ⅲ'!I11</f>
        <v>53</v>
      </c>
      <c r="R27" s="308">
        <f t="shared" si="1"/>
        <v>63</v>
      </c>
      <c r="S27" s="288"/>
      <c r="T27" s="288"/>
      <c r="U27" s="288"/>
      <c r="V27" s="288"/>
      <c r="W27" s="288"/>
      <c r="X27" s="288"/>
      <c r="Y27" s="288"/>
      <c r="Z27" s="288"/>
      <c r="AA27" s="288"/>
      <c r="AB27" s="288"/>
      <c r="AC27" s="288"/>
    </row>
    <row r="28" spans="13:29" ht="13.5" customHeight="1" x14ac:dyDescent="0.2">
      <c r="M28" s="1152" t="s">
        <v>24</v>
      </c>
      <c r="N28" s="1153"/>
      <c r="O28" s="309">
        <f>'３-Ⅲ'!C12</f>
        <v>81</v>
      </c>
      <c r="P28" s="309">
        <f>'３-Ⅲ'!H12</f>
        <v>2</v>
      </c>
      <c r="Q28" s="308">
        <f>'３-Ⅲ'!I12</f>
        <v>7</v>
      </c>
      <c r="R28" s="308">
        <f t="shared" si="1"/>
        <v>9</v>
      </c>
      <c r="S28" s="288"/>
      <c r="T28" s="288"/>
      <c r="U28" s="288"/>
      <c r="V28" s="288"/>
      <c r="W28" s="288"/>
      <c r="X28" s="288"/>
      <c r="Y28" s="288"/>
      <c r="Z28" s="288"/>
      <c r="AA28" s="288"/>
      <c r="AB28" s="288"/>
      <c r="AC28" s="288"/>
    </row>
    <row r="29" spans="13:29" ht="13.5" customHeight="1" x14ac:dyDescent="0.2">
      <c r="M29" s="1152" t="s">
        <v>25</v>
      </c>
      <c r="N29" s="1153"/>
      <c r="O29" s="309">
        <f>'３-Ⅲ'!C13</f>
        <v>6</v>
      </c>
      <c r="P29" s="309">
        <f>'３-Ⅲ'!H13</f>
        <v>0</v>
      </c>
      <c r="Q29" s="308">
        <f>'３-Ⅲ'!I13</f>
        <v>0</v>
      </c>
      <c r="R29" s="308">
        <f t="shared" si="1"/>
        <v>0</v>
      </c>
      <c r="S29" s="288"/>
      <c r="T29" s="288"/>
      <c r="U29" s="288"/>
      <c r="V29" s="288"/>
      <c r="W29" s="288"/>
      <c r="X29" s="288"/>
      <c r="Y29" s="288"/>
      <c r="Z29" s="288"/>
      <c r="AA29" s="288"/>
      <c r="AB29" s="288"/>
      <c r="AC29" s="288"/>
    </row>
    <row r="30" spans="13:29" ht="13.5" customHeight="1" x14ac:dyDescent="0.2">
      <c r="M30" s="1152" t="s">
        <v>238</v>
      </c>
      <c r="N30" s="1153"/>
      <c r="O30" s="309">
        <f>'３-Ⅲ'!C14</f>
        <v>11</v>
      </c>
      <c r="P30" s="309">
        <f>'３-Ⅲ'!H14</f>
        <v>0</v>
      </c>
      <c r="Q30" s="308">
        <f>'３-Ⅲ'!I14</f>
        <v>2</v>
      </c>
      <c r="R30" s="308">
        <f t="shared" si="1"/>
        <v>2</v>
      </c>
      <c r="S30" s="288"/>
      <c r="T30" s="288"/>
      <c r="U30" s="288"/>
      <c r="V30" s="288"/>
      <c r="W30" s="288"/>
      <c r="X30" s="288"/>
      <c r="Y30" s="288"/>
      <c r="Z30" s="288"/>
      <c r="AA30" s="288"/>
      <c r="AB30" s="288"/>
      <c r="AC30" s="288"/>
    </row>
    <row r="31" spans="13:29" ht="13.5" customHeight="1" x14ac:dyDescent="0.2">
      <c r="M31" s="1152" t="s">
        <v>239</v>
      </c>
      <c r="N31" s="1153"/>
      <c r="O31" s="309">
        <f>'３-Ⅲ'!C15</f>
        <v>134</v>
      </c>
      <c r="P31" s="309">
        <f>'３-Ⅲ'!H15</f>
        <v>0</v>
      </c>
      <c r="Q31" s="308">
        <f>'３-Ⅲ'!I15</f>
        <v>8</v>
      </c>
      <c r="R31" s="308">
        <f t="shared" si="1"/>
        <v>8</v>
      </c>
      <c r="S31" s="288"/>
      <c r="T31" s="288"/>
      <c r="U31" s="288"/>
      <c r="V31" s="288"/>
      <c r="W31" s="288"/>
      <c r="X31" s="288"/>
      <c r="Y31" s="288"/>
      <c r="Z31" s="288"/>
      <c r="AA31" s="288"/>
      <c r="AB31" s="288"/>
      <c r="AC31" s="288"/>
    </row>
    <row r="32" spans="13:29" ht="13.5" customHeight="1" x14ac:dyDescent="0.2">
      <c r="M32" s="1152" t="s">
        <v>23</v>
      </c>
      <c r="N32" s="1153"/>
      <c r="O32" s="309">
        <f>'３-Ⅲ'!C16</f>
        <v>49</v>
      </c>
      <c r="P32" s="309">
        <f>'３-Ⅲ'!H16</f>
        <v>0</v>
      </c>
      <c r="Q32" s="308">
        <f>'３-Ⅲ'!I16</f>
        <v>5</v>
      </c>
      <c r="R32" s="308">
        <f t="shared" si="1"/>
        <v>5</v>
      </c>
      <c r="S32" s="288"/>
      <c r="T32" s="288"/>
      <c r="U32" s="288"/>
      <c r="V32" s="288"/>
      <c r="W32" s="288"/>
      <c r="X32" s="288"/>
      <c r="Y32" s="288"/>
      <c r="Z32" s="288"/>
      <c r="AA32" s="288"/>
      <c r="AB32" s="288"/>
      <c r="AC32" s="288"/>
    </row>
    <row r="33" spans="13:29" ht="13.5" customHeight="1" x14ac:dyDescent="0.2">
      <c r="M33" s="1152" t="s">
        <v>240</v>
      </c>
      <c r="N33" s="1154"/>
      <c r="O33" s="309">
        <f>'３-Ⅲ'!C17</f>
        <v>13</v>
      </c>
      <c r="P33" s="309">
        <f>'３-Ⅲ'!H17</f>
        <v>0</v>
      </c>
      <c r="Q33" s="308">
        <f>'３-Ⅲ'!I17</f>
        <v>2</v>
      </c>
      <c r="R33" s="308">
        <f t="shared" si="1"/>
        <v>2</v>
      </c>
      <c r="S33" s="288"/>
      <c r="T33" s="288"/>
      <c r="U33" s="288"/>
      <c r="V33" s="288"/>
      <c r="W33" s="288"/>
      <c r="X33" s="288"/>
      <c r="Y33" s="288"/>
      <c r="Z33" s="288"/>
      <c r="AA33" s="288"/>
      <c r="AB33" s="288"/>
      <c r="AC33" s="288"/>
    </row>
    <row r="34" spans="13:29" ht="13.5" customHeight="1" x14ac:dyDescent="0.2">
      <c r="M34" s="1152" t="s">
        <v>113</v>
      </c>
      <c r="N34" s="1155"/>
      <c r="O34" s="309">
        <f>'３-Ⅲ'!C18</f>
        <v>20</v>
      </c>
      <c r="P34" s="309">
        <f>'３-Ⅲ'!H18</f>
        <v>0</v>
      </c>
      <c r="Q34" s="308">
        <f>'３-Ⅲ'!I18</f>
        <v>1</v>
      </c>
      <c r="R34" s="308">
        <f t="shared" si="1"/>
        <v>1</v>
      </c>
      <c r="S34" s="288"/>
      <c r="T34" s="288"/>
      <c r="U34" s="288"/>
      <c r="V34" s="288"/>
      <c r="W34" s="288"/>
      <c r="X34" s="288"/>
      <c r="Y34" s="288"/>
      <c r="Z34" s="288"/>
      <c r="AA34" s="288"/>
      <c r="AB34" s="288"/>
      <c r="AC34" s="288"/>
    </row>
    <row r="35" spans="13:29" ht="13.5" customHeight="1" x14ac:dyDescent="0.2">
      <c r="M35" s="1156" t="s">
        <v>18</v>
      </c>
      <c r="N35" s="1157"/>
      <c r="O35" s="309">
        <f>'３-Ⅲ'!C19</f>
        <v>36</v>
      </c>
      <c r="P35" s="309">
        <f>'３-Ⅲ'!H19</f>
        <v>1</v>
      </c>
      <c r="Q35" s="308">
        <f>'３-Ⅲ'!I19</f>
        <v>6</v>
      </c>
      <c r="R35" s="308">
        <f t="shared" si="1"/>
        <v>7</v>
      </c>
      <c r="S35" s="288"/>
      <c r="T35" s="288"/>
      <c r="U35" s="288"/>
      <c r="V35" s="288"/>
      <c r="W35" s="288"/>
      <c r="X35" s="288"/>
      <c r="Y35" s="288"/>
      <c r="Z35" s="288"/>
      <c r="AA35" s="288"/>
      <c r="AB35" s="288"/>
      <c r="AC35" s="288"/>
    </row>
    <row r="36" spans="13:29" ht="13.5" customHeight="1" x14ac:dyDescent="0.2">
      <c r="M36" s="288"/>
      <c r="N36" s="288"/>
      <c r="O36" s="288"/>
      <c r="P36" s="288"/>
      <c r="Q36" s="288"/>
      <c r="R36" s="288"/>
      <c r="S36" s="288"/>
      <c r="T36" s="288"/>
      <c r="U36" s="288"/>
      <c r="V36" s="288"/>
      <c r="W36" s="288"/>
      <c r="X36" s="288"/>
      <c r="Y36" s="288"/>
      <c r="Z36" s="288"/>
      <c r="AA36" s="288"/>
      <c r="AB36" s="288"/>
      <c r="AC36" s="288"/>
    </row>
    <row r="37" spans="13:29" ht="13.5" customHeight="1" x14ac:dyDescent="0.2">
      <c r="M37" s="288"/>
      <c r="N37" s="288"/>
      <c r="O37" s="288"/>
      <c r="P37" s="288"/>
      <c r="Q37" s="288"/>
      <c r="R37" s="288"/>
      <c r="S37" s="288"/>
      <c r="T37" s="288"/>
      <c r="U37" s="288"/>
      <c r="V37" s="288"/>
      <c r="W37" s="288"/>
      <c r="X37" s="288"/>
      <c r="Y37" s="288"/>
      <c r="Z37" s="288"/>
      <c r="AA37" s="288"/>
      <c r="AB37" s="288"/>
      <c r="AC37" s="288"/>
    </row>
    <row r="38" spans="13:29" ht="13.5" customHeight="1" x14ac:dyDescent="0.2">
      <c r="M38" s="288"/>
      <c r="N38" s="288"/>
      <c r="O38" s="288"/>
      <c r="P38" s="288"/>
      <c r="Q38" s="288"/>
      <c r="R38" s="288"/>
      <c r="S38" s="288"/>
      <c r="T38" s="288"/>
      <c r="U38" s="288"/>
      <c r="V38" s="288"/>
      <c r="W38" s="288"/>
      <c r="X38" s="288"/>
      <c r="Y38" s="288"/>
      <c r="Z38" s="288"/>
      <c r="AA38" s="288"/>
      <c r="AB38" s="288"/>
      <c r="AC38" s="288"/>
    </row>
    <row r="39" spans="13:29" ht="13.5" customHeight="1" x14ac:dyDescent="0.2">
      <c r="M39" s="288"/>
      <c r="N39" s="288"/>
      <c r="O39" s="288"/>
      <c r="P39" s="288"/>
      <c r="Q39" s="288"/>
      <c r="R39" s="288"/>
      <c r="S39" s="288"/>
      <c r="T39" s="288"/>
      <c r="U39" s="288"/>
      <c r="V39" s="288"/>
      <c r="W39" s="288"/>
      <c r="X39" s="288"/>
      <c r="Y39" s="288"/>
      <c r="Z39" s="288"/>
      <c r="AA39" s="288"/>
      <c r="AB39" s="288"/>
      <c r="AC39" s="288"/>
    </row>
    <row r="40" spans="13:29" ht="13.5" customHeight="1" x14ac:dyDescent="0.2">
      <c r="M40" s="288"/>
      <c r="N40" s="288"/>
      <c r="O40" s="288"/>
      <c r="P40" s="288"/>
      <c r="Q40" s="288"/>
      <c r="R40" s="288"/>
      <c r="S40" s="288"/>
      <c r="T40" s="288"/>
      <c r="U40" s="288"/>
      <c r="V40" s="288"/>
      <c r="W40" s="288"/>
      <c r="X40" s="288"/>
      <c r="Y40" s="288"/>
      <c r="Z40" s="288"/>
      <c r="AA40" s="288"/>
      <c r="AB40" s="288"/>
      <c r="AC40" s="288"/>
    </row>
    <row r="41" spans="13:29" ht="13.5" customHeight="1" x14ac:dyDescent="0.2">
      <c r="M41" s="288"/>
      <c r="N41" s="288"/>
      <c r="O41" s="288"/>
      <c r="P41" s="288"/>
      <c r="Q41" s="288"/>
      <c r="R41" s="288"/>
      <c r="S41" s="288"/>
      <c r="T41" s="288"/>
      <c r="U41" s="288"/>
      <c r="V41" s="288"/>
      <c r="W41" s="288"/>
      <c r="X41" s="288"/>
      <c r="Y41" s="288"/>
      <c r="Z41" s="288"/>
      <c r="AA41" s="288"/>
      <c r="AB41" s="288"/>
      <c r="AC41" s="288"/>
    </row>
    <row r="42" spans="13:29" ht="13.5" customHeight="1" x14ac:dyDescent="0.2">
      <c r="M42" s="288"/>
      <c r="N42" s="288"/>
      <c r="O42" s="288"/>
      <c r="P42" s="288"/>
      <c r="Q42" s="288"/>
      <c r="R42" s="288"/>
      <c r="S42" s="288"/>
      <c r="T42" s="288"/>
      <c r="U42" s="288"/>
      <c r="V42" s="288"/>
      <c r="W42" s="288"/>
      <c r="X42" s="288"/>
      <c r="Y42" s="288"/>
      <c r="Z42" s="288"/>
      <c r="AA42" s="288"/>
      <c r="AB42" s="288"/>
      <c r="AC42" s="288"/>
    </row>
    <row r="43" spans="13:29" ht="13.5" customHeight="1" x14ac:dyDescent="0.2">
      <c r="M43" s="288"/>
      <c r="N43" s="288"/>
      <c r="O43" s="288"/>
      <c r="P43" s="288"/>
      <c r="Q43" s="288"/>
      <c r="R43" s="288"/>
      <c r="S43" s="288"/>
      <c r="T43" s="288"/>
      <c r="U43" s="288"/>
      <c r="V43" s="288"/>
      <c r="W43" s="288"/>
      <c r="X43" s="288"/>
      <c r="Y43" s="288"/>
      <c r="Z43" s="288"/>
      <c r="AA43" s="288"/>
      <c r="AB43" s="288"/>
      <c r="AC43" s="288"/>
    </row>
    <row r="44" spans="13:29" ht="13.5" customHeight="1" x14ac:dyDescent="0.2">
      <c r="M44" s="288"/>
      <c r="N44" s="288"/>
      <c r="O44" s="288"/>
      <c r="P44" s="288"/>
      <c r="Q44" s="288"/>
      <c r="R44" s="288"/>
      <c r="S44" s="288"/>
      <c r="T44" s="288"/>
      <c r="U44" s="288"/>
      <c r="V44" s="288"/>
      <c r="W44" s="288"/>
      <c r="X44" s="288"/>
      <c r="Y44" s="288"/>
      <c r="Z44" s="288"/>
      <c r="AA44" s="288"/>
      <c r="AB44" s="288"/>
      <c r="AC44" s="288"/>
    </row>
    <row r="45" spans="13:29" ht="13.5" customHeight="1" x14ac:dyDescent="0.2">
      <c r="M45" s="316"/>
      <c r="N45" s="317"/>
      <c r="O45" s="318" t="s">
        <v>0</v>
      </c>
      <c r="P45" s="319" t="s">
        <v>327</v>
      </c>
      <c r="Q45" s="320"/>
      <c r="R45" s="321"/>
      <c r="S45" s="288"/>
      <c r="T45" s="288"/>
      <c r="U45" s="288"/>
      <c r="V45" s="288"/>
      <c r="W45" s="288"/>
      <c r="X45" s="288"/>
      <c r="Y45" s="288"/>
      <c r="Z45" s="288"/>
      <c r="AA45" s="288"/>
      <c r="AB45" s="288"/>
      <c r="AC45" s="288"/>
    </row>
    <row r="46" spans="13:29" ht="13.5" customHeight="1" x14ac:dyDescent="0.2">
      <c r="M46" s="1150" t="s">
        <v>110</v>
      </c>
      <c r="N46" s="1151"/>
      <c r="O46" s="308">
        <f>'４-Ⅲ'!D6</f>
        <v>3893</v>
      </c>
      <c r="P46" s="309">
        <f>'４-Ⅲ'!D27</f>
        <v>262</v>
      </c>
      <c r="Q46" s="322"/>
      <c r="R46" s="323"/>
      <c r="S46" s="288"/>
      <c r="T46" s="288"/>
      <c r="U46" s="288"/>
      <c r="V46" s="288"/>
      <c r="W46" s="288"/>
      <c r="X46" s="288"/>
      <c r="Y46" s="288"/>
      <c r="Z46" s="288"/>
      <c r="AA46" s="288"/>
      <c r="AB46" s="288"/>
      <c r="AC46" s="288"/>
    </row>
    <row r="47" spans="13:29" ht="13.5" customHeight="1" x14ac:dyDescent="0.2">
      <c r="M47" s="1152" t="s">
        <v>20</v>
      </c>
      <c r="N47" s="1153"/>
      <c r="O47" s="309">
        <f>'４-Ⅲ'!D10</f>
        <v>315</v>
      </c>
      <c r="P47" s="309">
        <f>'４-Ⅲ'!D31</f>
        <v>74</v>
      </c>
      <c r="Q47" s="322"/>
      <c r="R47" s="323"/>
      <c r="S47" s="288"/>
      <c r="T47" s="288"/>
      <c r="U47" s="288"/>
      <c r="V47" s="288"/>
      <c r="W47" s="288"/>
      <c r="X47" s="288"/>
      <c r="Y47" s="288"/>
      <c r="Z47" s="288"/>
      <c r="AA47" s="288"/>
      <c r="AB47" s="288"/>
      <c r="AC47" s="288"/>
    </row>
    <row r="48" spans="13:29" ht="13.5" customHeight="1" x14ac:dyDescent="0.2">
      <c r="M48" s="1152" t="s">
        <v>72</v>
      </c>
      <c r="N48" s="1153"/>
      <c r="O48" s="309">
        <f>'４-Ⅲ'!D11</f>
        <v>3038</v>
      </c>
      <c r="P48" s="309">
        <f>'４-Ⅲ'!D32</f>
        <v>296</v>
      </c>
      <c r="Q48" s="322"/>
      <c r="R48" s="323"/>
      <c r="S48" s="288"/>
      <c r="T48" s="288"/>
      <c r="U48" s="288"/>
      <c r="V48" s="288"/>
      <c r="W48" s="288"/>
      <c r="X48" s="288"/>
      <c r="Y48" s="288"/>
      <c r="Z48" s="288"/>
      <c r="AA48" s="288"/>
      <c r="AB48" s="288"/>
      <c r="AC48" s="288"/>
    </row>
    <row r="49" spans="13:29" ht="13.5" customHeight="1" x14ac:dyDescent="0.2">
      <c r="M49" s="1152" t="s">
        <v>22</v>
      </c>
      <c r="N49" s="1153"/>
      <c r="O49" s="309">
        <f>'４-Ⅲ'!D12</f>
        <v>1018</v>
      </c>
      <c r="P49" s="309">
        <f>'４-Ⅲ'!D33</f>
        <v>146</v>
      </c>
      <c r="Q49" s="322"/>
      <c r="R49" s="323"/>
      <c r="S49" s="288"/>
      <c r="T49" s="288"/>
      <c r="U49" s="288"/>
      <c r="V49" s="288"/>
      <c r="W49" s="288"/>
      <c r="X49" s="288"/>
      <c r="Y49" s="288"/>
      <c r="Z49" s="288"/>
      <c r="AA49" s="288"/>
      <c r="AB49" s="288"/>
      <c r="AC49" s="288"/>
    </row>
    <row r="50" spans="13:29" ht="13.5" customHeight="1" x14ac:dyDescent="0.2">
      <c r="M50" s="1152" t="s">
        <v>24</v>
      </c>
      <c r="N50" s="1153"/>
      <c r="O50" s="309">
        <f>'４-Ⅲ'!D13</f>
        <v>97</v>
      </c>
      <c r="P50" s="309">
        <f>'４-Ⅲ'!D34</f>
        <v>11</v>
      </c>
      <c r="Q50" s="322"/>
      <c r="R50" s="323"/>
      <c r="S50" s="288"/>
      <c r="T50" s="288"/>
      <c r="U50" s="288"/>
      <c r="V50" s="288"/>
      <c r="W50" s="288"/>
      <c r="X50" s="288"/>
      <c r="Y50" s="288"/>
      <c r="Z50" s="288"/>
      <c r="AA50" s="288"/>
      <c r="AB50" s="288"/>
      <c r="AC50" s="288"/>
    </row>
    <row r="51" spans="13:29" ht="13.5" customHeight="1" x14ac:dyDescent="0.2">
      <c r="M51" s="1152" t="s">
        <v>25</v>
      </c>
      <c r="N51" s="1153"/>
      <c r="O51" s="309">
        <f>'４-Ⅲ'!D14</f>
        <v>5</v>
      </c>
      <c r="P51" s="309">
        <f>'４-Ⅲ'!D35</f>
        <v>0</v>
      </c>
      <c r="Q51" s="322"/>
      <c r="R51" s="323"/>
      <c r="S51" s="288"/>
      <c r="T51" s="288"/>
      <c r="U51" s="288"/>
      <c r="V51" s="288"/>
      <c r="W51" s="288"/>
      <c r="X51" s="288"/>
      <c r="Y51" s="288"/>
      <c r="Z51" s="288"/>
      <c r="AA51" s="288"/>
      <c r="AB51" s="288"/>
      <c r="AC51" s="288"/>
    </row>
    <row r="52" spans="13:29" ht="13.5" customHeight="1" x14ac:dyDescent="0.2">
      <c r="M52" s="1152" t="s">
        <v>238</v>
      </c>
      <c r="N52" s="1153"/>
      <c r="O52" s="309">
        <f>'４-Ⅲ'!D15</f>
        <v>6</v>
      </c>
      <c r="P52" s="309">
        <f>'４-Ⅲ'!D36</f>
        <v>2</v>
      </c>
      <c r="Q52" s="322"/>
      <c r="R52" s="323"/>
      <c r="S52" s="288"/>
      <c r="T52" s="288"/>
      <c r="U52" s="288"/>
      <c r="V52" s="288"/>
      <c r="W52" s="288"/>
      <c r="X52" s="288"/>
      <c r="Y52" s="288"/>
      <c r="Z52" s="288"/>
      <c r="AA52" s="288"/>
      <c r="AB52" s="288"/>
      <c r="AC52" s="288"/>
    </row>
    <row r="53" spans="13:29" ht="13.5" customHeight="1" x14ac:dyDescent="0.2">
      <c r="M53" s="1152" t="s">
        <v>239</v>
      </c>
      <c r="N53" s="1153"/>
      <c r="O53" s="309">
        <f>'４-Ⅲ'!D16</f>
        <v>58</v>
      </c>
      <c r="P53" s="309">
        <f>'４-Ⅲ'!D37</f>
        <v>3</v>
      </c>
      <c r="Q53" s="322"/>
      <c r="R53" s="323"/>
      <c r="S53" s="288"/>
      <c r="T53" s="288"/>
      <c r="U53" s="288"/>
      <c r="V53" s="288"/>
      <c r="W53" s="288"/>
      <c r="X53" s="288"/>
      <c r="Y53" s="288"/>
      <c r="Z53" s="288"/>
      <c r="AA53" s="288"/>
      <c r="AB53" s="288"/>
      <c r="AC53" s="288"/>
    </row>
    <row r="54" spans="13:29" ht="13.5" customHeight="1" x14ac:dyDescent="0.2">
      <c r="M54" s="1152" t="s">
        <v>23</v>
      </c>
      <c r="N54" s="1153"/>
      <c r="O54" s="309">
        <f>'４-Ⅲ'!D17</f>
        <v>10</v>
      </c>
      <c r="P54" s="309">
        <f>'４-Ⅲ'!D38</f>
        <v>0</v>
      </c>
      <c r="Q54" s="322"/>
      <c r="R54" s="323"/>
      <c r="S54" s="288"/>
      <c r="T54" s="288"/>
      <c r="U54" s="288"/>
      <c r="V54" s="288"/>
      <c r="W54" s="288"/>
      <c r="X54" s="288"/>
      <c r="Y54" s="288"/>
      <c r="Z54" s="288"/>
      <c r="AA54" s="288"/>
      <c r="AB54" s="288"/>
      <c r="AC54" s="288"/>
    </row>
    <row r="55" spans="13:29" ht="13.5" customHeight="1" x14ac:dyDescent="0.2">
      <c r="M55" s="1152" t="s">
        <v>240</v>
      </c>
      <c r="N55" s="1154"/>
      <c r="O55" s="309">
        <f>'４-Ⅲ'!D18</f>
        <v>15</v>
      </c>
      <c r="P55" s="309">
        <f>'４-Ⅲ'!D39</f>
        <v>2</v>
      </c>
      <c r="Q55" s="322"/>
      <c r="R55" s="323"/>
      <c r="S55" s="288"/>
      <c r="T55" s="288"/>
      <c r="U55" s="288"/>
      <c r="V55" s="288"/>
      <c r="W55" s="288"/>
      <c r="X55" s="288"/>
      <c r="Y55" s="288"/>
      <c r="Z55" s="288"/>
      <c r="AA55" s="288"/>
      <c r="AB55" s="288"/>
      <c r="AC55" s="288"/>
    </row>
    <row r="56" spans="13:29" ht="13.5" customHeight="1" x14ac:dyDescent="0.2">
      <c r="M56" s="1152" t="s">
        <v>113</v>
      </c>
      <c r="N56" s="1155"/>
      <c r="O56" s="309">
        <f>'４-Ⅲ'!D19</f>
        <v>12</v>
      </c>
      <c r="P56" s="309">
        <f>'４-Ⅲ'!D40</f>
        <v>1</v>
      </c>
      <c r="Q56" s="322"/>
      <c r="R56" s="323"/>
      <c r="S56" s="288"/>
      <c r="T56" s="288"/>
      <c r="U56" s="288"/>
      <c r="V56" s="288"/>
      <c r="W56" s="288"/>
      <c r="X56" s="288"/>
      <c r="Y56" s="288"/>
      <c r="Z56" s="288"/>
      <c r="AA56" s="288"/>
      <c r="AB56" s="288"/>
      <c r="AC56" s="288"/>
    </row>
    <row r="57" spans="13:29" ht="13.5" customHeight="1" x14ac:dyDescent="0.2">
      <c r="M57" s="1156" t="s">
        <v>18</v>
      </c>
      <c r="N57" s="1157"/>
      <c r="O57" s="309">
        <f>'４-Ⅲ'!D20</f>
        <v>48</v>
      </c>
      <c r="P57" s="309">
        <f>'４-Ⅲ'!D41</f>
        <v>7</v>
      </c>
      <c r="Q57" s="322"/>
      <c r="R57" s="323"/>
      <c r="S57" s="288"/>
      <c r="T57" s="288"/>
      <c r="U57" s="288"/>
      <c r="V57" s="288"/>
      <c r="W57" s="288"/>
      <c r="X57" s="288"/>
      <c r="Y57" s="288"/>
      <c r="Z57" s="288"/>
      <c r="AA57" s="288"/>
      <c r="AB57" s="288"/>
      <c r="AC57" s="288"/>
    </row>
    <row r="58" spans="13:29" ht="13.5" customHeight="1" x14ac:dyDescent="0.2">
      <c r="M58" s="288"/>
      <c r="N58" s="288"/>
      <c r="O58" s="288"/>
      <c r="P58" s="288"/>
      <c r="Q58" s="288"/>
      <c r="R58" s="288"/>
      <c r="S58" s="288"/>
      <c r="T58" s="288"/>
      <c r="U58" s="288"/>
      <c r="V58" s="288"/>
      <c r="W58" s="288"/>
      <c r="X58" s="288"/>
      <c r="Y58" s="288"/>
      <c r="Z58" s="288"/>
      <c r="AA58" s="288"/>
      <c r="AB58" s="288"/>
      <c r="AC58" s="288"/>
    </row>
  </sheetData>
  <mergeCells count="36">
    <mergeCell ref="M56:N56"/>
    <mergeCell ref="M57:N57"/>
    <mergeCell ref="M50:N50"/>
    <mergeCell ref="M51:N51"/>
    <mergeCell ref="M52:N52"/>
    <mergeCell ref="M53:N53"/>
    <mergeCell ref="M54:N54"/>
    <mergeCell ref="M55:N55"/>
    <mergeCell ref="M49:N49"/>
    <mergeCell ref="M28:N28"/>
    <mergeCell ref="M29:N29"/>
    <mergeCell ref="M30:N30"/>
    <mergeCell ref="M31:N31"/>
    <mergeCell ref="M32:N32"/>
    <mergeCell ref="M33:N33"/>
    <mergeCell ref="M34:N34"/>
    <mergeCell ref="M35:N35"/>
    <mergeCell ref="M46:N46"/>
    <mergeCell ref="M47:N47"/>
    <mergeCell ref="M48:N48"/>
    <mergeCell ref="M5:N5"/>
    <mergeCell ref="M27:N27"/>
    <mergeCell ref="M6:N6"/>
    <mergeCell ref="M7:N7"/>
    <mergeCell ref="M8:N8"/>
    <mergeCell ref="M9:N9"/>
    <mergeCell ref="M10:N10"/>
    <mergeCell ref="M11:N11"/>
    <mergeCell ref="M14:N14"/>
    <mergeCell ref="M15:N15"/>
    <mergeCell ref="M16:N16"/>
    <mergeCell ref="M12:N12"/>
    <mergeCell ref="M13:N13"/>
    <mergeCell ref="M24:N24"/>
    <mergeCell ref="M25:N25"/>
    <mergeCell ref="M26:N26"/>
  </mergeCells>
  <phoneticPr fontId="2"/>
  <pageMargins left="0.44270833333333331" right="0.41666666666666669" top="0.60606060606060608" bottom="0.51136363636363635" header="0.3" footer="0.3"/>
  <pageSetup paperSize="9" scale="99" orientation="portrait" r:id="rId1"/>
  <headerFooter>
    <oddHeader>&amp;C&amp;"游ゴシック,太字"&amp;14R7年度　大阪府の在院患者の状況&amp;R&amp;"游ゴシック,標準"&amp;10R7.6.30時点</oddHeader>
    <oddFooter>&amp;R&amp;"メイリオ,レギュラー"&amp;10&amp;F</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27">
    <tabColor theme="7" tint="-0.249977111117893"/>
  </sheetPr>
  <dimension ref="L1:Q12"/>
  <sheetViews>
    <sheetView view="pageBreakPreview" zoomScale="90" zoomScaleNormal="100" zoomScaleSheetLayoutView="90" zoomScalePageLayoutView="110" workbookViewId="0"/>
  </sheetViews>
  <sheetFormatPr defaultColWidth="9" defaultRowHeight="17.399999999999999" x14ac:dyDescent="0.2"/>
  <cols>
    <col min="1" max="11" width="9.44140625" style="1" customWidth="1"/>
    <col min="12" max="12" width="26" style="1" hidden="1" customWidth="1"/>
    <col min="13" max="17" width="11.6640625" style="1" hidden="1" customWidth="1"/>
    <col min="18" max="16384" width="9" style="1"/>
  </cols>
  <sheetData>
    <row r="1" spans="12:17" x14ac:dyDescent="0.2">
      <c r="L1" s="9" t="s">
        <v>306</v>
      </c>
      <c r="M1" s="9"/>
      <c r="N1" s="9"/>
      <c r="O1" s="9"/>
      <c r="P1" s="9"/>
      <c r="Q1" s="9"/>
    </row>
    <row r="2" spans="12:17" x14ac:dyDescent="0.2">
      <c r="L2" s="9"/>
      <c r="M2" s="324" t="s">
        <v>0</v>
      </c>
      <c r="N2" s="324"/>
      <c r="O2" s="324"/>
      <c r="P2" s="325" t="s">
        <v>1</v>
      </c>
      <c r="Q2" s="10"/>
    </row>
    <row r="3" spans="12:17" s="92" customFormat="1" x14ac:dyDescent="0.2">
      <c r="L3" s="326" t="s">
        <v>259</v>
      </c>
      <c r="M3" s="327" t="s">
        <v>145</v>
      </c>
      <c r="N3" s="328" t="s">
        <v>81</v>
      </c>
      <c r="O3" s="328" t="s">
        <v>61</v>
      </c>
      <c r="P3" s="327" t="s">
        <v>145</v>
      </c>
      <c r="Q3" s="328" t="s">
        <v>81</v>
      </c>
    </row>
    <row r="4" spans="12:17" x14ac:dyDescent="0.2">
      <c r="L4" s="329" t="s">
        <v>68</v>
      </c>
      <c r="M4" s="330">
        <f>O4-N4</f>
        <v>2823</v>
      </c>
      <c r="N4" s="330">
        <f>'４-Ⅳ'!B23</f>
        <v>3751</v>
      </c>
      <c r="O4" s="330">
        <f>'２-Ⅳ'!B22</f>
        <v>6574</v>
      </c>
      <c r="P4" s="331">
        <f>IFERROR(M4/$O4,0)</f>
        <v>0.42941892303011864</v>
      </c>
      <c r="Q4" s="331">
        <f>IFERROR(N4/$O4,)</f>
        <v>0.57058107696988136</v>
      </c>
    </row>
    <row r="5" spans="12:17" x14ac:dyDescent="0.2">
      <c r="L5" s="329" t="s">
        <v>303</v>
      </c>
      <c r="M5" s="330">
        <f t="shared" ref="M5:M7" si="0">O5-N5</f>
        <v>1146</v>
      </c>
      <c r="N5" s="330">
        <f>'４-Ⅳ'!B24</f>
        <v>2637</v>
      </c>
      <c r="O5" s="330">
        <f>'２-Ⅳ'!B23</f>
        <v>3783</v>
      </c>
      <c r="P5" s="331">
        <f>IFERROR(M5/$O5,0)</f>
        <v>0.302934179222839</v>
      </c>
      <c r="Q5" s="331">
        <f t="shared" ref="Q5:Q12" si="1">IFERROR(N5/$O5,)</f>
        <v>0.69706582077716095</v>
      </c>
    </row>
    <row r="6" spans="12:17" x14ac:dyDescent="0.2">
      <c r="L6" s="329" t="s">
        <v>304</v>
      </c>
      <c r="M6" s="330">
        <f t="shared" si="0"/>
        <v>697</v>
      </c>
      <c r="N6" s="330">
        <f>'４-Ⅳ'!B25</f>
        <v>1045</v>
      </c>
      <c r="O6" s="330">
        <f>'２-Ⅳ'!B24</f>
        <v>1742</v>
      </c>
      <c r="P6" s="331">
        <f t="shared" ref="P6:P12" si="2">IFERROR(M6/$O6,0)</f>
        <v>0.40011481056257175</v>
      </c>
      <c r="Q6" s="331">
        <f t="shared" si="1"/>
        <v>0.59988518943742819</v>
      </c>
    </row>
    <row r="7" spans="12:17" x14ac:dyDescent="0.2">
      <c r="L7" s="329" t="s">
        <v>71</v>
      </c>
      <c r="M7" s="330">
        <f t="shared" si="0"/>
        <v>825</v>
      </c>
      <c r="N7" s="330">
        <f>'４-Ⅳ'!B26</f>
        <v>1083</v>
      </c>
      <c r="O7" s="330">
        <f>'２-Ⅳ'!B25</f>
        <v>1908</v>
      </c>
      <c r="P7" s="331">
        <f t="shared" si="2"/>
        <v>0.43238993710691825</v>
      </c>
      <c r="Q7" s="331">
        <f t="shared" si="1"/>
        <v>0.5676100628930818</v>
      </c>
    </row>
    <row r="8" spans="12:17" x14ac:dyDescent="0.2">
      <c r="L8" s="328" t="s">
        <v>305</v>
      </c>
      <c r="M8" s="327" t="s">
        <v>145</v>
      </c>
      <c r="N8" s="328" t="s">
        <v>81</v>
      </c>
      <c r="O8" s="328" t="s">
        <v>61</v>
      </c>
      <c r="P8" s="327" t="s">
        <v>145</v>
      </c>
      <c r="Q8" s="328" t="s">
        <v>81</v>
      </c>
    </row>
    <row r="9" spans="12:17" x14ac:dyDescent="0.2">
      <c r="L9" s="329" t="s">
        <v>68</v>
      </c>
      <c r="M9" s="330">
        <f>O9-N9</f>
        <v>659</v>
      </c>
      <c r="N9" s="330">
        <f>'４-Ⅳ'!D23</f>
        <v>477</v>
      </c>
      <c r="O9" s="330">
        <f>'２-Ⅳ'!H22</f>
        <v>1136</v>
      </c>
      <c r="P9" s="331">
        <f>IFERROR(M9/$O9,0)</f>
        <v>0.58010563380281688</v>
      </c>
      <c r="Q9" s="331">
        <f t="shared" si="1"/>
        <v>0.41989436619718312</v>
      </c>
    </row>
    <row r="10" spans="12:17" x14ac:dyDescent="0.2">
      <c r="L10" s="329" t="s">
        <v>303</v>
      </c>
      <c r="M10" s="330">
        <f t="shared" ref="M10:M12" si="3">O10-N10</f>
        <v>97</v>
      </c>
      <c r="N10" s="330">
        <f>'４-Ⅳ'!D24</f>
        <v>185</v>
      </c>
      <c r="O10" s="330">
        <f>'２-Ⅳ'!H23</f>
        <v>282</v>
      </c>
      <c r="P10" s="331">
        <f t="shared" si="2"/>
        <v>0.34397163120567376</v>
      </c>
      <c r="Q10" s="331">
        <f t="shared" si="1"/>
        <v>0.65602836879432624</v>
      </c>
    </row>
    <row r="11" spans="12:17" x14ac:dyDescent="0.2">
      <c r="L11" s="329" t="s">
        <v>304</v>
      </c>
      <c r="M11" s="330">
        <f t="shared" si="3"/>
        <v>57</v>
      </c>
      <c r="N11" s="330">
        <f>'４-Ⅳ'!D25</f>
        <v>70</v>
      </c>
      <c r="O11" s="330">
        <f>'２-Ⅳ'!H24</f>
        <v>127</v>
      </c>
      <c r="P11" s="331">
        <f t="shared" si="2"/>
        <v>0.44881889763779526</v>
      </c>
      <c r="Q11" s="331">
        <f t="shared" si="1"/>
        <v>0.55118110236220474</v>
      </c>
    </row>
    <row r="12" spans="12:17" x14ac:dyDescent="0.2">
      <c r="L12" s="329" t="s">
        <v>71</v>
      </c>
      <c r="M12" s="330">
        <f t="shared" si="3"/>
        <v>44</v>
      </c>
      <c r="N12" s="330">
        <f>'４-Ⅳ'!D26</f>
        <v>72</v>
      </c>
      <c r="O12" s="330">
        <f>'２-Ⅳ'!H25</f>
        <v>116</v>
      </c>
      <c r="P12" s="331">
        <f t="shared" si="2"/>
        <v>0.37931034482758619</v>
      </c>
      <c r="Q12" s="331">
        <f t="shared" si="1"/>
        <v>0.62068965517241381</v>
      </c>
    </row>
  </sheetData>
  <phoneticPr fontId="2"/>
  <pageMargins left="0.44270833333333331" right="0.41666666666666669" top="0.60606060606060608" bottom="0.51136363636363635" header="0.3" footer="0.3"/>
  <pageSetup paperSize="9" orientation="portrait" r:id="rId1"/>
  <headerFooter>
    <oddHeader>&amp;C&amp;"游ゴシック,太字"&amp;14R7年度　大阪府の在院患者の状況&amp;R&amp;"游ゴシック,標準"&amp;10R7.6.30時点</oddHeader>
    <oddFooter>&amp;R&amp;"メイリオ,レギュラー"&amp;10&amp;F</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1">
    <tabColor theme="7" tint="-0.249977111117893"/>
  </sheetPr>
  <dimension ref="L1:Q24"/>
  <sheetViews>
    <sheetView view="pageBreakPreview" zoomScaleNormal="100" zoomScaleSheetLayoutView="100" zoomScalePageLayoutView="110" workbookViewId="0"/>
  </sheetViews>
  <sheetFormatPr defaultColWidth="9" defaultRowHeight="17.399999999999999" x14ac:dyDescent="0.2"/>
  <cols>
    <col min="1" max="11" width="9.44140625" style="1" customWidth="1"/>
    <col min="12" max="12" width="26" style="1" hidden="1" customWidth="1"/>
    <col min="13" max="17" width="11.6640625" style="1" hidden="1" customWidth="1"/>
    <col min="18" max="16384" width="9" style="1"/>
  </cols>
  <sheetData>
    <row r="1" spans="12:17" x14ac:dyDescent="0.2">
      <c r="L1" s="9" t="s">
        <v>306</v>
      </c>
      <c r="M1" s="9"/>
      <c r="N1" s="9"/>
      <c r="O1" s="9"/>
      <c r="P1" s="9"/>
      <c r="Q1" s="9"/>
    </row>
    <row r="2" spans="12:17" x14ac:dyDescent="0.2">
      <c r="L2" s="9"/>
      <c r="M2" s="324" t="s">
        <v>0</v>
      </c>
      <c r="N2" s="324"/>
      <c r="O2" s="324"/>
      <c r="P2" s="325" t="s">
        <v>1</v>
      </c>
      <c r="Q2" s="10"/>
    </row>
    <row r="3" spans="12:17" s="92" customFormat="1" x14ac:dyDescent="0.2">
      <c r="L3" s="326" t="s">
        <v>341</v>
      </c>
      <c r="M3" s="327" t="s">
        <v>284</v>
      </c>
      <c r="N3" s="345" t="s">
        <v>285</v>
      </c>
      <c r="O3" s="345" t="s">
        <v>342</v>
      </c>
      <c r="P3" s="327" t="s">
        <v>284</v>
      </c>
      <c r="Q3" s="345" t="s">
        <v>285</v>
      </c>
    </row>
    <row r="4" spans="12:17" x14ac:dyDescent="0.2">
      <c r="L4" s="329" t="s">
        <v>335</v>
      </c>
      <c r="M4" s="330">
        <f>O4-N4</f>
        <v>2823</v>
      </c>
      <c r="N4" s="330">
        <f>'４-Ⅳ'!B23</f>
        <v>3751</v>
      </c>
      <c r="O4" s="330">
        <f>'２-Ⅳ'!B22</f>
        <v>6574</v>
      </c>
      <c r="P4" s="331">
        <f>IFERROR(M4/$O4,0)</f>
        <v>0.42941892303011864</v>
      </c>
      <c r="Q4" s="331">
        <f>IFERROR(N4/$O4,)</f>
        <v>0.57058107696988136</v>
      </c>
    </row>
    <row r="5" spans="12:17" x14ac:dyDescent="0.2">
      <c r="L5" s="329" t="s">
        <v>336</v>
      </c>
      <c r="M5" s="330">
        <f>O5-N5</f>
        <v>1146</v>
      </c>
      <c r="N5" s="330">
        <f>'４-Ⅳ'!B24</f>
        <v>2637</v>
      </c>
      <c r="O5" s="330">
        <f>'２-Ⅳ'!B23</f>
        <v>3783</v>
      </c>
      <c r="P5" s="331">
        <f>IFERROR(M5/$O5,0)</f>
        <v>0.302934179222839</v>
      </c>
      <c r="Q5" s="331">
        <f>IFERROR(N5/$O5,)</f>
        <v>0.69706582077716095</v>
      </c>
    </row>
    <row r="6" spans="12:17" x14ac:dyDescent="0.2">
      <c r="L6" s="329" t="s">
        <v>337</v>
      </c>
      <c r="M6" s="330">
        <f>O6-N6</f>
        <v>697</v>
      </c>
      <c r="N6" s="330">
        <f>'４-Ⅳ'!B25</f>
        <v>1045</v>
      </c>
      <c r="O6" s="330">
        <f>'２-Ⅳ'!B24</f>
        <v>1742</v>
      </c>
      <c r="P6" s="331">
        <f>IFERROR(M6/$O6,0)</f>
        <v>0.40011481056257175</v>
      </c>
      <c r="Q6" s="331">
        <f>IFERROR(N6/$O6,)</f>
        <v>0.59988518943742819</v>
      </c>
    </row>
    <row r="7" spans="12:17" x14ac:dyDescent="0.2">
      <c r="L7" s="329" t="s">
        <v>338</v>
      </c>
      <c r="M7" s="330">
        <f>O7-N7</f>
        <v>825</v>
      </c>
      <c r="N7" s="330">
        <f>'４-Ⅳ'!B26</f>
        <v>1083</v>
      </c>
      <c r="O7" s="330">
        <f>'２-Ⅳ'!B25</f>
        <v>1908</v>
      </c>
      <c r="P7" s="331">
        <f>IFERROR(M7/$O7,0)</f>
        <v>0.43238993710691825</v>
      </c>
      <c r="Q7" s="331">
        <f>IFERROR(N7/$O7,)</f>
        <v>0.5676100628930818</v>
      </c>
    </row>
    <row r="8" spans="12:17" x14ac:dyDescent="0.2">
      <c r="L8" s="345" t="s">
        <v>343</v>
      </c>
      <c r="M8" s="327" t="s">
        <v>284</v>
      </c>
      <c r="N8" s="345" t="s">
        <v>285</v>
      </c>
      <c r="O8" s="345" t="s">
        <v>342</v>
      </c>
      <c r="P8" s="327" t="s">
        <v>284</v>
      </c>
      <c r="Q8" s="345" t="s">
        <v>285</v>
      </c>
    </row>
    <row r="9" spans="12:17" x14ac:dyDescent="0.2">
      <c r="L9" s="329" t="s">
        <v>335</v>
      </c>
      <c r="M9" s="330">
        <f>O9-N9</f>
        <v>659</v>
      </c>
      <c r="N9" s="330">
        <f>'４-Ⅳ'!D23</f>
        <v>477</v>
      </c>
      <c r="O9" s="330">
        <f>'２-Ⅳ'!H22</f>
        <v>1136</v>
      </c>
      <c r="P9" s="331">
        <f>IFERROR(M9/$O9,0)</f>
        <v>0.58010563380281688</v>
      </c>
      <c r="Q9" s="331">
        <f>IFERROR(N9/$O9,)</f>
        <v>0.41989436619718312</v>
      </c>
    </row>
    <row r="10" spans="12:17" x14ac:dyDescent="0.2">
      <c r="L10" s="329" t="s">
        <v>336</v>
      </c>
      <c r="M10" s="330">
        <f>O10-N10</f>
        <v>97</v>
      </c>
      <c r="N10" s="330">
        <f>'４-Ⅳ'!D24</f>
        <v>185</v>
      </c>
      <c r="O10" s="330">
        <f>'２-Ⅳ'!H23</f>
        <v>282</v>
      </c>
      <c r="P10" s="331">
        <f>IFERROR(M10/$O10,0)</f>
        <v>0.34397163120567376</v>
      </c>
      <c r="Q10" s="331">
        <f>IFERROR(N10/$O10,)</f>
        <v>0.65602836879432624</v>
      </c>
    </row>
    <row r="11" spans="12:17" x14ac:dyDescent="0.2">
      <c r="L11" s="329" t="s">
        <v>337</v>
      </c>
      <c r="M11" s="330">
        <f>O11-N11</f>
        <v>57</v>
      </c>
      <c r="N11" s="330">
        <f>'４-Ⅳ'!D25</f>
        <v>70</v>
      </c>
      <c r="O11" s="330">
        <f>'２-Ⅳ'!H24</f>
        <v>127</v>
      </c>
      <c r="P11" s="331">
        <f>IFERROR(M11/$O11,0)</f>
        <v>0.44881889763779526</v>
      </c>
      <c r="Q11" s="331">
        <f>IFERROR(N11/$O11,)</f>
        <v>0.55118110236220474</v>
      </c>
    </row>
    <row r="12" spans="12:17" x14ac:dyDescent="0.2">
      <c r="L12" s="329" t="s">
        <v>338</v>
      </c>
      <c r="M12" s="330">
        <f>O12-N12</f>
        <v>44</v>
      </c>
      <c r="N12" s="330">
        <f>'４-Ⅳ'!D26</f>
        <v>72</v>
      </c>
      <c r="O12" s="330">
        <f>'２-Ⅳ'!H25</f>
        <v>116</v>
      </c>
      <c r="P12" s="331">
        <f>IFERROR(M12/$O12,0)</f>
        <v>0.37931034482758619</v>
      </c>
      <c r="Q12" s="331">
        <f>IFERROR(N12/$O12,)</f>
        <v>0.62068965517241381</v>
      </c>
    </row>
    <row r="17" spans="12:17" x14ac:dyDescent="0.2">
      <c r="L17" s="9" t="s">
        <v>306</v>
      </c>
      <c r="M17" s="9"/>
      <c r="N17" s="9"/>
      <c r="O17" s="9"/>
      <c r="P17" s="9"/>
      <c r="Q17" s="9"/>
    </row>
    <row r="18" spans="12:17" x14ac:dyDescent="0.2">
      <c r="L18" s="9"/>
      <c r="M18" s="324" t="s">
        <v>0</v>
      </c>
      <c r="N18" s="324"/>
      <c r="O18" s="324"/>
      <c r="P18" s="325" t="s">
        <v>1</v>
      </c>
      <c r="Q18" s="10"/>
    </row>
    <row r="19" spans="12:17" x14ac:dyDescent="0.2">
      <c r="L19" s="326" t="s">
        <v>259</v>
      </c>
      <c r="M19" s="327" t="s">
        <v>145</v>
      </c>
      <c r="N19" s="345" t="s">
        <v>81</v>
      </c>
      <c r="O19" s="345" t="s">
        <v>61</v>
      </c>
      <c r="P19" s="327" t="s">
        <v>145</v>
      </c>
      <c r="Q19" s="345" t="s">
        <v>81</v>
      </c>
    </row>
    <row r="20" spans="12:17" x14ac:dyDescent="0.2">
      <c r="L20" s="329" t="s">
        <v>68</v>
      </c>
      <c r="M20" s="330">
        <f>M4</f>
        <v>2823</v>
      </c>
      <c r="N20" s="330">
        <f>N4</f>
        <v>3751</v>
      </c>
      <c r="O20" s="330">
        <f>SUM(M20:N20)</f>
        <v>6574</v>
      </c>
      <c r="P20" s="331">
        <f>IFERROR(M20/$O20,0)</f>
        <v>0.42941892303011864</v>
      </c>
      <c r="Q20" s="331">
        <f>IFERROR(N20/$O20,)</f>
        <v>0.57058107696988136</v>
      </c>
    </row>
    <row r="21" spans="12:17" x14ac:dyDescent="0.2">
      <c r="L21" s="329" t="s">
        <v>344</v>
      </c>
      <c r="M21" s="330">
        <f>SUM(M5:M7)</f>
        <v>2668</v>
      </c>
      <c r="N21" s="330">
        <f>SUM(N5:N7)</f>
        <v>4765</v>
      </c>
      <c r="O21" s="330">
        <f>SUM(M21:N21)</f>
        <v>7433</v>
      </c>
      <c r="P21" s="331">
        <f>IFERROR(M21/$O21,0)</f>
        <v>0.35893986277411544</v>
      </c>
      <c r="Q21" s="331">
        <f>IFERROR(N21/$O21,)</f>
        <v>0.64106013722588462</v>
      </c>
    </row>
    <row r="22" spans="12:17" x14ac:dyDescent="0.2">
      <c r="L22" s="345" t="s">
        <v>305</v>
      </c>
      <c r="M22" s="327" t="s">
        <v>145</v>
      </c>
      <c r="N22" s="345" t="s">
        <v>81</v>
      </c>
      <c r="O22" s="345" t="s">
        <v>61</v>
      </c>
      <c r="P22" s="327" t="s">
        <v>145</v>
      </c>
      <c r="Q22" s="345" t="s">
        <v>81</v>
      </c>
    </row>
    <row r="23" spans="12:17" x14ac:dyDescent="0.2">
      <c r="L23" s="329" t="s">
        <v>68</v>
      </c>
      <c r="M23" s="330">
        <f>M9</f>
        <v>659</v>
      </c>
      <c r="N23" s="330">
        <f>N9</f>
        <v>477</v>
      </c>
      <c r="O23" s="330">
        <f t="shared" ref="O23:O24" si="0">SUM(M23:N23)</f>
        <v>1136</v>
      </c>
      <c r="P23" s="331">
        <f>IFERROR(M23/$O23,0)</f>
        <v>0.58010563380281688</v>
      </c>
      <c r="Q23" s="331">
        <f>IFERROR(N23/$O23,)</f>
        <v>0.41989436619718312</v>
      </c>
    </row>
    <row r="24" spans="12:17" x14ac:dyDescent="0.2">
      <c r="L24" s="329" t="s">
        <v>344</v>
      </c>
      <c r="M24" s="330">
        <f>SUM(M10:M12)</f>
        <v>198</v>
      </c>
      <c r="N24" s="330">
        <f>SUM(N10:N12)</f>
        <v>327</v>
      </c>
      <c r="O24" s="330">
        <f t="shared" si="0"/>
        <v>525</v>
      </c>
      <c r="P24" s="331">
        <f>IFERROR(M24/$O24,0)</f>
        <v>0.37714285714285717</v>
      </c>
      <c r="Q24" s="331">
        <f>IFERROR(N24/$O24,)</f>
        <v>0.62285714285714289</v>
      </c>
    </row>
  </sheetData>
  <phoneticPr fontId="2"/>
  <pageMargins left="0.44270833333333331" right="0.41666666666666669" top="0.60606060606060608" bottom="0.51136363636363635" header="0.3" footer="0.3"/>
  <pageSetup paperSize="9" orientation="portrait" r:id="rId1"/>
  <headerFooter>
    <oddHeader>&amp;C&amp;"游ゴシック,太字"&amp;14R7年度　大阪府の在院患者の状況&amp;R&amp;"游ゴシック,標準"&amp;10R7.6.30時点</oddHeader>
    <oddFooter>&amp;R&amp;"メイリオ,レギュラー"&amp;10&amp;F</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8">
    <tabColor theme="7" tint="-0.249977111117893"/>
  </sheetPr>
  <dimension ref="B1:S34"/>
  <sheetViews>
    <sheetView view="pageBreakPreview" zoomScale="80" zoomScaleNormal="70" zoomScaleSheetLayoutView="80" zoomScalePageLayoutView="80" workbookViewId="0"/>
  </sheetViews>
  <sheetFormatPr defaultColWidth="9" defaultRowHeight="28.5" customHeight="1" x14ac:dyDescent="0.2"/>
  <cols>
    <col min="1" max="1" width="4.77734375" style="1" customWidth="1"/>
    <col min="2" max="2" width="11.109375" style="277" customWidth="1"/>
    <col min="3" max="3" width="38.21875" style="1" customWidth="1"/>
    <col min="4" max="4" width="12.33203125" style="1" customWidth="1"/>
    <col min="5" max="5" width="38.21875" style="1" customWidth="1"/>
    <col min="6" max="6" width="12.33203125" style="1" customWidth="1"/>
    <col min="7" max="7" width="7.109375" style="1" customWidth="1"/>
    <col min="8" max="8" width="30.88671875" style="1" hidden="1" customWidth="1"/>
    <col min="9" max="9" width="11" style="1" hidden="1" customWidth="1"/>
    <col min="10" max="10" width="9.44140625" style="1" hidden="1" customWidth="1"/>
    <col min="11" max="13" width="9" style="1" hidden="1" customWidth="1"/>
    <col min="14" max="14" width="9.109375" style="1" hidden="1" customWidth="1"/>
    <col min="15" max="15" width="28.44140625" style="1" hidden="1" customWidth="1"/>
    <col min="16" max="16" width="9.6640625" style="1" hidden="1" customWidth="1"/>
    <col min="17" max="19" width="9" style="1" hidden="1" customWidth="1"/>
    <col min="20" max="20" width="0" style="1" hidden="1" customWidth="1"/>
    <col min="21" max="16384" width="9" style="1"/>
  </cols>
  <sheetData>
    <row r="1" spans="2:19" ht="88.5" customHeight="1" x14ac:dyDescent="0.2">
      <c r="H1" s="9" t="s">
        <v>325</v>
      </c>
      <c r="I1" s="9"/>
      <c r="J1" s="9"/>
      <c r="K1" s="9"/>
      <c r="L1" s="9"/>
      <c r="M1" s="9"/>
      <c r="N1" s="9"/>
      <c r="O1" s="9"/>
      <c r="P1" s="9"/>
      <c r="Q1" s="9"/>
      <c r="R1" s="9"/>
      <c r="S1" s="9"/>
    </row>
    <row r="2" spans="2:19" ht="63" customHeight="1" thickBot="1" x14ac:dyDescent="0.25">
      <c r="B2" s="1159" t="s">
        <v>318</v>
      </c>
      <c r="C2" s="1159"/>
      <c r="H2" s="332" t="s">
        <v>322</v>
      </c>
      <c r="I2" s="1158" t="s">
        <v>307</v>
      </c>
      <c r="J2" s="1158"/>
      <c r="K2" s="1158" t="s">
        <v>308</v>
      </c>
      <c r="L2" s="1158"/>
      <c r="M2" s="9"/>
      <c r="N2" s="9"/>
      <c r="O2" s="9"/>
      <c r="P2" s="9"/>
      <c r="Q2" s="9"/>
      <c r="R2" s="9"/>
      <c r="S2" s="9"/>
    </row>
    <row r="3" spans="2:19" ht="72" customHeight="1" x14ac:dyDescent="0.2">
      <c r="B3" s="280"/>
      <c r="C3" s="1160" t="str">
        <f>"全在院患者（"&amp;$I$9&amp;"人)中"</f>
        <v>全在院患者（1618人)中</v>
      </c>
      <c r="D3" s="1160"/>
      <c r="E3" s="1160" t="str">
        <f>"在院1年以上寛解・院内寛解群（"&amp;$K$9&amp;"人)中"</f>
        <v>在院1年以上寛解・院内寛解群（292人)中</v>
      </c>
      <c r="F3" s="1161"/>
      <c r="H3" s="333" t="s">
        <v>315</v>
      </c>
      <c r="I3" s="334">
        <f>'２-Ⅵ'!B5</f>
        <v>1850</v>
      </c>
      <c r="J3" s="331">
        <f>'２-Ⅵ'!C5</f>
        <v>0.13207681873349039</v>
      </c>
      <c r="K3" s="330">
        <f>'３-Ⅴ'!H5</f>
        <v>316</v>
      </c>
      <c r="L3" s="331">
        <f>'３-Ⅴ'!I5</f>
        <v>0.60190476190476194</v>
      </c>
      <c r="M3" s="9"/>
      <c r="N3" s="9"/>
      <c r="O3" s="9"/>
      <c r="P3" s="9"/>
      <c r="Q3" s="9"/>
      <c r="R3" s="9"/>
      <c r="S3" s="9"/>
    </row>
    <row r="4" spans="2:19" ht="72" customHeight="1" x14ac:dyDescent="0.2">
      <c r="B4" s="281">
        <v>1</v>
      </c>
      <c r="C4" s="278" t="str">
        <f>INDEX($H$15:$H$34,MATCH(B4,$M$15:$M$34,0))</f>
        <v>現実認識が乏しい</v>
      </c>
      <c r="D4" s="279">
        <f>LARGE($J$15:$J$34,B4)</f>
        <v>0.40605686032138444</v>
      </c>
      <c r="E4" s="278" t="str">
        <f>INDEX($H$15:$H$34,MATCH(B4,$N$15:$N$34,0))</f>
        <v>退院意欲が乏しい</v>
      </c>
      <c r="F4" s="282">
        <f>LARGE($L$15:$L$34,B4)</f>
        <v>0.51027397260273977</v>
      </c>
      <c r="H4" s="333" t="s">
        <v>316</v>
      </c>
      <c r="I4" s="334">
        <f>'２-Ⅵ'!B6</f>
        <v>10619</v>
      </c>
      <c r="J4" s="331">
        <f>'２-Ⅵ'!C6</f>
        <v>0.75812093953023485</v>
      </c>
      <c r="K4" s="330">
        <f>'３-Ⅴ'!H6</f>
        <v>164</v>
      </c>
      <c r="L4" s="331">
        <f>'３-Ⅴ'!I6</f>
        <v>0.31238095238095237</v>
      </c>
      <c r="M4" s="9"/>
      <c r="N4" s="9"/>
      <c r="O4" s="9"/>
      <c r="P4" s="9"/>
      <c r="Q4" s="9"/>
      <c r="R4" s="9"/>
      <c r="S4" s="9"/>
    </row>
    <row r="5" spans="2:19" ht="72" customHeight="1" x14ac:dyDescent="0.2">
      <c r="B5" s="281">
        <v>2</v>
      </c>
      <c r="C5" s="278" t="str">
        <f>INDEX($H$15:$H$34,MATCH(B5,$M$15:$M$34,0))</f>
        <v>退院意欲が乏しい</v>
      </c>
      <c r="D5" s="279">
        <f>LARGE($J$15:$J$34,B5)</f>
        <v>0.39060568603213847</v>
      </c>
      <c r="E5" s="278" t="str">
        <f>INDEX($H$15:$H$34,MATCH(B5,$N$15:$N$34,0))</f>
        <v>退院による環境変化への不安が強い</v>
      </c>
      <c r="F5" s="282">
        <f>LARGE($L$15:$L$34,B5)</f>
        <v>0.33904109589041098</v>
      </c>
      <c r="H5" s="329" t="s">
        <v>36</v>
      </c>
      <c r="I5" s="334">
        <f>'２-Ⅵ'!B7</f>
        <v>1538</v>
      </c>
      <c r="J5" s="331">
        <f>'２-Ⅵ'!C7</f>
        <v>0.10980224173627472</v>
      </c>
      <c r="K5" s="330">
        <f>'３-Ⅴ'!H7</f>
        <v>45</v>
      </c>
      <c r="L5" s="331">
        <f>'３-Ⅴ'!I7</f>
        <v>8.5714285714285715E-2</v>
      </c>
      <c r="M5" s="9"/>
      <c r="N5" s="9"/>
      <c r="O5" s="9"/>
      <c r="P5" s="9"/>
      <c r="Q5" s="9"/>
      <c r="R5" s="9"/>
      <c r="S5" s="9"/>
    </row>
    <row r="6" spans="2:19" ht="72" customHeight="1" x14ac:dyDescent="0.2">
      <c r="B6" s="281">
        <v>3</v>
      </c>
      <c r="C6" s="278" t="str">
        <f>INDEX($H$15:$H$34,MATCH(B6,$M$15:$M$34,0))</f>
        <v>病状は落ち着いているが、ときどき不安定な病状が見られ、そのことが退院を阻害する要因になっている</v>
      </c>
      <c r="D6" s="279">
        <f>LARGE($J$15:$J$34,B6)</f>
        <v>0.34301606922126082</v>
      </c>
      <c r="E6" s="278" t="str">
        <f>INDEX($H$15:$H$34,MATCH(B6,$N$15:$N$34,0))</f>
        <v>現実認識が乏しい</v>
      </c>
      <c r="F6" s="282">
        <f>LARGE($L$15:$L$34,B6)</f>
        <v>0.32876712328767121</v>
      </c>
      <c r="H6" s="329" t="s">
        <v>12</v>
      </c>
      <c r="I6" s="334">
        <f>'２-Ⅵ'!B8</f>
        <v>14007</v>
      </c>
      <c r="J6" s="331">
        <f>'２-Ⅵ'!C8</f>
        <v>1</v>
      </c>
      <c r="K6" s="330">
        <f>'３-Ⅴ'!H8</f>
        <v>525</v>
      </c>
      <c r="L6" s="331">
        <f>'３-Ⅴ'!I8</f>
        <v>1</v>
      </c>
      <c r="M6" s="9"/>
      <c r="N6" s="9"/>
      <c r="O6" s="9"/>
      <c r="P6" s="9"/>
      <c r="Q6" s="9"/>
      <c r="R6" s="9"/>
      <c r="S6" s="9"/>
    </row>
    <row r="7" spans="2:19" ht="72" customHeight="1" x14ac:dyDescent="0.2">
      <c r="B7" s="281">
        <v>4</v>
      </c>
      <c r="C7" s="278" t="str">
        <f>INDEX($H$15:$H$34,MATCH(B7,$M$15:$M$34,0))</f>
        <v>住まいの確保ができない</v>
      </c>
      <c r="D7" s="279">
        <f>LARGE($J$15:$J$34,B7)</f>
        <v>0.33868974042027195</v>
      </c>
      <c r="E7" s="278" t="str">
        <f>INDEX($H$15:$H$34,MATCH(B7,$N$15:$N$34,0))</f>
        <v>家事（食事・洗濯・金銭管理など）ができない</v>
      </c>
      <c r="F7" s="282">
        <f>LARGE($L$15:$L$34,B7)</f>
        <v>0.28767123287671231</v>
      </c>
      <c r="H7" s="9"/>
      <c r="I7" s="9"/>
      <c r="J7" s="335"/>
      <c r="K7" s="9"/>
      <c r="L7" s="9"/>
      <c r="M7" s="9"/>
      <c r="N7" s="9"/>
      <c r="O7" s="9"/>
      <c r="P7" s="9"/>
      <c r="Q7" s="9"/>
      <c r="R7" s="9"/>
      <c r="S7" s="9"/>
    </row>
    <row r="8" spans="2:19" ht="72" customHeight="1" thickBot="1" x14ac:dyDescent="0.25">
      <c r="B8" s="283">
        <v>5</v>
      </c>
      <c r="C8" s="284" t="str">
        <f>INDEX($H$15:$H$34,MATCH(B8,$M$15:$M$34,0))</f>
        <v>家事（食事・洗濯・金銭管理など）ができない</v>
      </c>
      <c r="D8" s="285">
        <f>LARGE($J$15:$J$34,B8)</f>
        <v>0.32756489493201485</v>
      </c>
      <c r="E8" s="284" t="str">
        <f>INDEX($H$15:$H$34,MATCH(B8,$N$15:$N$34,0))</f>
        <v>住まいの確保ができない</v>
      </c>
      <c r="F8" s="286">
        <f>LARGE($L$15:$L$34,B8)</f>
        <v>0.28082191780821919</v>
      </c>
      <c r="H8" s="336" t="s">
        <v>323</v>
      </c>
      <c r="I8" s="1158" t="s">
        <v>307</v>
      </c>
      <c r="J8" s="1158"/>
      <c r="K8" s="1158" t="s">
        <v>308</v>
      </c>
      <c r="L8" s="1158"/>
      <c r="M8" s="9"/>
      <c r="N8" s="9"/>
      <c r="O8" s="332" t="s">
        <v>324</v>
      </c>
      <c r="P8" s="1158" t="s">
        <v>307</v>
      </c>
      <c r="Q8" s="1158"/>
      <c r="R8" s="1158" t="s">
        <v>308</v>
      </c>
      <c r="S8" s="1158"/>
    </row>
    <row r="9" spans="2:19" ht="63" customHeight="1" x14ac:dyDescent="0.2">
      <c r="H9" s="329" t="s">
        <v>34</v>
      </c>
      <c r="I9" s="334">
        <f>'２-Ⅵ'!B14</f>
        <v>1618</v>
      </c>
      <c r="J9" s="331">
        <f>'２-Ⅵ'!C14</f>
        <v>0.87459459459459454</v>
      </c>
      <c r="K9" s="334">
        <f>'３-Ⅴ'!H14</f>
        <v>292</v>
      </c>
      <c r="L9" s="331">
        <f>'３-Ⅴ'!I14</f>
        <v>0.92405063291139244</v>
      </c>
      <c r="M9" s="9"/>
      <c r="N9" s="9"/>
      <c r="O9" s="333" t="s">
        <v>320</v>
      </c>
      <c r="P9" s="334">
        <f>I4</f>
        <v>10619</v>
      </c>
      <c r="Q9" s="331">
        <f>IFERROR(P9/$P$13,0)</f>
        <v>0.75812093953023485</v>
      </c>
      <c r="R9" s="330">
        <f>K4</f>
        <v>164</v>
      </c>
      <c r="S9" s="331">
        <f>IFERROR(R9/$R$13,0)</f>
        <v>0.31238095238095237</v>
      </c>
    </row>
    <row r="10" spans="2:19" ht="63" customHeight="1" x14ac:dyDescent="0.2">
      <c r="H10" s="329" t="s">
        <v>317</v>
      </c>
      <c r="I10" s="334">
        <f>'２-Ⅵ'!B15</f>
        <v>232</v>
      </c>
      <c r="J10" s="331">
        <f>'２-Ⅵ'!C15</f>
        <v>0.1254054054054054</v>
      </c>
      <c r="K10" s="334">
        <f>'３-Ⅴ'!H15</f>
        <v>24</v>
      </c>
      <c r="L10" s="331">
        <f>'３-Ⅴ'!I15</f>
        <v>7.5949367088607597E-2</v>
      </c>
      <c r="M10" s="9"/>
      <c r="N10" s="9"/>
      <c r="O10" s="329" t="s">
        <v>321</v>
      </c>
      <c r="P10" s="334">
        <f>I5</f>
        <v>1538</v>
      </c>
      <c r="Q10" s="331">
        <f t="shared" ref="Q10:Q13" si="0">IFERROR(P10/$P$13,0)</f>
        <v>0.10980224173627472</v>
      </c>
      <c r="R10" s="330">
        <f>K5</f>
        <v>45</v>
      </c>
      <c r="S10" s="331">
        <f t="shared" ref="S10:S13" si="1">IFERROR(R10/$R$13,0)</f>
        <v>8.5714285714285715E-2</v>
      </c>
    </row>
    <row r="11" spans="2:19" ht="63" customHeight="1" x14ac:dyDescent="0.2">
      <c r="H11" s="329" t="s">
        <v>12</v>
      </c>
      <c r="I11" s="334">
        <f>'２-Ⅵ'!B16</f>
        <v>1850</v>
      </c>
      <c r="J11" s="331">
        <f>'２-Ⅵ'!C16</f>
        <v>1</v>
      </c>
      <c r="K11" s="334">
        <f>'３-Ⅴ'!H16</f>
        <v>316</v>
      </c>
      <c r="L11" s="331">
        <f>'３-Ⅴ'!I16</f>
        <v>1</v>
      </c>
      <c r="M11" s="9"/>
      <c r="N11" s="9"/>
      <c r="O11" s="329" t="s">
        <v>34</v>
      </c>
      <c r="P11" s="334">
        <f>I9</f>
        <v>1618</v>
      </c>
      <c r="Q11" s="331">
        <f t="shared" si="0"/>
        <v>0.11551367173556079</v>
      </c>
      <c r="R11" s="330">
        <f>K9</f>
        <v>292</v>
      </c>
      <c r="S11" s="331">
        <f t="shared" si="1"/>
        <v>0.55619047619047624</v>
      </c>
    </row>
    <row r="12" spans="2:19" ht="63" customHeight="1" x14ac:dyDescent="0.2">
      <c r="H12" s="9"/>
      <c r="I12" s="9"/>
      <c r="J12" s="9"/>
      <c r="K12" s="9"/>
      <c r="L12" s="9"/>
      <c r="M12" s="9"/>
      <c r="N12" s="9"/>
      <c r="O12" s="329" t="s">
        <v>317</v>
      </c>
      <c r="P12" s="334">
        <f>I10</f>
        <v>232</v>
      </c>
      <c r="Q12" s="331">
        <f t="shared" si="0"/>
        <v>1.6563146997929608E-2</v>
      </c>
      <c r="R12" s="330">
        <f>K10</f>
        <v>24</v>
      </c>
      <c r="S12" s="331">
        <f t="shared" si="1"/>
        <v>4.5714285714285714E-2</v>
      </c>
    </row>
    <row r="13" spans="2:19" ht="63" customHeight="1" x14ac:dyDescent="0.2">
      <c r="H13" s="9"/>
      <c r="I13" s="9"/>
      <c r="J13" s="9"/>
      <c r="K13" s="9"/>
      <c r="L13" s="9"/>
      <c r="M13" s="9"/>
      <c r="N13" s="9"/>
      <c r="O13" s="329" t="s">
        <v>12</v>
      </c>
      <c r="P13" s="330">
        <f>SUM(P9:P12)</f>
        <v>14007</v>
      </c>
      <c r="Q13" s="331">
        <f t="shared" si="0"/>
        <v>1</v>
      </c>
      <c r="R13" s="330">
        <f>SUM(R9:R12)</f>
        <v>525</v>
      </c>
      <c r="S13" s="331">
        <f t="shared" si="1"/>
        <v>1</v>
      </c>
    </row>
    <row r="14" spans="2:19" ht="63" customHeight="1" x14ac:dyDescent="0.2">
      <c r="H14" s="326"/>
      <c r="I14" s="1158" t="s">
        <v>307</v>
      </c>
      <c r="J14" s="1158"/>
      <c r="K14" s="1158" t="s">
        <v>308</v>
      </c>
      <c r="L14" s="1158"/>
      <c r="M14" s="324" t="s">
        <v>319</v>
      </c>
      <c r="N14" s="324" t="s">
        <v>319</v>
      </c>
      <c r="O14" s="9"/>
      <c r="P14" s="9"/>
      <c r="Q14" s="9"/>
      <c r="R14" s="9"/>
      <c r="S14" s="9"/>
    </row>
    <row r="15" spans="2:19" s="92" customFormat="1" ht="63" customHeight="1" x14ac:dyDescent="0.2">
      <c r="B15" s="277"/>
      <c r="H15" s="337" t="s">
        <v>309</v>
      </c>
      <c r="I15" s="334">
        <f>'２-Ⅵ'!B23</f>
        <v>555</v>
      </c>
      <c r="J15" s="331">
        <f>'２-Ⅵ'!C23</f>
        <v>0.34301606922126082</v>
      </c>
      <c r="K15" s="334">
        <f>'３-Ⅴ'!H23</f>
        <v>80</v>
      </c>
      <c r="L15" s="331">
        <f>'３-Ⅴ'!I23</f>
        <v>0.27397260273972601</v>
      </c>
      <c r="M15" s="338">
        <f>_xlfn.RANK.EQ(J15,$J$15:$J$34)+COUNTIF($J$15:J15,J15)-1</f>
        <v>3</v>
      </c>
      <c r="N15" s="338">
        <f>_xlfn.RANK.EQ(L15,$L$15:$L$34)+COUNTIF($L$15:L15,L15)-1</f>
        <v>6</v>
      </c>
      <c r="O15" s="324"/>
      <c r="P15" s="324"/>
      <c r="Q15" s="324"/>
      <c r="R15" s="324"/>
      <c r="S15" s="324"/>
    </row>
    <row r="16" spans="2:19" ht="63" customHeight="1" x14ac:dyDescent="0.2">
      <c r="H16" s="339" t="s">
        <v>65</v>
      </c>
      <c r="I16" s="334">
        <f>'２-Ⅵ'!B24</f>
        <v>390</v>
      </c>
      <c r="J16" s="331">
        <f>'２-Ⅵ'!C24</f>
        <v>0.24103831891223734</v>
      </c>
      <c r="K16" s="334">
        <f>'３-Ⅴ'!H24</f>
        <v>49</v>
      </c>
      <c r="L16" s="331">
        <f>'３-Ⅴ'!I24</f>
        <v>0.1678082191780822</v>
      </c>
      <c r="M16" s="338">
        <f>_xlfn.RANK.EQ(J16,$J$15:$J$34)+COUNTIF($J$15:J16,J16)-1</f>
        <v>7</v>
      </c>
      <c r="N16" s="338">
        <f>_xlfn.RANK.EQ(L16,$L$15:$L$34)+COUNTIF($L$15:L16,L16)-1</f>
        <v>9</v>
      </c>
      <c r="O16" s="9"/>
      <c r="P16" s="9"/>
      <c r="Q16" s="9"/>
      <c r="R16" s="9"/>
      <c r="S16" s="9"/>
    </row>
    <row r="17" spans="8:19" ht="63" customHeight="1" x14ac:dyDescent="0.2">
      <c r="H17" s="339" t="s">
        <v>37</v>
      </c>
      <c r="I17" s="334">
        <f>'２-Ⅵ'!B25</f>
        <v>66</v>
      </c>
      <c r="J17" s="331">
        <f>'２-Ⅵ'!C25</f>
        <v>4.0791100123609397E-2</v>
      </c>
      <c r="K17" s="334">
        <f>'３-Ⅴ'!H25</f>
        <v>4</v>
      </c>
      <c r="L17" s="331">
        <f>'３-Ⅴ'!I25</f>
        <v>1.3698630136986301E-2</v>
      </c>
      <c r="M17" s="338">
        <f>_xlfn.RANK.EQ(J17,$J$15:$J$34)+COUNTIF($J$15:J17,J17)-1</f>
        <v>17</v>
      </c>
      <c r="N17" s="338">
        <f>_xlfn.RANK.EQ(L17,$L$15:$L$34)+COUNTIF($L$15:L17,L17)-1</f>
        <v>19</v>
      </c>
      <c r="O17" s="9"/>
      <c r="P17" s="9"/>
      <c r="Q17" s="9"/>
      <c r="R17" s="9"/>
      <c r="S17" s="9"/>
    </row>
    <row r="18" spans="8:19" ht="63" customHeight="1" x14ac:dyDescent="0.2">
      <c r="H18" s="339" t="s">
        <v>38</v>
      </c>
      <c r="I18" s="334">
        <f>'２-Ⅵ'!B26</f>
        <v>632</v>
      </c>
      <c r="J18" s="331">
        <f>'２-Ⅵ'!C26</f>
        <v>0.39060568603213847</v>
      </c>
      <c r="K18" s="334">
        <f>'３-Ⅴ'!H26</f>
        <v>149</v>
      </c>
      <c r="L18" s="331">
        <f>'３-Ⅴ'!I26</f>
        <v>0.51027397260273977</v>
      </c>
      <c r="M18" s="338">
        <f>_xlfn.RANK.EQ(J18,$J$15:$J$34)+COUNTIF($J$15:J18,J18)-1</f>
        <v>2</v>
      </c>
      <c r="N18" s="338">
        <f>_xlfn.RANK.EQ(L18,$L$15:$L$34)+COUNTIF($L$15:L18,L18)-1</f>
        <v>1</v>
      </c>
      <c r="O18" s="9"/>
      <c r="P18" s="9"/>
      <c r="Q18" s="9"/>
      <c r="R18" s="9"/>
      <c r="S18" s="9"/>
    </row>
    <row r="19" spans="8:19" ht="63" customHeight="1" x14ac:dyDescent="0.2">
      <c r="H19" s="339" t="s">
        <v>39</v>
      </c>
      <c r="I19" s="334">
        <f>'２-Ⅵ'!B27</f>
        <v>657</v>
      </c>
      <c r="J19" s="331">
        <f>'２-Ⅵ'!C27</f>
        <v>0.40605686032138444</v>
      </c>
      <c r="K19" s="334">
        <f>'３-Ⅴ'!H27</f>
        <v>96</v>
      </c>
      <c r="L19" s="331">
        <f>'３-Ⅴ'!I27</f>
        <v>0.32876712328767121</v>
      </c>
      <c r="M19" s="338">
        <f>_xlfn.RANK.EQ(J19,$J$15:$J$34)+COUNTIF($J$15:J19,J19)-1</f>
        <v>1</v>
      </c>
      <c r="N19" s="338">
        <f>_xlfn.RANK.EQ(L19,$L$15:$L$34)+COUNTIF($L$15:L19,L19)-1</f>
        <v>3</v>
      </c>
      <c r="O19" s="9"/>
      <c r="P19" s="9"/>
      <c r="Q19" s="9"/>
      <c r="R19" s="9"/>
      <c r="S19" s="9"/>
    </row>
    <row r="20" spans="8:19" ht="63" customHeight="1" x14ac:dyDescent="0.2">
      <c r="H20" s="339" t="s">
        <v>310</v>
      </c>
      <c r="I20" s="334">
        <f>'２-Ⅵ'!B28</f>
        <v>488</v>
      </c>
      <c r="J20" s="331">
        <f>'２-Ⅵ'!C28</f>
        <v>0.30160692212608159</v>
      </c>
      <c r="K20" s="334">
        <f>'３-Ⅴ'!H28</f>
        <v>99</v>
      </c>
      <c r="L20" s="331">
        <f>'３-Ⅴ'!I28</f>
        <v>0.33904109589041098</v>
      </c>
      <c r="M20" s="338">
        <f>_xlfn.RANK.EQ(J20,$J$15:$J$34)+COUNTIF($J$15:J20,J20)-1</f>
        <v>6</v>
      </c>
      <c r="N20" s="338">
        <f>_xlfn.RANK.EQ(L20,$L$15:$L$34)+COUNTIF($L$15:L20,L20)-1</f>
        <v>2</v>
      </c>
      <c r="O20" s="9"/>
      <c r="P20" s="9"/>
      <c r="Q20" s="9"/>
      <c r="R20" s="9"/>
      <c r="S20" s="9"/>
    </row>
    <row r="21" spans="8:19" ht="63" customHeight="1" x14ac:dyDescent="0.2">
      <c r="H21" s="339" t="s">
        <v>41</v>
      </c>
      <c r="I21" s="334">
        <f>'２-Ⅵ'!B29</f>
        <v>136</v>
      </c>
      <c r="J21" s="331">
        <f>'２-Ⅵ'!C29</f>
        <v>8.4054388133498151E-2</v>
      </c>
      <c r="K21" s="334">
        <f>'３-Ⅴ'!H29</f>
        <v>11</v>
      </c>
      <c r="L21" s="331">
        <f>'３-Ⅴ'!I29</f>
        <v>3.7671232876712327E-2</v>
      </c>
      <c r="M21" s="338">
        <f>_xlfn.RANK.EQ(J21,$J$15:$J$34)+COUNTIF($J$15:J21,J21)-1</f>
        <v>13</v>
      </c>
      <c r="N21" s="338">
        <f>_xlfn.RANK.EQ(L21,$L$15:$L$34)+COUNTIF($L$15:L21,L21)-1</f>
        <v>15</v>
      </c>
      <c r="O21" s="9"/>
      <c r="P21" s="9"/>
      <c r="Q21" s="9"/>
      <c r="R21" s="9"/>
      <c r="S21" s="9"/>
    </row>
    <row r="22" spans="8:19" ht="63" customHeight="1" x14ac:dyDescent="0.2">
      <c r="H22" s="339" t="s">
        <v>311</v>
      </c>
      <c r="I22" s="334">
        <f>'２-Ⅵ'!B30</f>
        <v>530</v>
      </c>
      <c r="J22" s="331">
        <f>'２-Ⅵ'!C30</f>
        <v>0.32756489493201485</v>
      </c>
      <c r="K22" s="334">
        <f>'３-Ⅴ'!H30</f>
        <v>84</v>
      </c>
      <c r="L22" s="331">
        <f>'３-Ⅴ'!I30</f>
        <v>0.28767123287671231</v>
      </c>
      <c r="M22" s="338">
        <f>_xlfn.RANK.EQ(J22,$J$15:$J$34)+COUNTIF($J$15:J22,J22)-1</f>
        <v>5</v>
      </c>
      <c r="N22" s="338">
        <f>_xlfn.RANK.EQ(L22,$L$15:$L$34)+COUNTIF($L$15:L22,L22)-1</f>
        <v>4</v>
      </c>
      <c r="O22" s="9"/>
      <c r="P22" s="9"/>
      <c r="Q22" s="9"/>
      <c r="R22" s="9"/>
      <c r="S22" s="9"/>
    </row>
    <row r="23" spans="8:19" ht="63" customHeight="1" x14ac:dyDescent="0.2">
      <c r="H23" s="339" t="s">
        <v>312</v>
      </c>
      <c r="I23" s="334">
        <f>'２-Ⅵ'!B31</f>
        <v>288</v>
      </c>
      <c r="J23" s="331">
        <f>'２-Ⅵ'!C31</f>
        <v>0.17799752781211373</v>
      </c>
      <c r="K23" s="334">
        <f>'３-Ⅴ'!H31</f>
        <v>44</v>
      </c>
      <c r="L23" s="331">
        <f>'３-Ⅴ'!I31</f>
        <v>0.15068493150684931</v>
      </c>
      <c r="M23" s="338">
        <f>_xlfn.RANK.EQ(J23,$J$15:$J$34)+COUNTIF($J$15:J23,J23)-1</f>
        <v>9</v>
      </c>
      <c r="N23" s="338">
        <f>_xlfn.RANK.EQ(L23,$L$15:$L$34)+COUNTIF($L$15:L23,L23)-1</f>
        <v>10</v>
      </c>
      <c r="O23" s="9"/>
      <c r="P23" s="9"/>
      <c r="Q23" s="9"/>
      <c r="R23" s="9"/>
      <c r="S23" s="9"/>
    </row>
    <row r="24" spans="8:19" ht="63" customHeight="1" x14ac:dyDescent="0.2">
      <c r="H24" s="339" t="s">
        <v>313</v>
      </c>
      <c r="I24" s="334">
        <f>'２-Ⅵ'!B32</f>
        <v>268</v>
      </c>
      <c r="J24" s="331">
        <f>'２-Ⅵ'!C32</f>
        <v>0.16563658838071693</v>
      </c>
      <c r="K24" s="334">
        <f>'３-Ⅴ'!H32</f>
        <v>57</v>
      </c>
      <c r="L24" s="331">
        <f>'３-Ⅴ'!I32</f>
        <v>0.1952054794520548</v>
      </c>
      <c r="M24" s="338">
        <f>_xlfn.RANK.EQ(J24,$J$15:$J$34)+COUNTIF($J$15:J24,J24)-1</f>
        <v>10</v>
      </c>
      <c r="N24" s="338">
        <f>_xlfn.RANK.EQ(L24,$L$15:$L$34)+COUNTIF($L$15:L24,L24)-1</f>
        <v>7</v>
      </c>
      <c r="O24" s="9"/>
      <c r="P24" s="9"/>
      <c r="Q24" s="9"/>
      <c r="R24" s="9"/>
      <c r="S24" s="9"/>
    </row>
    <row r="25" spans="8:19" ht="63" customHeight="1" x14ac:dyDescent="0.2">
      <c r="H25" s="339" t="s">
        <v>45</v>
      </c>
      <c r="I25" s="334">
        <f>'２-Ⅵ'!B33</f>
        <v>548</v>
      </c>
      <c r="J25" s="331">
        <f>'２-Ⅵ'!C33</f>
        <v>0.33868974042027195</v>
      </c>
      <c r="K25" s="334">
        <f>'３-Ⅴ'!H33</f>
        <v>82</v>
      </c>
      <c r="L25" s="331">
        <f>'３-Ⅴ'!I33</f>
        <v>0.28082191780821919</v>
      </c>
      <c r="M25" s="338">
        <f>_xlfn.RANK.EQ(J25,$J$15:$J$34)+COUNTIF($J$15:J25,J25)-1</f>
        <v>4</v>
      </c>
      <c r="N25" s="338">
        <f>_xlfn.RANK.EQ(L25,$L$15:$L$34)+COUNTIF($L$15:L25,L25)-1</f>
        <v>5</v>
      </c>
      <c r="O25" s="9"/>
      <c r="P25" s="9"/>
      <c r="Q25" s="9"/>
      <c r="R25" s="9"/>
      <c r="S25" s="9"/>
    </row>
    <row r="26" spans="8:19" ht="63" customHeight="1" x14ac:dyDescent="0.2">
      <c r="H26" s="339" t="s">
        <v>46</v>
      </c>
      <c r="I26" s="334">
        <f>'２-Ⅵ'!B34</f>
        <v>107</v>
      </c>
      <c r="J26" s="331">
        <f>'２-Ⅵ'!C34</f>
        <v>6.6131025957972808E-2</v>
      </c>
      <c r="K26" s="334">
        <f>'３-Ⅴ'!H34</f>
        <v>17</v>
      </c>
      <c r="L26" s="331">
        <f>'３-Ⅴ'!I34</f>
        <v>5.8219178082191778E-2</v>
      </c>
      <c r="M26" s="338">
        <f>_xlfn.RANK.EQ(J26,$J$15:$J$34)+COUNTIF($J$15:J26,J26)-1</f>
        <v>15</v>
      </c>
      <c r="N26" s="338">
        <f>_xlfn.RANK.EQ(L26,$L$15:$L$34)+COUNTIF($L$15:L26,L26)-1</f>
        <v>14</v>
      </c>
      <c r="O26" s="9"/>
      <c r="P26" s="9"/>
      <c r="Q26" s="9"/>
      <c r="R26" s="9"/>
      <c r="S26" s="9"/>
    </row>
    <row r="27" spans="8:19" ht="63" customHeight="1" x14ac:dyDescent="0.2">
      <c r="H27" s="339" t="s">
        <v>47</v>
      </c>
      <c r="I27" s="334">
        <f>'２-Ⅵ'!B35</f>
        <v>80</v>
      </c>
      <c r="J27" s="331">
        <f>'２-Ⅵ'!C35</f>
        <v>4.9443757725587144E-2</v>
      </c>
      <c r="K27" s="334">
        <f>'３-Ⅴ'!H35</f>
        <v>7</v>
      </c>
      <c r="L27" s="331">
        <f>'３-Ⅴ'!I35</f>
        <v>2.3972602739726026E-2</v>
      </c>
      <c r="M27" s="338">
        <f>_xlfn.RANK.EQ(J27,$J$15:$J$34)+COUNTIF($J$15:J27,J27)-1</f>
        <v>16</v>
      </c>
      <c r="N27" s="338">
        <f>_xlfn.RANK.EQ(L27,$L$15:$L$34)+COUNTIF($L$15:L27,L27)-1</f>
        <v>18</v>
      </c>
      <c r="O27" s="9"/>
      <c r="P27" s="9"/>
      <c r="Q27" s="9"/>
      <c r="R27" s="9"/>
      <c r="S27" s="9"/>
    </row>
    <row r="28" spans="8:19" ht="63" customHeight="1" x14ac:dyDescent="0.2">
      <c r="H28" s="339" t="s">
        <v>48</v>
      </c>
      <c r="I28" s="334">
        <f>'２-Ⅵ'!B36</f>
        <v>18</v>
      </c>
      <c r="J28" s="331">
        <f>'２-Ⅵ'!C36</f>
        <v>1.1124845488257108E-2</v>
      </c>
      <c r="K28" s="334">
        <f>'３-Ⅴ'!H36</f>
        <v>1</v>
      </c>
      <c r="L28" s="331">
        <f>'３-Ⅴ'!I36</f>
        <v>3.4246575342465752E-3</v>
      </c>
      <c r="M28" s="338">
        <f>_xlfn.RANK.EQ(J28,$J$15:$J$34)+COUNTIF($J$15:J28,J28)-1</f>
        <v>20</v>
      </c>
      <c r="N28" s="338">
        <f>_xlfn.RANK.EQ(L28,$L$15:$L$34)+COUNTIF($L$15:L28,L28)-1</f>
        <v>20</v>
      </c>
      <c r="O28" s="9"/>
      <c r="P28" s="9"/>
      <c r="Q28" s="9"/>
      <c r="R28" s="9"/>
      <c r="S28" s="9"/>
    </row>
    <row r="29" spans="8:19" ht="63" customHeight="1" x14ac:dyDescent="0.2">
      <c r="H29" s="339" t="s">
        <v>49</v>
      </c>
      <c r="I29" s="334">
        <f>'２-Ⅵ'!B37</f>
        <v>143</v>
      </c>
      <c r="J29" s="331">
        <f>'２-Ⅵ'!C37</f>
        <v>8.8380716934487027E-2</v>
      </c>
      <c r="K29" s="334">
        <f>'３-Ⅴ'!H37</f>
        <v>32</v>
      </c>
      <c r="L29" s="331">
        <f>'３-Ⅴ'!I37</f>
        <v>0.1095890410958904</v>
      </c>
      <c r="M29" s="338">
        <f>_xlfn.RANK.EQ(J29,$J$15:$J$34)+COUNTIF($J$15:J29,J29)-1</f>
        <v>11</v>
      </c>
      <c r="N29" s="338">
        <f>_xlfn.RANK.EQ(L29,$L$15:$L$34)+COUNTIF($L$15:L29,L29)-1</f>
        <v>11</v>
      </c>
      <c r="O29" s="9"/>
      <c r="P29" s="9"/>
      <c r="Q29" s="9"/>
      <c r="R29" s="9"/>
      <c r="S29" s="9"/>
    </row>
    <row r="30" spans="8:19" ht="63" customHeight="1" x14ac:dyDescent="0.2">
      <c r="H30" s="339" t="s">
        <v>50</v>
      </c>
      <c r="I30" s="334">
        <f>'２-Ⅵ'!B38</f>
        <v>138</v>
      </c>
      <c r="J30" s="331">
        <f>'２-Ⅵ'!C38</f>
        <v>8.5290482076637822E-2</v>
      </c>
      <c r="K30" s="334">
        <f>'３-Ⅴ'!H38</f>
        <v>22</v>
      </c>
      <c r="L30" s="331">
        <f>'３-Ⅴ'!I38</f>
        <v>7.5342465753424653E-2</v>
      </c>
      <c r="M30" s="338">
        <f>_xlfn.RANK.EQ(J30,$J$15:$J$34)+COUNTIF($J$15:J30,J30)-1</f>
        <v>12</v>
      </c>
      <c r="N30" s="338">
        <f>_xlfn.RANK.EQ(L30,$L$15:$L$34)+COUNTIF($L$15:L30,L30)-1</f>
        <v>13</v>
      </c>
      <c r="O30" s="9"/>
      <c r="P30" s="9"/>
      <c r="Q30" s="9"/>
      <c r="R30" s="9"/>
      <c r="S30" s="9"/>
    </row>
    <row r="31" spans="8:19" ht="63" customHeight="1" x14ac:dyDescent="0.2">
      <c r="H31" s="339" t="s">
        <v>314</v>
      </c>
      <c r="I31" s="334">
        <f>'２-Ⅵ'!B39</f>
        <v>20</v>
      </c>
      <c r="J31" s="331">
        <f>'２-Ⅵ'!C39</f>
        <v>1.2360939431396786E-2</v>
      </c>
      <c r="K31" s="334">
        <f>'３-Ⅴ'!H39</f>
        <v>8</v>
      </c>
      <c r="L31" s="331">
        <f>'３-Ⅴ'!I39</f>
        <v>2.7397260273972601E-2</v>
      </c>
      <c r="M31" s="338">
        <f>_xlfn.RANK.EQ(J31,$J$15:$J$34)+COUNTIF($J$15:J31,J31)-1</f>
        <v>19</v>
      </c>
      <c r="N31" s="338">
        <f>_xlfn.RANK.EQ(L31,$L$15:$L$34)+COUNTIF($L$15:L31,L31)-1</f>
        <v>17</v>
      </c>
      <c r="O31" s="9"/>
      <c r="P31" s="9"/>
      <c r="Q31" s="9"/>
      <c r="R31" s="9"/>
      <c r="S31" s="9"/>
    </row>
    <row r="32" spans="8:19" ht="63" customHeight="1" x14ac:dyDescent="0.2">
      <c r="H32" s="339" t="s">
        <v>352</v>
      </c>
      <c r="I32" s="334">
        <f>'２-Ⅵ'!B40</f>
        <v>311</v>
      </c>
      <c r="J32" s="331">
        <f>'２-Ⅵ'!C40</f>
        <v>0.19221260815822003</v>
      </c>
      <c r="K32" s="334">
        <f>'３-Ⅴ'!H40</f>
        <v>51</v>
      </c>
      <c r="L32" s="331">
        <f>'３-Ⅴ'!I40</f>
        <v>0.17465753424657535</v>
      </c>
      <c r="M32" s="338">
        <f>_xlfn.RANK.EQ(J32,$J$15:$J$34)+COUNTIF($J$15:J32,J32)-1</f>
        <v>8</v>
      </c>
      <c r="N32" s="338">
        <f>_xlfn.RANK.EQ(L32,$L$15:$L$34)+COUNTIF($L$15:L32,L32)-1</f>
        <v>8</v>
      </c>
      <c r="O32" s="9"/>
      <c r="P32" s="9"/>
      <c r="Q32" s="9"/>
      <c r="R32" s="9"/>
      <c r="S32" s="9"/>
    </row>
    <row r="33" spans="8:14" ht="65.25" customHeight="1" x14ac:dyDescent="0.2">
      <c r="H33" s="339" t="s">
        <v>353</v>
      </c>
      <c r="I33" s="334">
        <f>'２-Ⅵ'!B41</f>
        <v>123</v>
      </c>
      <c r="J33" s="331">
        <f>'２-Ⅵ'!C41</f>
        <v>7.6019777503090233E-2</v>
      </c>
      <c r="K33" s="334">
        <f>'３-Ⅴ'!H41</f>
        <v>26</v>
      </c>
      <c r="L33" s="331">
        <f>'３-Ⅴ'!I41</f>
        <v>8.9041095890410954E-2</v>
      </c>
      <c r="M33" s="338">
        <f>_xlfn.RANK.EQ(J33,$J$15:$J$34)+COUNTIF($J$15:J33,J33)-1</f>
        <v>14</v>
      </c>
      <c r="N33" s="338">
        <f>_xlfn.RANK.EQ(L33,$L$15:$L$34)+COUNTIF($L$15:L33,L33)-1</f>
        <v>12</v>
      </c>
    </row>
    <row r="34" spans="8:14" ht="35.25" customHeight="1" x14ac:dyDescent="0.2">
      <c r="H34" s="339" t="s">
        <v>52</v>
      </c>
      <c r="I34" s="334">
        <f>'２-Ⅵ'!B42</f>
        <v>39</v>
      </c>
      <c r="J34" s="331">
        <f>'２-Ⅵ'!C42</f>
        <v>2.4103831891223733E-2</v>
      </c>
      <c r="K34" s="334">
        <f>'３-Ⅴ'!H42</f>
        <v>10</v>
      </c>
      <c r="L34" s="331">
        <f>'３-Ⅴ'!I42</f>
        <v>3.4246575342465752E-2</v>
      </c>
      <c r="M34" s="338">
        <f>_xlfn.RANK.EQ(J34,$J$15:$J$34)+COUNTIF($J$15:J34,J34)-1</f>
        <v>18</v>
      </c>
      <c r="N34" s="338">
        <f>_xlfn.RANK.EQ(L34,$L$15:$L$34)+COUNTIF($L$15:L34,L34)-1</f>
        <v>16</v>
      </c>
    </row>
  </sheetData>
  <mergeCells count="11">
    <mergeCell ref="P8:Q8"/>
    <mergeCell ref="R8:S8"/>
    <mergeCell ref="I14:J14"/>
    <mergeCell ref="K14:L14"/>
    <mergeCell ref="B2:C2"/>
    <mergeCell ref="I2:J2"/>
    <mergeCell ref="K2:L2"/>
    <mergeCell ref="C3:D3"/>
    <mergeCell ref="E3:F3"/>
    <mergeCell ref="I8:J8"/>
    <mergeCell ref="K8:L8"/>
  </mergeCells>
  <phoneticPr fontId="2"/>
  <pageMargins left="0.44270833333333331" right="0.41666666666666669" top="0.60606060606060608" bottom="0.51136363636363635" header="0.3" footer="0.3"/>
  <pageSetup paperSize="9" scale="76" orientation="portrait" r:id="rId1"/>
  <headerFooter>
    <oddHeader>&amp;C&amp;"游ゴシック,太字"&amp;14R7年度　大阪府の在院患者の状況&amp;R&amp;"游ゴシック,標準"&amp;10R7.6.30時点</oddHeader>
    <oddFooter>&amp;R&amp;"メイリオ,レギュラー"&amp;10&amp;F</oddFooter>
  </headerFooter>
  <rowBreaks count="1" manualBreakCount="1">
    <brk id="9" max="6" man="1"/>
  </rowBreaks>
  <colBreaks count="1" manualBreakCount="1">
    <brk id="7" max="1048575" man="1"/>
  </col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9">
    <tabColor theme="7" tint="-0.249977111117893"/>
  </sheetPr>
  <dimension ref="K3:O67"/>
  <sheetViews>
    <sheetView view="pageBreakPreview" zoomScale="90" zoomScaleNormal="100" zoomScaleSheetLayoutView="90" workbookViewId="0"/>
  </sheetViews>
  <sheetFormatPr defaultRowHeight="18" customHeight="1" x14ac:dyDescent="0.2"/>
  <cols>
    <col min="1" max="9" width="9.88671875" customWidth="1"/>
    <col min="11" max="11" width="34.44140625" hidden="1" customWidth="1"/>
    <col min="12" max="12" width="8.88671875" hidden="1" customWidth="1"/>
    <col min="13" max="13" width="11.109375" hidden="1" customWidth="1"/>
    <col min="14" max="14" width="8.88671875" hidden="1" customWidth="1"/>
    <col min="15" max="15" width="0" hidden="1" customWidth="1"/>
  </cols>
  <sheetData>
    <row r="3" spans="11:13" ht="18" customHeight="1" x14ac:dyDescent="0.2">
      <c r="K3" s="291"/>
      <c r="L3" s="291" t="s">
        <v>284</v>
      </c>
      <c r="M3" s="291" t="s">
        <v>285</v>
      </c>
    </row>
    <row r="4" spans="11:13" ht="18" customHeight="1" x14ac:dyDescent="0.2">
      <c r="K4" s="340" t="s">
        <v>332</v>
      </c>
      <c r="L4" s="297">
        <f>'5-Ⅰ①'!D14</f>
        <v>0.35976789168278528</v>
      </c>
      <c r="M4" s="297">
        <f>'5-Ⅰ①'!F14</f>
        <v>0.33514986376021799</v>
      </c>
    </row>
    <row r="5" spans="11:13" ht="18" customHeight="1" x14ac:dyDescent="0.2">
      <c r="K5" s="340" t="s">
        <v>212</v>
      </c>
      <c r="L5" s="297">
        <f>'5-Ⅰ①'!D15</f>
        <v>0.2688588007736944</v>
      </c>
      <c r="M5" s="297">
        <f>'5-Ⅰ①'!F15</f>
        <v>0.22797456857402362</v>
      </c>
    </row>
    <row r="6" spans="11:13" ht="18" customHeight="1" x14ac:dyDescent="0.2">
      <c r="K6" s="340" t="s">
        <v>37</v>
      </c>
      <c r="L6" s="297">
        <f>'5-Ⅰ①'!D16</f>
        <v>7.7369439071566737E-2</v>
      </c>
      <c r="M6" s="297">
        <f>'5-Ⅰ①'!F16</f>
        <v>2.3614895549500452E-2</v>
      </c>
    </row>
    <row r="7" spans="11:13" ht="18" customHeight="1" x14ac:dyDescent="0.2">
      <c r="K7" s="340" t="s">
        <v>38</v>
      </c>
      <c r="L7" s="297">
        <f>'5-Ⅰ①'!D17</f>
        <v>0.3520309477756286</v>
      </c>
      <c r="M7" s="297">
        <f>'5-Ⅰ①'!F17</f>
        <v>0.40871934604904631</v>
      </c>
    </row>
    <row r="8" spans="11:13" ht="18" customHeight="1" x14ac:dyDescent="0.2">
      <c r="K8" s="340" t="s">
        <v>39</v>
      </c>
      <c r="L8" s="297">
        <f>'5-Ⅰ①'!D18</f>
        <v>0.40232108317214699</v>
      </c>
      <c r="M8" s="297">
        <f>'5-Ⅰ①'!F18</f>
        <v>0.40781108083560402</v>
      </c>
    </row>
    <row r="9" spans="11:13" ht="18" customHeight="1" x14ac:dyDescent="0.2">
      <c r="K9" s="340" t="s">
        <v>40</v>
      </c>
      <c r="L9" s="297">
        <f>'5-Ⅰ①'!D19</f>
        <v>0.31721470019342357</v>
      </c>
      <c r="M9" s="297">
        <f>'5-Ⅰ①'!F19</f>
        <v>0.29427792915531337</v>
      </c>
    </row>
    <row r="10" spans="11:13" ht="18" customHeight="1" x14ac:dyDescent="0.2">
      <c r="K10" s="340" t="s">
        <v>41</v>
      </c>
      <c r="L10" s="297">
        <f>'5-Ⅰ①'!D20</f>
        <v>8.5106382978723402E-2</v>
      </c>
      <c r="M10" s="297">
        <f>'5-Ⅰ①'!F20</f>
        <v>8.3560399636693913E-2</v>
      </c>
    </row>
    <row r="11" spans="11:13" ht="18" customHeight="1" x14ac:dyDescent="0.2">
      <c r="K11" s="340" t="s">
        <v>42</v>
      </c>
      <c r="L11" s="297">
        <f>'5-Ⅰ①'!D21</f>
        <v>0.30560928433268858</v>
      </c>
      <c r="M11" s="297">
        <f>'5-Ⅰ①'!F21</f>
        <v>0.33787465940054495</v>
      </c>
    </row>
    <row r="12" spans="11:13" ht="18" customHeight="1" x14ac:dyDescent="0.2">
      <c r="K12" s="340" t="s">
        <v>334</v>
      </c>
      <c r="L12" s="297">
        <f>'5-Ⅰ①'!D22</f>
        <v>0.17794970986460348</v>
      </c>
      <c r="M12" s="297">
        <f>'5-Ⅰ①'!F22</f>
        <v>0.17801998183469572</v>
      </c>
    </row>
    <row r="13" spans="11:13" ht="18" customHeight="1" x14ac:dyDescent="0.2">
      <c r="K13" s="341" t="s">
        <v>333</v>
      </c>
      <c r="L13" s="297">
        <f>'5-Ⅰ①'!D23</f>
        <v>0.14506769825918761</v>
      </c>
      <c r="M13" s="297">
        <f>'5-Ⅰ①'!F23</f>
        <v>0.17529518619436876</v>
      </c>
    </row>
    <row r="14" spans="11:13" ht="18" customHeight="1" x14ac:dyDescent="0.2">
      <c r="K14" s="340" t="s">
        <v>45</v>
      </c>
      <c r="L14" s="297">
        <f>'5-Ⅰ①'!D24</f>
        <v>0.32495164410058025</v>
      </c>
      <c r="M14" s="297">
        <f>'5-Ⅰ①'!F24</f>
        <v>0.34514078110808355</v>
      </c>
    </row>
    <row r="15" spans="11:13" ht="18" customHeight="1" x14ac:dyDescent="0.2">
      <c r="K15" s="340" t="s">
        <v>46</v>
      </c>
      <c r="L15" s="297">
        <f>'5-Ⅰ①'!D25</f>
        <v>5.0290135396518373E-2</v>
      </c>
      <c r="M15" s="297">
        <f>'5-Ⅰ①'!F25</f>
        <v>7.3569482288828342E-2</v>
      </c>
    </row>
    <row r="16" spans="11:13" ht="18" customHeight="1" x14ac:dyDescent="0.2">
      <c r="K16" s="340" t="s">
        <v>47</v>
      </c>
      <c r="L16" s="297">
        <f>'5-Ⅰ①'!D26</f>
        <v>3.6750483558994199E-2</v>
      </c>
      <c r="M16" s="297">
        <f>'5-Ⅰ①'!F26</f>
        <v>5.5404178019981834E-2</v>
      </c>
    </row>
    <row r="17" spans="11:13" ht="18" customHeight="1" x14ac:dyDescent="0.2">
      <c r="K17" s="340" t="s">
        <v>48</v>
      </c>
      <c r="L17" s="297">
        <f>'5-Ⅰ①'!D27</f>
        <v>5.8027079303675051E-3</v>
      </c>
      <c r="M17" s="297">
        <f>'5-Ⅰ①'!F27</f>
        <v>1.3623978201634877E-2</v>
      </c>
    </row>
    <row r="18" spans="11:13" ht="18" customHeight="1" x14ac:dyDescent="0.2">
      <c r="K18" s="340" t="s">
        <v>49</v>
      </c>
      <c r="L18" s="297">
        <f>'5-Ⅰ①'!D28</f>
        <v>7.9303675048355893E-2</v>
      </c>
      <c r="M18" s="297">
        <f>'5-Ⅰ①'!F28</f>
        <v>9.264305177111716E-2</v>
      </c>
    </row>
    <row r="19" spans="11:13" ht="18" customHeight="1" x14ac:dyDescent="0.2">
      <c r="K19" s="340" t="s">
        <v>50</v>
      </c>
      <c r="L19" s="297">
        <f>'5-Ⅰ①'!D29</f>
        <v>8.8974854932301742E-2</v>
      </c>
      <c r="M19" s="297">
        <f>'5-Ⅰ①'!F29</f>
        <v>8.3560399636693913E-2</v>
      </c>
    </row>
    <row r="20" spans="11:13" ht="18" customHeight="1" x14ac:dyDescent="0.2">
      <c r="K20" s="340" t="s">
        <v>314</v>
      </c>
      <c r="L20" s="297">
        <f>'5-Ⅰ①'!D30</f>
        <v>7.7369439071566732E-3</v>
      </c>
      <c r="M20" s="297">
        <f>'5-Ⅰ①'!F30</f>
        <v>1.4532243415077202E-2</v>
      </c>
    </row>
    <row r="21" spans="11:13" ht="18" customHeight="1" x14ac:dyDescent="0.2">
      <c r="K21" s="377" t="s">
        <v>352</v>
      </c>
      <c r="L21" s="297">
        <f>'5-Ⅰ①'!D31</f>
        <v>7.7369439071566737E-2</v>
      </c>
      <c r="M21" s="297">
        <f>'5-Ⅰ①'!F31</f>
        <v>0.24613987284287012</v>
      </c>
    </row>
    <row r="22" spans="11:13" ht="18" customHeight="1" x14ac:dyDescent="0.2">
      <c r="K22" s="377" t="s">
        <v>353</v>
      </c>
      <c r="L22" s="297">
        <f>'5-Ⅰ①'!D32</f>
        <v>4.4487427466150871E-2</v>
      </c>
      <c r="M22" s="297">
        <f>'5-Ⅰ①'!F32</f>
        <v>9.0826521344232511E-2</v>
      </c>
    </row>
    <row r="23" spans="11:13" ht="18" customHeight="1" x14ac:dyDescent="0.2">
      <c r="K23" s="377" t="s">
        <v>52</v>
      </c>
      <c r="L23" s="297">
        <f>'5-Ⅰ①'!D33</f>
        <v>2.7079303675048357E-2</v>
      </c>
      <c r="M23" s="297">
        <f>'5-Ⅰ①'!F33</f>
        <v>2.2706630336058128E-2</v>
      </c>
    </row>
    <row r="47" spans="11:15" ht="18" customHeight="1" x14ac:dyDescent="0.2">
      <c r="K47" s="1"/>
      <c r="L47" s="298" t="s">
        <v>335</v>
      </c>
      <c r="M47" s="299" t="s">
        <v>336</v>
      </c>
      <c r="N47" s="299" t="s">
        <v>337</v>
      </c>
      <c r="O47" s="298" t="s">
        <v>338</v>
      </c>
    </row>
    <row r="48" spans="11:15" ht="18" customHeight="1" x14ac:dyDescent="0.2">
      <c r="K48" s="300" t="s">
        <v>332</v>
      </c>
      <c r="L48" s="297">
        <f>'５-Ⅰ②'!D14</f>
        <v>0.31660899653979241</v>
      </c>
      <c r="M48" s="297">
        <f>'５-Ⅰ②'!F14</f>
        <v>0.35807050092764381</v>
      </c>
      <c r="N48" s="297">
        <f>'５-Ⅰ②'!H14</f>
        <v>0.3510204081632653</v>
      </c>
      <c r="O48" s="297">
        <f>'５-Ⅰ②'!J14</f>
        <v>0.36328125</v>
      </c>
    </row>
    <row r="49" spans="11:15" ht="18" customHeight="1" x14ac:dyDescent="0.2">
      <c r="K49" s="300" t="s">
        <v>212</v>
      </c>
      <c r="L49" s="297">
        <f>'５-Ⅰ②'!D15</f>
        <v>0.22664359861591696</v>
      </c>
      <c r="M49" s="297">
        <f>'５-Ⅰ②'!F15</f>
        <v>0.22077922077922077</v>
      </c>
      <c r="N49" s="297">
        <f>'５-Ⅰ②'!H15</f>
        <v>0.26530612244897961</v>
      </c>
      <c r="O49" s="297">
        <f>'５-Ⅰ②'!J15</f>
        <v>0.29296875</v>
      </c>
    </row>
    <row r="50" spans="11:15" ht="18" customHeight="1" x14ac:dyDescent="0.2">
      <c r="K50" s="300" t="s">
        <v>37</v>
      </c>
      <c r="L50" s="297">
        <f>'５-Ⅰ②'!D16</f>
        <v>4.6712802768166091E-2</v>
      </c>
      <c r="M50" s="297">
        <f>'５-Ⅰ②'!F16</f>
        <v>4.4526901669758812E-2</v>
      </c>
      <c r="N50" s="297">
        <f>'５-Ⅰ②'!H16</f>
        <v>3.2653061224489799E-2</v>
      </c>
      <c r="O50" s="297">
        <f>'５-Ⅰ②'!J16</f>
        <v>2.734375E-2</v>
      </c>
    </row>
    <row r="51" spans="11:15" ht="18" customHeight="1" x14ac:dyDescent="0.2">
      <c r="K51" s="300" t="s">
        <v>38</v>
      </c>
      <c r="L51" s="297">
        <f>'５-Ⅰ②'!D17</f>
        <v>0.19204152249134948</v>
      </c>
      <c r="M51" s="297">
        <f>'５-Ⅰ②'!F17</f>
        <v>0.42671614100185529</v>
      </c>
      <c r="N51" s="297">
        <f>'５-Ⅰ②'!H17</f>
        <v>0.53061224489795922</v>
      </c>
      <c r="O51" s="297">
        <f>'５-Ⅰ②'!J17</f>
        <v>0.62890625</v>
      </c>
    </row>
    <row r="52" spans="11:15" ht="18" customHeight="1" x14ac:dyDescent="0.2">
      <c r="K52" s="300" t="s">
        <v>39</v>
      </c>
      <c r="L52" s="297">
        <f>'５-Ⅰ②'!D18</f>
        <v>0.33564013840830448</v>
      </c>
      <c r="M52" s="297">
        <f>'５-Ⅰ②'!F18</f>
        <v>0.4137291280148423</v>
      </c>
      <c r="N52" s="297">
        <f>'５-Ⅰ②'!H18</f>
        <v>0.45306122448979591</v>
      </c>
      <c r="O52" s="297">
        <f>'５-Ⅰ②'!J18</f>
        <v>0.50390625</v>
      </c>
    </row>
    <row r="53" spans="11:15" ht="18" customHeight="1" x14ac:dyDescent="0.2">
      <c r="K53" s="300" t="s">
        <v>40</v>
      </c>
      <c r="L53" s="297">
        <f>'５-Ⅰ②'!D19</f>
        <v>0.24394463667820068</v>
      </c>
      <c r="M53" s="297">
        <f>'５-Ⅰ②'!F19</f>
        <v>0.30983302411873842</v>
      </c>
      <c r="N53" s="297">
        <f>'５-Ⅰ②'!H19</f>
        <v>0.32653061224489793</v>
      </c>
      <c r="O53" s="297">
        <f>'５-Ⅰ②'!J19</f>
        <v>0.390625</v>
      </c>
    </row>
    <row r="54" spans="11:15" ht="18" customHeight="1" x14ac:dyDescent="0.2">
      <c r="K54" s="300" t="s">
        <v>41</v>
      </c>
      <c r="L54" s="297">
        <f>'５-Ⅰ②'!D20</f>
        <v>8.8235294117647065E-2</v>
      </c>
      <c r="M54" s="297">
        <f>'５-Ⅰ②'!F20</f>
        <v>6.8645640074211506E-2</v>
      </c>
      <c r="N54" s="297">
        <f>'５-Ⅰ②'!H20</f>
        <v>9.3877551020408165E-2</v>
      </c>
      <c r="O54" s="297">
        <f>'５-Ⅰ②'!J20</f>
        <v>9.765625E-2</v>
      </c>
    </row>
    <row r="55" spans="11:15" ht="18" customHeight="1" x14ac:dyDescent="0.2">
      <c r="K55" s="300" t="s">
        <v>42</v>
      </c>
      <c r="L55" s="297">
        <f>'５-Ⅰ②'!D21</f>
        <v>0.30622837370242212</v>
      </c>
      <c r="M55" s="297">
        <f>'５-Ⅰ②'!F21</f>
        <v>0.33024118738404451</v>
      </c>
      <c r="N55" s="297">
        <f>'５-Ⅰ②'!H21</f>
        <v>0.36326530612244901</v>
      </c>
      <c r="O55" s="297">
        <f>'５-Ⅰ②'!J21</f>
        <v>0.3359375</v>
      </c>
    </row>
    <row r="56" spans="11:15" ht="18" customHeight="1" x14ac:dyDescent="0.2">
      <c r="K56" s="300" t="s">
        <v>334</v>
      </c>
      <c r="L56" s="297">
        <f>'５-Ⅰ②'!D22</f>
        <v>0.1245674740484429</v>
      </c>
      <c r="M56" s="297">
        <f>'５-Ⅰ②'!F22</f>
        <v>0.20037105751391465</v>
      </c>
      <c r="N56" s="297">
        <f>'５-Ⅰ②'!H22</f>
        <v>0.18775510204081633</v>
      </c>
      <c r="O56" s="297">
        <f>'５-Ⅰ②'!J22</f>
        <v>0.2421875</v>
      </c>
    </row>
    <row r="57" spans="11:15" ht="18" customHeight="1" x14ac:dyDescent="0.2">
      <c r="K57" s="301" t="s">
        <v>333</v>
      </c>
      <c r="L57" s="297">
        <f>'５-Ⅰ②'!D23</f>
        <v>0.12283737024221453</v>
      </c>
      <c r="M57" s="297">
        <f>'５-Ⅰ②'!F23</f>
        <v>0.20222634508348794</v>
      </c>
      <c r="N57" s="297">
        <f>'５-Ⅰ②'!H23</f>
        <v>0.21632653061224491</v>
      </c>
      <c r="O57" s="297">
        <f>'５-Ⅰ②'!J23</f>
        <v>0.13671875</v>
      </c>
    </row>
    <row r="58" spans="11:15" ht="18" customHeight="1" x14ac:dyDescent="0.2">
      <c r="K58" s="300" t="s">
        <v>45</v>
      </c>
      <c r="L58" s="297">
        <f>'５-Ⅰ②'!D24</f>
        <v>0.4290657439446367</v>
      </c>
      <c r="M58" s="297">
        <f>'５-Ⅰ②'!F24</f>
        <v>0.33209647495361783</v>
      </c>
      <c r="N58" s="297">
        <f>'５-Ⅰ②'!H24</f>
        <v>0.24897959183673468</v>
      </c>
      <c r="O58" s="297">
        <f>'５-Ⅰ②'!J24</f>
        <v>0.234375</v>
      </c>
    </row>
    <row r="59" spans="11:15" ht="18" customHeight="1" x14ac:dyDescent="0.2">
      <c r="K59" s="300" t="s">
        <v>46</v>
      </c>
      <c r="L59" s="297">
        <f>'５-Ⅰ②'!D25</f>
        <v>8.4775086505190306E-2</v>
      </c>
      <c r="M59" s="297">
        <f>'５-Ⅰ②'!F25</f>
        <v>5.9369202226345084E-2</v>
      </c>
      <c r="N59" s="297">
        <f>'５-Ⅰ②'!H25</f>
        <v>5.3061224489795916E-2</v>
      </c>
      <c r="O59" s="297">
        <f>'５-Ⅰ②'!J25</f>
        <v>5.078125E-2</v>
      </c>
    </row>
    <row r="60" spans="11:15" ht="18" customHeight="1" x14ac:dyDescent="0.2">
      <c r="K60" s="300" t="s">
        <v>47</v>
      </c>
      <c r="L60" s="297">
        <f>'５-Ⅰ②'!D26</f>
        <v>6.7474048442906581E-2</v>
      </c>
      <c r="M60" s="297">
        <f>'５-Ⅰ②'!F26</f>
        <v>4.267161410018553E-2</v>
      </c>
      <c r="N60" s="297">
        <f>'５-Ⅰ②'!H26</f>
        <v>3.6734693877551024E-2</v>
      </c>
      <c r="O60" s="297">
        <f>'５-Ⅰ②'!J26</f>
        <v>3.515625E-2</v>
      </c>
    </row>
    <row r="61" spans="11:15" ht="18" customHeight="1" x14ac:dyDescent="0.2">
      <c r="K61" s="300" t="s">
        <v>48</v>
      </c>
      <c r="L61" s="297">
        <f>'５-Ⅰ②'!D27</f>
        <v>2.4221453287197232E-2</v>
      </c>
      <c r="M61" s="297">
        <f>'５-Ⅰ②'!F27</f>
        <v>5.5658627087198514E-3</v>
      </c>
      <c r="N61" s="297">
        <f>'５-Ⅰ②'!H27</f>
        <v>4.0816326530612249E-3</v>
      </c>
      <c r="O61" s="297">
        <f>'５-Ⅰ②'!J27</f>
        <v>0</v>
      </c>
    </row>
    <row r="62" spans="11:15" ht="18" customHeight="1" x14ac:dyDescent="0.2">
      <c r="K62" s="300" t="s">
        <v>49</v>
      </c>
      <c r="L62" s="297">
        <f>'５-Ⅰ②'!D28</f>
        <v>8.1314878892733561E-2</v>
      </c>
      <c r="M62" s="297">
        <f>'５-Ⅰ②'!F28</f>
        <v>9.0909090909090912E-2</v>
      </c>
      <c r="N62" s="297">
        <f>'５-Ⅰ②'!H28</f>
        <v>6.5306122448979598E-2</v>
      </c>
      <c r="O62" s="297">
        <f>'５-Ⅰ②'!J28</f>
        <v>0.12109375</v>
      </c>
    </row>
    <row r="63" spans="11:15" ht="18" customHeight="1" x14ac:dyDescent="0.2">
      <c r="K63" s="300" t="s">
        <v>50</v>
      </c>
      <c r="L63" s="297">
        <f>'５-Ⅰ②'!D29</f>
        <v>9.3425605536332182E-2</v>
      </c>
      <c r="M63" s="297">
        <f>'５-Ⅰ②'!F29</f>
        <v>5.5658627087198514E-2</v>
      </c>
      <c r="N63" s="297">
        <f>'５-Ⅰ②'!H29</f>
        <v>0.10204081632653061</v>
      </c>
      <c r="O63" s="297">
        <f>'５-Ⅰ②'!J29</f>
        <v>0.11328125</v>
      </c>
    </row>
    <row r="64" spans="11:15" ht="18" customHeight="1" x14ac:dyDescent="0.2">
      <c r="K64" s="300" t="s">
        <v>314</v>
      </c>
      <c r="L64" s="297">
        <f>'５-Ⅰ②'!D30</f>
        <v>1.2110726643598616E-2</v>
      </c>
      <c r="M64" s="297">
        <f>'５-Ⅰ②'!F30</f>
        <v>1.6697588126159554E-2</v>
      </c>
      <c r="N64" s="297">
        <f>'５-Ⅰ②'!H30</f>
        <v>1.2244897959183673E-2</v>
      </c>
      <c r="O64" s="297">
        <f>'５-Ⅰ②'!J30</f>
        <v>3.90625E-3</v>
      </c>
    </row>
    <row r="65" spans="11:15" ht="18" customHeight="1" x14ac:dyDescent="0.2">
      <c r="K65" s="300" t="s">
        <v>352</v>
      </c>
      <c r="L65" s="297">
        <f>'５-Ⅰ②'!D31</f>
        <v>0.20934256055363321</v>
      </c>
      <c r="M65" s="297">
        <f>'５-Ⅰ②'!F31</f>
        <v>0.22634508348794063</v>
      </c>
      <c r="N65" s="297">
        <f>'５-Ⅰ②'!H31</f>
        <v>0.16734693877551021</v>
      </c>
      <c r="O65" s="297">
        <f>'５-Ⅰ②'!J31</f>
        <v>0.10546875</v>
      </c>
    </row>
    <row r="66" spans="11:15" ht="18" customHeight="1" x14ac:dyDescent="0.2">
      <c r="K66" s="196" t="s">
        <v>353</v>
      </c>
      <c r="L66" s="297">
        <f>'５-Ⅰ②'!D32</f>
        <v>9.8615916955017299E-2</v>
      </c>
      <c r="M66" s="297">
        <f>'５-Ⅰ②'!F32</f>
        <v>7.2356215213358069E-2</v>
      </c>
      <c r="N66" s="297">
        <f>'５-Ⅰ②'!H32</f>
        <v>6.5306122448979598E-2</v>
      </c>
      <c r="O66" s="297">
        <f>'５-Ⅰ②'!J32</f>
        <v>4.296875E-2</v>
      </c>
    </row>
    <row r="67" spans="11:15" ht="18" customHeight="1" x14ac:dyDescent="0.2">
      <c r="K67" s="196" t="s">
        <v>52</v>
      </c>
      <c r="L67" s="297">
        <f>'５-Ⅰ②'!D33</f>
        <v>3.9792387543252594E-2</v>
      </c>
      <c r="M67" s="297">
        <f>'５-Ⅰ②'!F33</f>
        <v>1.8552875695732839E-2</v>
      </c>
      <c r="N67" s="297">
        <f>'５-Ⅰ②'!H33</f>
        <v>1.2244897959183673E-2</v>
      </c>
      <c r="O67" s="297">
        <f>'５-Ⅰ②'!J33</f>
        <v>1.171875E-2</v>
      </c>
    </row>
  </sheetData>
  <phoneticPr fontId="2"/>
  <pageMargins left="0.44270833333333331" right="0.41666666666666669" top="0.60606060606060608" bottom="0.51136363636363635" header="0.3" footer="0.3"/>
  <pageSetup paperSize="9" orientation="portrait" r:id="rId1"/>
  <headerFooter>
    <oddHeader>&amp;C&amp;"游ゴシック,太字"&amp;14R7年度　大阪府の在院患者の状況&amp;R&amp;"游ゴシック,標準"&amp;10R7.6.30時点</oddHeader>
    <oddFooter>&amp;R&amp;"メイリオ,レギュラー"&amp;10&amp;F</oddFooter>
  </headerFooter>
  <rowBreaks count="1" manualBreakCount="1">
    <brk id="44" max="8"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6">
    <tabColor theme="7" tint="-0.249977111117893"/>
  </sheetPr>
  <dimension ref="K3:O67"/>
  <sheetViews>
    <sheetView view="pageBreakPreview" zoomScale="90" zoomScaleNormal="100" zoomScaleSheetLayoutView="90" workbookViewId="0"/>
  </sheetViews>
  <sheetFormatPr defaultRowHeight="18" customHeight="1" x14ac:dyDescent="0.2"/>
  <cols>
    <col min="1" max="9" width="9.88671875" customWidth="1"/>
    <col min="11" max="11" width="34.44140625" hidden="1" customWidth="1"/>
    <col min="12" max="12" width="0" hidden="1" customWidth="1"/>
    <col min="13" max="13" width="11.109375" hidden="1" customWidth="1"/>
    <col min="14" max="15" width="0" hidden="1" customWidth="1"/>
  </cols>
  <sheetData>
    <row r="3" spans="11:13" ht="18" customHeight="1" x14ac:dyDescent="0.2">
      <c r="K3" s="291"/>
      <c r="L3" s="291" t="s">
        <v>284</v>
      </c>
      <c r="M3" s="291" t="s">
        <v>285</v>
      </c>
    </row>
    <row r="4" spans="11:13" ht="18" customHeight="1" x14ac:dyDescent="0.2">
      <c r="K4" s="340" t="s">
        <v>332</v>
      </c>
      <c r="L4" s="297">
        <f>'5-Ⅰ①'!D48</f>
        <v>0.24867724867724866</v>
      </c>
      <c r="M4" s="297">
        <f>'5-Ⅰ①'!F48</f>
        <v>0.27702702702702703</v>
      </c>
    </row>
    <row r="5" spans="11:13" ht="18" customHeight="1" x14ac:dyDescent="0.2">
      <c r="K5" s="340" t="s">
        <v>212</v>
      </c>
      <c r="L5" s="297">
        <f>'5-Ⅰ①'!D49</f>
        <v>0.19047619047619047</v>
      </c>
      <c r="M5" s="297">
        <f>'5-Ⅰ①'!F49</f>
        <v>0.15878378378378377</v>
      </c>
    </row>
    <row r="6" spans="11:13" ht="18" customHeight="1" x14ac:dyDescent="0.2">
      <c r="K6" s="340" t="s">
        <v>37</v>
      </c>
      <c r="L6" s="297">
        <f>'5-Ⅰ①'!D50</f>
        <v>5.2910052910052907E-2</v>
      </c>
      <c r="M6" s="297">
        <f>'5-Ⅰ①'!F50</f>
        <v>6.7567567567567571E-3</v>
      </c>
    </row>
    <row r="7" spans="11:13" ht="18" customHeight="1" x14ac:dyDescent="0.2">
      <c r="K7" s="340" t="s">
        <v>38</v>
      </c>
      <c r="L7" s="297">
        <f>'5-Ⅰ①'!D51</f>
        <v>0.30158730158730157</v>
      </c>
      <c r="M7" s="297">
        <f>'5-Ⅰ①'!F51</f>
        <v>0.41216216216216217</v>
      </c>
    </row>
    <row r="8" spans="11:13" ht="18" customHeight="1" x14ac:dyDescent="0.2">
      <c r="K8" s="340" t="s">
        <v>39</v>
      </c>
      <c r="L8" s="297">
        <f>'5-Ⅰ①'!D52</f>
        <v>0.27513227513227512</v>
      </c>
      <c r="M8" s="297">
        <f>'5-Ⅰ①'!F52</f>
        <v>0.27364864864864863</v>
      </c>
    </row>
    <row r="9" spans="11:13" ht="18" customHeight="1" x14ac:dyDescent="0.2">
      <c r="K9" s="340" t="s">
        <v>40</v>
      </c>
      <c r="L9" s="297">
        <f>'5-Ⅰ①'!D53</f>
        <v>0.29629629629629628</v>
      </c>
      <c r="M9" s="297">
        <f>'5-Ⅰ①'!F53</f>
        <v>0.26351351351351349</v>
      </c>
    </row>
    <row r="10" spans="11:13" ht="18" customHeight="1" x14ac:dyDescent="0.2">
      <c r="K10" s="340" t="s">
        <v>41</v>
      </c>
      <c r="L10" s="297">
        <f>'5-Ⅰ①'!D54</f>
        <v>5.8201058201058198E-2</v>
      </c>
      <c r="M10" s="297">
        <f>'5-Ⅰ①'!F54</f>
        <v>3.7162162162162164E-2</v>
      </c>
    </row>
    <row r="11" spans="11:13" ht="18" customHeight="1" x14ac:dyDescent="0.2">
      <c r="K11" s="340" t="s">
        <v>42</v>
      </c>
      <c r="L11" s="297">
        <f>'5-Ⅰ①'!D55</f>
        <v>0.23809523809523808</v>
      </c>
      <c r="M11" s="297">
        <f>'5-Ⅰ①'!F55</f>
        <v>0.28716216216216217</v>
      </c>
    </row>
    <row r="12" spans="11:13" ht="18" customHeight="1" x14ac:dyDescent="0.2">
      <c r="K12" s="340" t="s">
        <v>334</v>
      </c>
      <c r="L12" s="297">
        <f>'5-Ⅰ①'!D56</f>
        <v>0.13756613756613756</v>
      </c>
      <c r="M12" s="297">
        <f>'5-Ⅰ①'!F56</f>
        <v>0.14527027027027026</v>
      </c>
    </row>
    <row r="13" spans="11:13" ht="18" customHeight="1" x14ac:dyDescent="0.2">
      <c r="K13" s="341" t="s">
        <v>333</v>
      </c>
      <c r="L13" s="297">
        <f>'5-Ⅰ①'!D57</f>
        <v>0.1693121693121693</v>
      </c>
      <c r="M13" s="297">
        <f>'5-Ⅰ①'!F57</f>
        <v>0.14527027027027026</v>
      </c>
    </row>
    <row r="14" spans="11:13" ht="18" customHeight="1" x14ac:dyDescent="0.2">
      <c r="K14" s="340" t="s">
        <v>45</v>
      </c>
      <c r="L14" s="297">
        <f>'5-Ⅰ①'!D58</f>
        <v>0.38095238095238093</v>
      </c>
      <c r="M14" s="297">
        <f>'5-Ⅰ①'!F58</f>
        <v>0.32432432432432434</v>
      </c>
    </row>
    <row r="15" spans="11:13" ht="18" customHeight="1" x14ac:dyDescent="0.2">
      <c r="K15" s="340" t="s">
        <v>46</v>
      </c>
      <c r="L15" s="297">
        <f>'5-Ⅰ①'!D59</f>
        <v>6.3492063492063489E-2</v>
      </c>
      <c r="M15" s="297">
        <f>'5-Ⅰ①'!F59</f>
        <v>5.0675675675675678E-2</v>
      </c>
    </row>
    <row r="16" spans="11:13" ht="18" customHeight="1" x14ac:dyDescent="0.2">
      <c r="K16" s="340" t="s">
        <v>47</v>
      </c>
      <c r="L16" s="297">
        <f>'5-Ⅰ①'!D60</f>
        <v>2.1164021164021163E-2</v>
      </c>
      <c r="M16" s="297">
        <f>'5-Ⅰ①'!F60</f>
        <v>3.3783783783783786E-2</v>
      </c>
    </row>
    <row r="17" spans="11:13" ht="18" customHeight="1" x14ac:dyDescent="0.2">
      <c r="K17" s="340" t="s">
        <v>48</v>
      </c>
      <c r="L17" s="297">
        <f>'5-Ⅰ①'!D61</f>
        <v>0</v>
      </c>
      <c r="M17" s="297">
        <f>'5-Ⅰ①'!F61</f>
        <v>3.3783783783783786E-3</v>
      </c>
    </row>
    <row r="18" spans="11:13" ht="18" customHeight="1" x14ac:dyDescent="0.2">
      <c r="K18" s="340" t="s">
        <v>49</v>
      </c>
      <c r="L18" s="297">
        <f>'5-Ⅰ①'!D62</f>
        <v>6.3492063492063489E-2</v>
      </c>
      <c r="M18" s="297">
        <f>'5-Ⅰ①'!F62</f>
        <v>0.11486486486486487</v>
      </c>
    </row>
    <row r="19" spans="11:13" ht="18" customHeight="1" x14ac:dyDescent="0.2">
      <c r="K19" s="340" t="s">
        <v>50</v>
      </c>
      <c r="L19" s="297">
        <f>'5-Ⅰ①'!D63</f>
        <v>7.407407407407407E-2</v>
      </c>
      <c r="M19" s="297">
        <f>'5-Ⅰ①'!F63</f>
        <v>8.1081081081081086E-2</v>
      </c>
    </row>
    <row r="20" spans="11:13" ht="18" customHeight="1" x14ac:dyDescent="0.2">
      <c r="K20" s="340" t="s">
        <v>314</v>
      </c>
      <c r="L20" s="297">
        <f>'5-Ⅰ①'!D64</f>
        <v>2.1164021164021163E-2</v>
      </c>
      <c r="M20" s="297">
        <f>'5-Ⅰ①'!F64</f>
        <v>2.7027027027027029E-2</v>
      </c>
    </row>
    <row r="21" spans="11:13" ht="18" customHeight="1" x14ac:dyDescent="0.2">
      <c r="K21" s="377" t="s">
        <v>352</v>
      </c>
      <c r="L21" s="297">
        <f>'5-Ⅰ①'!D65</f>
        <v>5.8201058201058198E-2</v>
      </c>
      <c r="M21" s="297">
        <f>'5-Ⅰ①'!F65</f>
        <v>0.26013513513513514</v>
      </c>
    </row>
    <row r="22" spans="11:13" ht="18" customHeight="1" x14ac:dyDescent="0.2">
      <c r="K22" s="377" t="s">
        <v>353</v>
      </c>
      <c r="L22" s="297">
        <f>'5-Ⅰ①'!D66</f>
        <v>3.1746031746031744E-2</v>
      </c>
      <c r="M22" s="297">
        <f>'5-Ⅰ①'!F66</f>
        <v>0.14527027027027026</v>
      </c>
    </row>
    <row r="23" spans="11:13" ht="18" customHeight="1" x14ac:dyDescent="0.2">
      <c r="K23" s="377" t="s">
        <v>52</v>
      </c>
      <c r="L23" s="297">
        <f>'5-Ⅰ①'!D67</f>
        <v>5.8201058201058198E-2</v>
      </c>
      <c r="M23" s="297">
        <f>'5-Ⅰ①'!F67</f>
        <v>4.3918918918918921E-2</v>
      </c>
    </row>
    <row r="47" spans="11:15" ht="18" customHeight="1" x14ac:dyDescent="0.2">
      <c r="K47" s="352"/>
      <c r="L47" s="298" t="s">
        <v>335</v>
      </c>
      <c r="M47" s="299" t="s">
        <v>336</v>
      </c>
      <c r="N47" s="299" t="s">
        <v>337</v>
      </c>
      <c r="O47" s="298" t="s">
        <v>338</v>
      </c>
    </row>
    <row r="48" spans="11:15" ht="18" customHeight="1" x14ac:dyDescent="0.2">
      <c r="K48" s="300" t="s">
        <v>332</v>
      </c>
      <c r="L48" s="297">
        <f>'５-Ⅰ②'!D48</f>
        <v>0.25388601036269431</v>
      </c>
      <c r="M48" s="297">
        <f>'５-Ⅰ②'!F48</f>
        <v>0.26751592356687898</v>
      </c>
      <c r="N48" s="297">
        <f>'５-Ⅰ②'!H48</f>
        <v>0.296875</v>
      </c>
      <c r="O48" s="297">
        <f>'５-Ⅰ②'!J48</f>
        <v>0.26760563380281688</v>
      </c>
    </row>
    <row r="49" spans="11:15" ht="18" customHeight="1" x14ac:dyDescent="0.2">
      <c r="K49" s="300" t="s">
        <v>212</v>
      </c>
      <c r="L49" s="297">
        <f>'５-Ⅰ②'!D49</f>
        <v>0.17616580310880828</v>
      </c>
      <c r="M49" s="297">
        <f>'５-Ⅰ②'!F49</f>
        <v>0.15923566878980891</v>
      </c>
      <c r="N49" s="297">
        <f>'５-Ⅰ②'!H49</f>
        <v>0.1875</v>
      </c>
      <c r="O49" s="297">
        <f>'５-Ⅰ②'!J49</f>
        <v>0.16901408450704225</v>
      </c>
    </row>
    <row r="50" spans="11:15" ht="18" customHeight="1" x14ac:dyDescent="0.2">
      <c r="K50" s="300" t="s">
        <v>37</v>
      </c>
      <c r="L50" s="297">
        <f>'５-Ⅰ②'!D50</f>
        <v>4.145077720207254E-2</v>
      </c>
      <c r="M50" s="297">
        <f>'５-Ⅰ②'!F50</f>
        <v>1.9108280254777069E-2</v>
      </c>
      <c r="N50" s="297">
        <f>'５-Ⅰ②'!H50</f>
        <v>0</v>
      </c>
      <c r="O50" s="297">
        <f>'５-Ⅰ②'!J50</f>
        <v>1.4084507042253521E-2</v>
      </c>
    </row>
    <row r="51" spans="11:15" ht="18" customHeight="1" x14ac:dyDescent="0.2">
      <c r="K51" s="300" t="s">
        <v>38</v>
      </c>
      <c r="L51" s="297">
        <f>'５-Ⅰ②'!D51</f>
        <v>0.15544041450777202</v>
      </c>
      <c r="M51" s="297">
        <f>'５-Ⅰ②'!F51</f>
        <v>0.42675159235668791</v>
      </c>
      <c r="N51" s="297">
        <f>'５-Ⅰ②'!H51</f>
        <v>0.625</v>
      </c>
      <c r="O51" s="297">
        <f>'５-Ⅰ②'!J51</f>
        <v>0.59154929577464788</v>
      </c>
    </row>
    <row r="52" spans="11:15" ht="18" customHeight="1" x14ac:dyDescent="0.2">
      <c r="K52" s="300" t="s">
        <v>39</v>
      </c>
      <c r="L52" s="297">
        <f>'５-Ⅰ②'!D52</f>
        <v>0.19170984455958548</v>
      </c>
      <c r="M52" s="297">
        <f>'５-Ⅰ②'!F52</f>
        <v>0.27388535031847133</v>
      </c>
      <c r="N52" s="297">
        <f>'５-Ⅰ②'!H52</f>
        <v>0.390625</v>
      </c>
      <c r="O52" s="297">
        <f>'５-Ⅰ②'!J52</f>
        <v>0.39436619718309857</v>
      </c>
    </row>
    <row r="53" spans="11:15" ht="18" customHeight="1" x14ac:dyDescent="0.2">
      <c r="K53" s="300" t="s">
        <v>40</v>
      </c>
      <c r="L53" s="297">
        <f>'５-Ⅰ②'!D53</f>
        <v>0.18134715025906736</v>
      </c>
      <c r="M53" s="297">
        <f>'５-Ⅰ②'!F53</f>
        <v>0.31847133757961782</v>
      </c>
      <c r="N53" s="297">
        <f>'５-Ⅰ②'!H53</f>
        <v>0.328125</v>
      </c>
      <c r="O53" s="297">
        <f>'５-Ⅰ②'!J53</f>
        <v>0.39436619718309857</v>
      </c>
    </row>
    <row r="54" spans="11:15" ht="18" customHeight="1" x14ac:dyDescent="0.2">
      <c r="K54" s="300" t="s">
        <v>41</v>
      </c>
      <c r="L54" s="297">
        <f>'５-Ⅰ②'!D54</f>
        <v>5.6994818652849742E-2</v>
      </c>
      <c r="M54" s="297">
        <f>'５-Ⅰ②'!F54</f>
        <v>3.1847133757961783E-2</v>
      </c>
      <c r="N54" s="297">
        <f>'５-Ⅰ②'!H54</f>
        <v>6.25E-2</v>
      </c>
      <c r="O54" s="297">
        <f>'５-Ⅰ②'!J54</f>
        <v>2.8169014084507043E-2</v>
      </c>
    </row>
    <row r="55" spans="11:15" ht="18" customHeight="1" x14ac:dyDescent="0.2">
      <c r="K55" s="300" t="s">
        <v>42</v>
      </c>
      <c r="L55" s="297">
        <f>'５-Ⅰ②'!D55</f>
        <v>0.23834196891191708</v>
      </c>
      <c r="M55" s="297">
        <f>'５-Ⅰ②'!F55</f>
        <v>0.26751592356687898</v>
      </c>
      <c r="N55" s="297">
        <f>'５-Ⅰ②'!H55</f>
        <v>0.359375</v>
      </c>
      <c r="O55" s="297">
        <f>'５-Ⅰ②'!J55</f>
        <v>0.26760563380281688</v>
      </c>
    </row>
    <row r="56" spans="11:15" ht="18" customHeight="1" x14ac:dyDescent="0.2">
      <c r="K56" s="300" t="s">
        <v>334</v>
      </c>
      <c r="L56" s="297">
        <f>'５-Ⅰ②'!D56</f>
        <v>0.12953367875647667</v>
      </c>
      <c r="M56" s="297">
        <f>'５-Ⅰ②'!F56</f>
        <v>0.16560509554140126</v>
      </c>
      <c r="N56" s="297">
        <f>'５-Ⅰ②'!H56</f>
        <v>0.109375</v>
      </c>
      <c r="O56" s="297">
        <f>'５-Ⅰ②'!J56</f>
        <v>0.15492957746478872</v>
      </c>
    </row>
    <row r="57" spans="11:15" ht="18" customHeight="1" x14ac:dyDescent="0.2">
      <c r="K57" s="301" t="s">
        <v>333</v>
      </c>
      <c r="L57" s="297">
        <f>'５-Ⅰ②'!D57</f>
        <v>9.3264248704663211E-2</v>
      </c>
      <c r="M57" s="297">
        <f>'５-Ⅰ②'!F57</f>
        <v>0.18471337579617833</v>
      </c>
      <c r="N57" s="297">
        <f>'５-Ⅰ②'!H57</f>
        <v>0.25</v>
      </c>
      <c r="O57" s="297">
        <f>'５-Ⅰ②'!J57</f>
        <v>0.16901408450704225</v>
      </c>
    </row>
    <row r="58" spans="11:15" ht="18" customHeight="1" x14ac:dyDescent="0.2">
      <c r="K58" s="300" t="s">
        <v>45</v>
      </c>
      <c r="L58" s="297">
        <f>'５-Ⅰ②'!D58</f>
        <v>0.44559585492227977</v>
      </c>
      <c r="M58" s="297">
        <f>'５-Ⅰ②'!F58</f>
        <v>0.33757961783439489</v>
      </c>
      <c r="N58" s="297">
        <f>'５-Ⅰ②'!H58</f>
        <v>0.21875</v>
      </c>
      <c r="O58" s="297">
        <f>'５-Ⅰ②'!J58</f>
        <v>0.21126760563380281</v>
      </c>
    </row>
    <row r="59" spans="11:15" ht="18" customHeight="1" x14ac:dyDescent="0.2">
      <c r="K59" s="300" t="s">
        <v>46</v>
      </c>
      <c r="L59" s="297">
        <f>'５-Ⅰ②'!D59</f>
        <v>5.181347150259067E-2</v>
      </c>
      <c r="M59" s="297">
        <f>'５-Ⅰ②'!F59</f>
        <v>7.0063694267515922E-2</v>
      </c>
      <c r="N59" s="297">
        <f>'５-Ⅰ②'!H59</f>
        <v>4.6875E-2</v>
      </c>
      <c r="O59" s="297">
        <f>'５-Ⅰ②'!J59</f>
        <v>4.2253521126760563E-2</v>
      </c>
    </row>
    <row r="60" spans="11:15" ht="18" customHeight="1" x14ac:dyDescent="0.2">
      <c r="K60" s="300" t="s">
        <v>47</v>
      </c>
      <c r="L60" s="297">
        <f>'５-Ⅰ②'!D60</f>
        <v>3.6269430051813469E-2</v>
      </c>
      <c r="M60" s="297">
        <f>'５-Ⅰ②'!F60</f>
        <v>3.1847133757961783E-2</v>
      </c>
      <c r="N60" s="297">
        <f>'５-Ⅰ②'!H60</f>
        <v>1.5625E-2</v>
      </c>
      <c r="O60" s="297">
        <f>'５-Ⅰ②'!J60</f>
        <v>1.4084507042253521E-2</v>
      </c>
    </row>
    <row r="61" spans="11:15" ht="18" customHeight="1" x14ac:dyDescent="0.2">
      <c r="K61" s="300" t="s">
        <v>48</v>
      </c>
      <c r="L61" s="297">
        <f>'５-Ⅰ②'!D61</f>
        <v>0</v>
      </c>
      <c r="M61" s="297">
        <f>'５-Ⅰ②'!F61</f>
        <v>6.369426751592357E-3</v>
      </c>
      <c r="N61" s="297">
        <f>'５-Ⅰ②'!H61</f>
        <v>0</v>
      </c>
      <c r="O61" s="297">
        <f>'５-Ⅰ②'!J61</f>
        <v>0</v>
      </c>
    </row>
    <row r="62" spans="11:15" ht="18" customHeight="1" x14ac:dyDescent="0.2">
      <c r="K62" s="300" t="s">
        <v>49</v>
      </c>
      <c r="L62" s="297">
        <f>'５-Ⅰ②'!D62</f>
        <v>7.2538860103626937E-2</v>
      </c>
      <c r="M62" s="297">
        <f>'５-Ⅰ②'!F62</f>
        <v>9.5541401273885357E-2</v>
      </c>
      <c r="N62" s="297">
        <f>'５-Ⅰ②'!H62</f>
        <v>0.109375</v>
      </c>
      <c r="O62" s="297">
        <f>'５-Ⅰ②'!J62</f>
        <v>0.14084507042253522</v>
      </c>
    </row>
    <row r="63" spans="11:15" ht="18" customHeight="1" x14ac:dyDescent="0.2">
      <c r="K63" s="300" t="s">
        <v>50</v>
      </c>
      <c r="L63" s="297">
        <f>'５-Ⅰ②'!D63</f>
        <v>8.2901554404145081E-2</v>
      </c>
      <c r="M63" s="297">
        <f>'５-Ⅰ②'!F63</f>
        <v>4.4585987261146494E-2</v>
      </c>
      <c r="N63" s="297">
        <f>'５-Ⅰ②'!H63</f>
        <v>0.109375</v>
      </c>
      <c r="O63" s="297">
        <f>'５-Ⅰ②'!J63</f>
        <v>0.11267605633802817</v>
      </c>
    </row>
    <row r="64" spans="11:15" ht="18" customHeight="1" x14ac:dyDescent="0.2">
      <c r="K64" s="300" t="s">
        <v>314</v>
      </c>
      <c r="L64" s="297">
        <f>'５-Ⅰ②'!D64</f>
        <v>2.072538860103627E-2</v>
      </c>
      <c r="M64" s="297">
        <f>'５-Ⅰ②'!F64</f>
        <v>3.8216560509554139E-2</v>
      </c>
      <c r="N64" s="297">
        <f>'５-Ⅰ②'!H64</f>
        <v>3.125E-2</v>
      </c>
      <c r="O64" s="297">
        <f>'５-Ⅰ②'!J64</f>
        <v>0</v>
      </c>
    </row>
    <row r="65" spans="11:15" ht="18" customHeight="1" x14ac:dyDescent="0.2">
      <c r="K65" s="300" t="s">
        <v>352</v>
      </c>
      <c r="L65" s="297">
        <f>'５-Ⅰ②'!D65</f>
        <v>0.19170984455958548</v>
      </c>
      <c r="M65" s="297">
        <f>'５-Ⅰ②'!F65</f>
        <v>0.16560509554140126</v>
      </c>
      <c r="N65" s="297">
        <f>'５-Ⅰ②'!H65</f>
        <v>0.28125</v>
      </c>
      <c r="O65" s="297">
        <f>'５-Ⅰ②'!J65</f>
        <v>9.8591549295774641E-2</v>
      </c>
    </row>
    <row r="66" spans="11:15" ht="18" customHeight="1" x14ac:dyDescent="0.2">
      <c r="K66" s="196" t="s">
        <v>353</v>
      </c>
      <c r="L66" s="297">
        <f>'５-Ⅰ②'!D66</f>
        <v>0.11917098445595854</v>
      </c>
      <c r="M66" s="297">
        <f>'５-Ⅰ②'!F66</f>
        <v>7.0063694267515922E-2</v>
      </c>
      <c r="N66" s="297">
        <f>'５-Ⅰ②'!H66</f>
        <v>0.140625</v>
      </c>
      <c r="O66" s="297">
        <f>'５-Ⅰ②'!J66</f>
        <v>8.4507042253521125E-2</v>
      </c>
    </row>
    <row r="67" spans="11:15" ht="18" customHeight="1" x14ac:dyDescent="0.2">
      <c r="K67" s="196" t="s">
        <v>52</v>
      </c>
      <c r="L67" s="297">
        <f>'５-Ⅰ②'!D67</f>
        <v>7.2538860103626937E-2</v>
      </c>
      <c r="M67" s="297">
        <f>'５-Ⅰ②'!F67</f>
        <v>3.8216560509554139E-2</v>
      </c>
      <c r="N67" s="297">
        <f>'５-Ⅰ②'!H67</f>
        <v>1.5625E-2</v>
      </c>
      <c r="O67" s="297">
        <f>'５-Ⅰ②'!J67</f>
        <v>4.2253521126760563E-2</v>
      </c>
    </row>
  </sheetData>
  <phoneticPr fontId="2"/>
  <pageMargins left="0.44270833333333331" right="0.41666666666666669" top="0.60606060606060608" bottom="0.51136363636363635" header="0.3" footer="0.3"/>
  <pageSetup paperSize="9" orientation="portrait" r:id="rId1"/>
  <headerFooter>
    <oddHeader>&amp;C&amp;"游ゴシック,太字"&amp;14R7年度　大阪府の在院患者の状況&amp;R&amp;"游ゴシック,標準"&amp;10R7.6.30時点</oddHeader>
    <oddFooter>&amp;R&amp;"メイリオ,レギュラー"&amp;10&amp;F</oddFooter>
  </headerFooter>
  <rowBreaks count="1" manualBreakCount="1">
    <brk id="44" max="8"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6" tint="-0.249977111117893"/>
    <pageSetUpPr fitToPage="1"/>
  </sheetPr>
  <dimension ref="A1:T29"/>
  <sheetViews>
    <sheetView showGridLines="0" view="pageBreakPreview" zoomScale="80" zoomScaleNormal="100" zoomScaleSheetLayoutView="80" workbookViewId="0"/>
  </sheetViews>
  <sheetFormatPr defaultColWidth="9" defaultRowHeight="17.399999999999999" x14ac:dyDescent="0.2"/>
  <cols>
    <col min="1" max="1" width="22.77734375" style="1" bestFit="1" customWidth="1"/>
    <col min="2" max="2" width="9.33203125" style="1" customWidth="1"/>
    <col min="3" max="3" width="10.5546875" style="1" bestFit="1" customWidth="1"/>
    <col min="4" max="4" width="6.6640625" style="1" customWidth="1"/>
    <col min="5" max="5" width="22.77734375" style="1" bestFit="1" customWidth="1"/>
    <col min="6" max="8" width="9.33203125" style="1" customWidth="1"/>
    <col min="9" max="9" width="10.5546875" style="1" bestFit="1" customWidth="1"/>
    <col min="10" max="10" width="0" style="1" hidden="1" customWidth="1"/>
    <col min="11" max="11" width="18.77734375" style="1" hidden="1" customWidth="1"/>
    <col min="12" max="12" width="10.21875" style="1" hidden="1" customWidth="1"/>
    <col min="13" max="13" width="9" style="1" hidden="1" customWidth="1"/>
    <col min="14" max="14" width="19.6640625" style="1" hidden="1" customWidth="1"/>
    <col min="15" max="15" width="9" style="1" hidden="1" customWidth="1"/>
    <col min="16" max="16" width="19.6640625" style="1" hidden="1" customWidth="1"/>
    <col min="17" max="17" width="10.21875" style="1" hidden="1" customWidth="1"/>
    <col min="18" max="19" width="9" style="1" hidden="1" customWidth="1"/>
    <col min="20" max="20" width="20.109375" style="1" hidden="1" customWidth="1"/>
    <col min="21" max="21" width="9" style="1" customWidth="1"/>
    <col min="22" max="16384" width="9" style="1"/>
  </cols>
  <sheetData>
    <row r="1" spans="1:20" s="3" customFormat="1" ht="19.2" x14ac:dyDescent="0.2">
      <c r="A1" s="2" t="s">
        <v>114</v>
      </c>
    </row>
    <row r="2" spans="1:20" x14ac:dyDescent="0.2">
      <c r="A2" s="4"/>
      <c r="K2" s="43" t="s">
        <v>62</v>
      </c>
    </row>
    <row r="3" spans="1:20" s="3" customFormat="1" ht="19.8" thickBot="1" x14ac:dyDescent="0.25">
      <c r="A3" s="4" t="s">
        <v>13</v>
      </c>
      <c r="E3" s="4" t="s">
        <v>115</v>
      </c>
      <c r="F3" s="4"/>
      <c r="G3" s="4"/>
      <c r="K3" s="265" t="s">
        <v>277</v>
      </c>
      <c r="L3" s="302" t="s">
        <v>259</v>
      </c>
      <c r="N3" s="679" t="s">
        <v>277</v>
      </c>
      <c r="O3" s="302" t="s">
        <v>257</v>
      </c>
      <c r="P3" s="228" t="s">
        <v>277</v>
      </c>
      <c r="Q3" s="302" t="s">
        <v>258</v>
      </c>
    </row>
    <row r="4" spans="1:20" ht="18.600000000000001" thickTop="1" thickBot="1" x14ac:dyDescent="0.25">
      <c r="A4" s="388"/>
      <c r="B4" s="388" t="s">
        <v>0</v>
      </c>
      <c r="C4" s="388" t="s">
        <v>1</v>
      </c>
      <c r="D4" s="145"/>
      <c r="E4" s="388"/>
      <c r="F4" s="388" t="s">
        <v>116</v>
      </c>
      <c r="G4" s="496" t="s">
        <v>117</v>
      </c>
      <c r="H4" s="388" t="s">
        <v>12</v>
      </c>
      <c r="I4" s="388" t="s">
        <v>1</v>
      </c>
      <c r="K4" s="716" t="s">
        <v>436</v>
      </c>
      <c r="L4" s="713" t="s">
        <v>673</v>
      </c>
      <c r="N4" s="779" t="s">
        <v>436</v>
      </c>
      <c r="O4" s="680" t="s">
        <v>673</v>
      </c>
      <c r="P4" s="779" t="s">
        <v>436</v>
      </c>
      <c r="Q4" s="680" t="s">
        <v>673</v>
      </c>
    </row>
    <row r="5" spans="1:20" ht="18" thickTop="1" x14ac:dyDescent="0.2">
      <c r="A5" s="467" t="s">
        <v>118</v>
      </c>
      <c r="B5" s="476">
        <f>IFERROR(VLOOKUP($T5,'２-Ⅳ'!$K$4:$L$20,2,FALSE),0)</f>
        <v>1744</v>
      </c>
      <c r="C5" s="469">
        <f>IFERROR(B5/B$21,"-")</f>
        <v>0.12450917398443635</v>
      </c>
      <c r="D5" s="145"/>
      <c r="E5" s="467" t="s">
        <v>118</v>
      </c>
      <c r="F5" s="476">
        <f>IFERROR(VLOOKUP($T5,'２-Ⅳ'!$N$4:$O$20,2,FALSE),0)</f>
        <v>79</v>
      </c>
      <c r="G5" s="476">
        <f>IFERROR(VLOOKUP($T5,'２-Ⅳ'!$P$4:$Q$20,2,FALSE),0)</f>
        <v>256</v>
      </c>
      <c r="H5" s="470">
        <f>SUM(F5:G5)</f>
        <v>335</v>
      </c>
      <c r="I5" s="469">
        <f>IFERROR(H5/H$21,"-")</f>
        <v>0.20168573148705599</v>
      </c>
      <c r="K5" s="714" t="s">
        <v>170</v>
      </c>
      <c r="L5" s="717">
        <v>1744</v>
      </c>
      <c r="N5" s="715" t="s">
        <v>170</v>
      </c>
      <c r="O5" s="717">
        <v>79</v>
      </c>
      <c r="P5" s="715" t="s">
        <v>170</v>
      </c>
      <c r="Q5" s="717">
        <v>256</v>
      </c>
      <c r="T5" s="247" t="s">
        <v>170</v>
      </c>
    </row>
    <row r="6" spans="1:20" x14ac:dyDescent="0.2">
      <c r="A6" s="467" t="s">
        <v>119</v>
      </c>
      <c r="B6" s="476">
        <f>IFERROR(VLOOKUP($T6,'２-Ⅳ'!$K$4:$L$20,2,FALSE),0)</f>
        <v>2198</v>
      </c>
      <c r="C6" s="469">
        <f t="shared" ref="C6:C20" si="0">IFERROR(B6/B$21,"-")</f>
        <v>0.15692153923038482</v>
      </c>
      <c r="D6" s="145"/>
      <c r="E6" s="467" t="s">
        <v>120</v>
      </c>
      <c r="F6" s="476">
        <f>IFERROR(VLOOKUP($T6,'２-Ⅳ'!$N$4:$O$20,2,FALSE),0)</f>
        <v>115</v>
      </c>
      <c r="G6" s="476">
        <f>IFERROR(VLOOKUP($T6,'２-Ⅳ'!$P$4:$Q$20,2,FALSE),0)</f>
        <v>346</v>
      </c>
      <c r="H6" s="470">
        <f t="shared" ref="H6:H20" si="1">SUM(F6:G6)</f>
        <v>461</v>
      </c>
      <c r="I6" s="469">
        <f t="shared" ref="I6:I20" si="2">IFERROR(H6/H$21,"-")</f>
        <v>0.27754364840457557</v>
      </c>
      <c r="K6" s="704" t="s">
        <v>171</v>
      </c>
      <c r="L6" s="383">
        <v>2198</v>
      </c>
      <c r="N6" s="704" t="s">
        <v>171</v>
      </c>
      <c r="O6" s="718">
        <v>115</v>
      </c>
      <c r="P6" s="721" t="s">
        <v>171</v>
      </c>
      <c r="Q6" s="383">
        <v>346</v>
      </c>
      <c r="T6" s="247" t="s">
        <v>171</v>
      </c>
    </row>
    <row r="7" spans="1:20" x14ac:dyDescent="0.2">
      <c r="A7" s="467" t="s">
        <v>121</v>
      </c>
      <c r="B7" s="476">
        <f>IFERROR(VLOOKUP($T7,'２-Ⅳ'!$K$4:$L$20,2,FALSE),0)</f>
        <v>1214</v>
      </c>
      <c r="C7" s="469">
        <f t="shared" si="0"/>
        <v>8.6670950239166128E-2</v>
      </c>
      <c r="D7" s="145"/>
      <c r="E7" s="467" t="s">
        <v>121</v>
      </c>
      <c r="F7" s="476">
        <f>IFERROR(VLOOKUP($T7,'２-Ⅳ'!$N$4:$O$20,2,FALSE),0)</f>
        <v>38</v>
      </c>
      <c r="G7" s="476">
        <f>IFERROR(VLOOKUP($T7,'２-Ⅳ'!$P$4:$Q$20,2,FALSE),0)</f>
        <v>140</v>
      </c>
      <c r="H7" s="470">
        <f t="shared" si="1"/>
        <v>178</v>
      </c>
      <c r="I7" s="469">
        <f t="shared" si="2"/>
        <v>0.10716435881998795</v>
      </c>
      <c r="K7" s="705" t="s">
        <v>172</v>
      </c>
      <c r="L7" s="717">
        <v>1214</v>
      </c>
      <c r="N7" s="705" t="s">
        <v>172</v>
      </c>
      <c r="O7" s="719">
        <v>38</v>
      </c>
      <c r="P7" s="722" t="s">
        <v>172</v>
      </c>
      <c r="Q7" s="717">
        <v>140</v>
      </c>
      <c r="T7" s="248" t="s">
        <v>172</v>
      </c>
    </row>
    <row r="8" spans="1:20" x14ac:dyDescent="0.2">
      <c r="A8" s="467" t="s">
        <v>122</v>
      </c>
      <c r="B8" s="476">
        <f>IFERROR(VLOOKUP($T8,'２-Ⅳ'!$K$4:$L$20,2,FALSE),0)</f>
        <v>1418</v>
      </c>
      <c r="C8" s="469">
        <f t="shared" si="0"/>
        <v>0.10123509673734561</v>
      </c>
      <c r="D8" s="145"/>
      <c r="E8" s="467" t="s">
        <v>122</v>
      </c>
      <c r="F8" s="476">
        <f>IFERROR(VLOOKUP($T8,'２-Ⅳ'!$N$4:$O$20,2,FALSE),0)</f>
        <v>28</v>
      </c>
      <c r="G8" s="476">
        <f>IFERROR(VLOOKUP($T8,'２-Ⅳ'!$P$4:$Q$20,2,FALSE),0)</f>
        <v>134</v>
      </c>
      <c r="H8" s="470">
        <f t="shared" si="1"/>
        <v>162</v>
      </c>
      <c r="I8" s="469">
        <f t="shared" si="2"/>
        <v>9.7531607465382295E-2</v>
      </c>
      <c r="K8" s="704" t="s">
        <v>173</v>
      </c>
      <c r="L8" s="383">
        <v>1418</v>
      </c>
      <c r="N8" s="704" t="s">
        <v>173</v>
      </c>
      <c r="O8" s="718">
        <v>28</v>
      </c>
      <c r="P8" s="721" t="s">
        <v>173</v>
      </c>
      <c r="Q8" s="383">
        <v>134</v>
      </c>
      <c r="T8" s="247" t="s">
        <v>173</v>
      </c>
    </row>
    <row r="9" spans="1:20" x14ac:dyDescent="0.2">
      <c r="A9" s="467" t="s">
        <v>123</v>
      </c>
      <c r="B9" s="476">
        <f>IFERROR(VLOOKUP($T9,'２-Ⅳ'!$K$4:$L$20,2,FALSE),0)</f>
        <v>875</v>
      </c>
      <c r="C9" s="469">
        <f t="shared" si="0"/>
        <v>6.2468765617191405E-2</v>
      </c>
      <c r="D9" s="145"/>
      <c r="E9" s="467" t="s">
        <v>123</v>
      </c>
      <c r="F9" s="476">
        <f>IFERROR(VLOOKUP($T9,'２-Ⅳ'!$N$4:$O$20,2,FALSE),0)</f>
        <v>8</v>
      </c>
      <c r="G9" s="476">
        <f>IFERROR(VLOOKUP($T9,'２-Ⅳ'!$P$4:$Q$20,2,FALSE),0)</f>
        <v>61</v>
      </c>
      <c r="H9" s="470">
        <f t="shared" si="1"/>
        <v>69</v>
      </c>
      <c r="I9" s="469">
        <f t="shared" si="2"/>
        <v>4.1541240216736906E-2</v>
      </c>
      <c r="K9" s="705" t="s">
        <v>174</v>
      </c>
      <c r="L9" s="717">
        <v>875</v>
      </c>
      <c r="N9" s="705" t="s">
        <v>174</v>
      </c>
      <c r="O9" s="719">
        <v>8</v>
      </c>
      <c r="P9" s="722" t="s">
        <v>174</v>
      </c>
      <c r="Q9" s="717">
        <v>61</v>
      </c>
      <c r="T9" s="248" t="s">
        <v>174</v>
      </c>
    </row>
    <row r="10" spans="1:20" x14ac:dyDescent="0.2">
      <c r="A10" s="467" t="s">
        <v>124</v>
      </c>
      <c r="B10" s="476">
        <f>IFERROR(VLOOKUP($T10,'２-Ⅳ'!$K$4:$L$20,2,FALSE),0)</f>
        <v>669</v>
      </c>
      <c r="C10" s="469">
        <f t="shared" si="0"/>
        <v>4.7761833369029769E-2</v>
      </c>
      <c r="D10" s="145"/>
      <c r="E10" s="467" t="s">
        <v>124</v>
      </c>
      <c r="F10" s="476">
        <f>IFERROR(VLOOKUP($T10,'２-Ⅳ'!$N$4:$O$20,2,FALSE),0)</f>
        <v>3</v>
      </c>
      <c r="G10" s="476">
        <f>IFERROR(VLOOKUP($T10,'２-Ⅳ'!$P$4:$Q$20,2,FALSE),0)</f>
        <v>44</v>
      </c>
      <c r="H10" s="470">
        <f t="shared" si="1"/>
        <v>47</v>
      </c>
      <c r="I10" s="469">
        <f t="shared" si="2"/>
        <v>2.8296207104154123E-2</v>
      </c>
      <c r="K10" s="704" t="s">
        <v>175</v>
      </c>
      <c r="L10" s="383">
        <v>669</v>
      </c>
      <c r="N10" s="704" t="s">
        <v>175</v>
      </c>
      <c r="O10" s="718">
        <v>3</v>
      </c>
      <c r="P10" s="721" t="s">
        <v>175</v>
      </c>
      <c r="Q10" s="383">
        <v>44</v>
      </c>
      <c r="T10" s="247" t="s">
        <v>175</v>
      </c>
    </row>
    <row r="11" spans="1:20" x14ac:dyDescent="0.2">
      <c r="A11" s="467" t="s">
        <v>125</v>
      </c>
      <c r="B11" s="476">
        <f>IFERROR(VLOOKUP($T11,'２-Ⅳ'!$K$4:$L$20,2,FALSE),0)</f>
        <v>1021</v>
      </c>
      <c r="C11" s="469">
        <f t="shared" si="0"/>
        <v>7.2892125365888488E-2</v>
      </c>
      <c r="D11" s="145"/>
      <c r="E11" s="467" t="s">
        <v>26</v>
      </c>
      <c r="F11" s="476">
        <f>IFERROR(VLOOKUP($T11,'２-Ⅳ'!$N$4:$O$20,2,FALSE),0)</f>
        <v>6</v>
      </c>
      <c r="G11" s="476">
        <f>IFERROR(VLOOKUP($T11,'２-Ⅳ'!$P$4:$Q$20,2,FALSE),0)</f>
        <v>75</v>
      </c>
      <c r="H11" s="470">
        <f t="shared" si="1"/>
        <v>81</v>
      </c>
      <c r="I11" s="469">
        <f t="shared" si="2"/>
        <v>4.8765803732691147E-2</v>
      </c>
      <c r="K11" s="705" t="s">
        <v>176</v>
      </c>
      <c r="L11" s="717">
        <v>1021</v>
      </c>
      <c r="N11" s="705" t="s">
        <v>176</v>
      </c>
      <c r="O11" s="719">
        <v>6</v>
      </c>
      <c r="P11" s="722" t="s">
        <v>176</v>
      </c>
      <c r="Q11" s="717">
        <v>75</v>
      </c>
      <c r="T11" s="248" t="s">
        <v>176</v>
      </c>
    </row>
    <row r="12" spans="1:20" x14ac:dyDescent="0.2">
      <c r="A12" s="467" t="s">
        <v>27</v>
      </c>
      <c r="B12" s="476">
        <f>IFERROR(VLOOKUP($T12,'２-Ⅳ'!$K$4:$L$20,2,FALSE),0)</f>
        <v>672</v>
      </c>
      <c r="C12" s="469">
        <f t="shared" si="0"/>
        <v>4.7976011994002997E-2</v>
      </c>
      <c r="D12" s="145"/>
      <c r="E12" s="467" t="s">
        <v>27</v>
      </c>
      <c r="F12" s="476">
        <f>IFERROR(VLOOKUP($T12,'２-Ⅳ'!$N$4:$O$20,2,FALSE),0)</f>
        <v>6</v>
      </c>
      <c r="G12" s="476">
        <f>IFERROR(VLOOKUP($T12,'２-Ⅳ'!$P$4:$Q$20,2,FALSE),0)</f>
        <v>49</v>
      </c>
      <c r="H12" s="470">
        <f t="shared" si="1"/>
        <v>55</v>
      </c>
      <c r="I12" s="469">
        <f t="shared" si="2"/>
        <v>3.3112582781456956E-2</v>
      </c>
      <c r="K12" s="704" t="s">
        <v>177</v>
      </c>
      <c r="L12" s="383">
        <v>672</v>
      </c>
      <c r="N12" s="704" t="s">
        <v>177</v>
      </c>
      <c r="O12" s="718">
        <v>6</v>
      </c>
      <c r="P12" s="721" t="s">
        <v>177</v>
      </c>
      <c r="Q12" s="383">
        <v>49</v>
      </c>
      <c r="T12" s="247" t="s">
        <v>177</v>
      </c>
    </row>
    <row r="13" spans="1:20" x14ac:dyDescent="0.2">
      <c r="A13" s="467" t="s">
        <v>126</v>
      </c>
      <c r="B13" s="476">
        <f>IFERROR(VLOOKUP($T13,'２-Ⅳ'!$K$4:$L$20,2,FALSE),0)</f>
        <v>546</v>
      </c>
      <c r="C13" s="469">
        <f t="shared" si="0"/>
        <v>3.8980509745127435E-2</v>
      </c>
      <c r="D13" s="145"/>
      <c r="E13" s="467" t="s">
        <v>126</v>
      </c>
      <c r="F13" s="476">
        <f>IFERROR(VLOOKUP($T13,'２-Ⅳ'!$N$4:$O$20,2,FALSE),0)</f>
        <v>4</v>
      </c>
      <c r="G13" s="476">
        <f>IFERROR(VLOOKUP($T13,'２-Ⅳ'!$P$4:$Q$20,2,FALSE),0)</f>
        <v>26</v>
      </c>
      <c r="H13" s="470">
        <f t="shared" si="1"/>
        <v>30</v>
      </c>
      <c r="I13" s="469">
        <f t="shared" si="2"/>
        <v>1.8061408789885613E-2</v>
      </c>
      <c r="K13" s="705" t="s">
        <v>178</v>
      </c>
      <c r="L13" s="717">
        <v>546</v>
      </c>
      <c r="N13" s="705" t="s">
        <v>178</v>
      </c>
      <c r="O13" s="719">
        <v>4</v>
      </c>
      <c r="P13" s="722" t="s">
        <v>178</v>
      </c>
      <c r="Q13" s="717">
        <v>26</v>
      </c>
      <c r="T13" s="248" t="s">
        <v>178</v>
      </c>
    </row>
    <row r="14" spans="1:20" x14ac:dyDescent="0.2">
      <c r="A14" s="467" t="s">
        <v>127</v>
      </c>
      <c r="B14" s="476">
        <f>IFERROR(VLOOKUP($T14,'２-Ⅳ'!$K$4:$L$20,2,FALSE),0)</f>
        <v>505</v>
      </c>
      <c r="C14" s="469">
        <f t="shared" si="0"/>
        <v>3.6053401870493322E-2</v>
      </c>
      <c r="D14" s="145"/>
      <c r="E14" s="467" t="s">
        <v>127</v>
      </c>
      <c r="F14" s="476">
        <f>IFERROR(VLOOKUP($T14,'２-Ⅳ'!$N$4:$O$20,2,FALSE),0)</f>
        <v>1</v>
      </c>
      <c r="G14" s="476">
        <f>IFERROR(VLOOKUP($T14,'２-Ⅳ'!$P$4:$Q$20,2,FALSE),0)</f>
        <v>30</v>
      </c>
      <c r="H14" s="470">
        <f t="shared" si="1"/>
        <v>31</v>
      </c>
      <c r="I14" s="469">
        <f t="shared" si="2"/>
        <v>1.8663455749548464E-2</v>
      </c>
      <c r="K14" s="704" t="s">
        <v>179</v>
      </c>
      <c r="L14" s="383">
        <v>505</v>
      </c>
      <c r="N14" s="704" t="s">
        <v>179</v>
      </c>
      <c r="O14" s="718">
        <v>1</v>
      </c>
      <c r="P14" s="721" t="s">
        <v>179</v>
      </c>
      <c r="Q14" s="383">
        <v>30</v>
      </c>
      <c r="T14" s="247" t="s">
        <v>179</v>
      </c>
    </row>
    <row r="15" spans="1:20" x14ac:dyDescent="0.2">
      <c r="A15" s="467" t="s">
        <v>128</v>
      </c>
      <c r="B15" s="476">
        <f>IFERROR(VLOOKUP($T15,'２-Ⅳ'!$K$4:$L$20,2,FALSE),0)</f>
        <v>392</v>
      </c>
      <c r="C15" s="469">
        <f t="shared" si="0"/>
        <v>2.798600699650175E-2</v>
      </c>
      <c r="D15" s="145"/>
      <c r="E15" s="467" t="s">
        <v>128</v>
      </c>
      <c r="F15" s="476">
        <f>IFERROR(VLOOKUP($T15,'２-Ⅳ'!$N$4:$O$20,2,FALSE),0)</f>
        <v>2</v>
      </c>
      <c r="G15" s="476">
        <f>IFERROR(VLOOKUP($T15,'２-Ⅳ'!$P$4:$Q$20,2,FALSE),0)</f>
        <v>30</v>
      </c>
      <c r="H15" s="470">
        <f t="shared" si="1"/>
        <v>32</v>
      </c>
      <c r="I15" s="469">
        <f t="shared" si="2"/>
        <v>1.9265502709211318E-2</v>
      </c>
      <c r="K15" s="705" t="s">
        <v>180</v>
      </c>
      <c r="L15" s="717">
        <v>392</v>
      </c>
      <c r="N15" s="705" t="s">
        <v>180</v>
      </c>
      <c r="O15" s="719">
        <v>2</v>
      </c>
      <c r="P15" s="722" t="s">
        <v>180</v>
      </c>
      <c r="Q15" s="717">
        <v>30</v>
      </c>
      <c r="T15" s="248" t="s">
        <v>180</v>
      </c>
    </row>
    <row r="16" spans="1:20" x14ac:dyDescent="0.2">
      <c r="A16" s="467" t="s">
        <v>129</v>
      </c>
      <c r="B16" s="476">
        <f>IFERROR(VLOOKUP($T16,'２-Ⅳ'!$K$4:$L$20,2,FALSE),0)</f>
        <v>366</v>
      </c>
      <c r="C16" s="469">
        <f t="shared" si="0"/>
        <v>2.6129792246733775E-2</v>
      </c>
      <c r="D16" s="145"/>
      <c r="E16" s="467" t="s">
        <v>129</v>
      </c>
      <c r="F16" s="476">
        <f>IFERROR(VLOOKUP($T16,'２-Ⅳ'!$N$4:$O$20,2,FALSE),0)</f>
        <v>0</v>
      </c>
      <c r="G16" s="476">
        <f>IFERROR(VLOOKUP($T16,'２-Ⅳ'!$P$4:$Q$20,2,FALSE),0)</f>
        <v>28</v>
      </c>
      <c r="H16" s="470">
        <f t="shared" si="1"/>
        <v>28</v>
      </c>
      <c r="I16" s="469">
        <f t="shared" si="2"/>
        <v>1.6857314870559904E-2</v>
      </c>
      <c r="K16" s="704" t="s">
        <v>181</v>
      </c>
      <c r="L16" s="383">
        <v>366</v>
      </c>
      <c r="N16" s="704" t="s">
        <v>181</v>
      </c>
      <c r="O16" s="718">
        <v>0</v>
      </c>
      <c r="P16" s="721" t="s">
        <v>181</v>
      </c>
      <c r="Q16" s="383">
        <v>28</v>
      </c>
      <c r="T16" s="247" t="s">
        <v>181</v>
      </c>
    </row>
    <row r="17" spans="1:20" x14ac:dyDescent="0.2">
      <c r="A17" s="467" t="s">
        <v>130</v>
      </c>
      <c r="B17" s="476">
        <f>IFERROR(VLOOKUP($T17,'２-Ⅳ'!$K$4:$L$20,2,FALSE),0)</f>
        <v>271</v>
      </c>
      <c r="C17" s="469">
        <f t="shared" si="0"/>
        <v>1.9347469122581566E-2</v>
      </c>
      <c r="D17" s="145"/>
      <c r="E17" s="467" t="s">
        <v>130</v>
      </c>
      <c r="F17" s="476">
        <f>IFERROR(VLOOKUP($T17,'２-Ⅳ'!$N$4:$O$20,2,FALSE),0)</f>
        <v>1</v>
      </c>
      <c r="G17" s="476">
        <f>IFERROR(VLOOKUP($T17,'２-Ⅳ'!$P$4:$Q$20,2,FALSE),0)</f>
        <v>20</v>
      </c>
      <c r="H17" s="470">
        <f t="shared" si="1"/>
        <v>21</v>
      </c>
      <c r="I17" s="469">
        <f t="shared" si="2"/>
        <v>1.2642986152919929E-2</v>
      </c>
      <c r="K17" s="705" t="s">
        <v>182</v>
      </c>
      <c r="L17" s="717">
        <v>271</v>
      </c>
      <c r="N17" s="705" t="s">
        <v>182</v>
      </c>
      <c r="O17" s="719">
        <v>1</v>
      </c>
      <c r="P17" s="722" t="s">
        <v>182</v>
      </c>
      <c r="Q17" s="717">
        <v>20</v>
      </c>
      <c r="T17" s="248" t="s">
        <v>182</v>
      </c>
    </row>
    <row r="18" spans="1:20" x14ac:dyDescent="0.2">
      <c r="A18" s="467" t="s">
        <v>131</v>
      </c>
      <c r="B18" s="476">
        <f>IFERROR(VLOOKUP($T18,'２-Ⅳ'!$K$4:$L$20,2,FALSE),0)</f>
        <v>208</v>
      </c>
      <c r="C18" s="469">
        <f t="shared" si="0"/>
        <v>1.4849717998143785E-2</v>
      </c>
      <c r="D18" s="145"/>
      <c r="E18" s="467" t="s">
        <v>131</v>
      </c>
      <c r="F18" s="476">
        <f>IFERROR(VLOOKUP($T18,'２-Ⅳ'!$N$4:$O$20,2,FALSE),0)</f>
        <v>0</v>
      </c>
      <c r="G18" s="476">
        <f>IFERROR(VLOOKUP($T18,'２-Ⅳ'!$P$4:$Q$20,2,FALSE),0)</f>
        <v>15</v>
      </c>
      <c r="H18" s="470">
        <f t="shared" si="1"/>
        <v>15</v>
      </c>
      <c r="I18" s="469">
        <f t="shared" si="2"/>
        <v>9.0307043949428064E-3</v>
      </c>
      <c r="K18" s="704" t="s">
        <v>183</v>
      </c>
      <c r="L18" s="383">
        <v>208</v>
      </c>
      <c r="N18" s="704" t="s">
        <v>183</v>
      </c>
      <c r="O18" s="718">
        <v>0</v>
      </c>
      <c r="P18" s="721" t="s">
        <v>183</v>
      </c>
      <c r="Q18" s="383">
        <v>15</v>
      </c>
      <c r="T18" s="247" t="s">
        <v>183</v>
      </c>
    </row>
    <row r="19" spans="1:20" x14ac:dyDescent="0.2">
      <c r="A19" s="467" t="s">
        <v>132</v>
      </c>
      <c r="B19" s="476">
        <f>IFERROR(VLOOKUP($T19,'２-Ⅳ'!$K$4:$L$20,2,FALSE),0)</f>
        <v>1203</v>
      </c>
      <c r="C19" s="469">
        <f t="shared" si="0"/>
        <v>8.5885628614264298E-2</v>
      </c>
      <c r="D19" s="145"/>
      <c r="E19" s="467" t="s">
        <v>132</v>
      </c>
      <c r="F19" s="476">
        <f>IFERROR(VLOOKUP($T19,'２-Ⅳ'!$N$4:$O$20,2,FALSE),0)</f>
        <v>6</v>
      </c>
      <c r="G19" s="476">
        <f>IFERROR(VLOOKUP($T19,'２-Ⅳ'!$P$4:$Q$20,2,FALSE),0)</f>
        <v>70</v>
      </c>
      <c r="H19" s="470">
        <f t="shared" si="1"/>
        <v>76</v>
      </c>
      <c r="I19" s="469">
        <f t="shared" si="2"/>
        <v>4.5755568934376885E-2</v>
      </c>
      <c r="K19" s="705" t="s">
        <v>184</v>
      </c>
      <c r="L19" s="717">
        <v>1203</v>
      </c>
      <c r="N19" s="705" t="s">
        <v>184</v>
      </c>
      <c r="O19" s="719">
        <v>6</v>
      </c>
      <c r="P19" s="722" t="s">
        <v>184</v>
      </c>
      <c r="Q19" s="717">
        <v>70</v>
      </c>
      <c r="T19" s="248" t="s">
        <v>184</v>
      </c>
    </row>
    <row r="20" spans="1:20" x14ac:dyDescent="0.2">
      <c r="A20" s="467" t="s">
        <v>133</v>
      </c>
      <c r="B20" s="476">
        <f>IFERROR(VLOOKUP($T20,'２-Ⅳ'!$K$4:$L$20,2,FALSE),0)</f>
        <v>705</v>
      </c>
      <c r="C20" s="469">
        <f t="shared" si="0"/>
        <v>5.0331976868708501E-2</v>
      </c>
      <c r="D20" s="145"/>
      <c r="E20" s="467" t="s">
        <v>133</v>
      </c>
      <c r="F20" s="476">
        <f>IFERROR(VLOOKUP($T20,'２-Ⅳ'!$N$4:$O$20,2,FALSE),0)</f>
        <v>3</v>
      </c>
      <c r="G20" s="476">
        <f>IFERROR(VLOOKUP($T20,'２-Ⅳ'!$P$4:$Q$20,2,FALSE),0)</f>
        <v>37</v>
      </c>
      <c r="H20" s="470">
        <f t="shared" si="1"/>
        <v>40</v>
      </c>
      <c r="I20" s="469">
        <f t="shared" si="2"/>
        <v>2.4081878386514148E-2</v>
      </c>
      <c r="K20" s="244" t="s">
        <v>185</v>
      </c>
      <c r="L20" s="46">
        <v>705</v>
      </c>
      <c r="N20" s="244" t="s">
        <v>185</v>
      </c>
      <c r="O20" s="720">
        <v>3</v>
      </c>
      <c r="P20" s="723" t="s">
        <v>185</v>
      </c>
      <c r="Q20" s="46">
        <v>37</v>
      </c>
      <c r="T20" s="247" t="s">
        <v>185</v>
      </c>
    </row>
    <row r="21" spans="1:20" x14ac:dyDescent="0.2">
      <c r="A21" s="471" t="s">
        <v>11</v>
      </c>
      <c r="B21" s="472">
        <f>SUM(B5:B20)</f>
        <v>14007</v>
      </c>
      <c r="C21" s="473">
        <f>SUM(C5:C20)</f>
        <v>1.0000000000000002</v>
      </c>
      <c r="D21" s="145"/>
      <c r="E21" s="471" t="s">
        <v>11</v>
      </c>
      <c r="F21" s="472">
        <f>SUM(F5:F20)</f>
        <v>300</v>
      </c>
      <c r="G21" s="472">
        <f>SUM(G5:G20)</f>
        <v>1361</v>
      </c>
      <c r="H21" s="472">
        <f>SUM(H5:H20)</f>
        <v>1661</v>
      </c>
      <c r="I21" s="473">
        <f>SUM(I5:I20)</f>
        <v>0.99999999999999989</v>
      </c>
    </row>
    <row r="22" spans="1:20" x14ac:dyDescent="0.2">
      <c r="A22" s="467" t="s">
        <v>55</v>
      </c>
      <c r="B22" s="470">
        <f>SUM(B5:B8)</f>
        <v>6574</v>
      </c>
      <c r="C22" s="469">
        <f t="shared" ref="C22:C25" si="3">IFERROR(B22/B$21,"-")</f>
        <v>0.46933676019133291</v>
      </c>
      <c r="D22" s="145"/>
      <c r="E22" s="467" t="s">
        <v>55</v>
      </c>
      <c r="F22" s="470">
        <f>SUM(F5:F8)</f>
        <v>260</v>
      </c>
      <c r="G22" s="470">
        <f>SUM(G5:G8)</f>
        <v>876</v>
      </c>
      <c r="H22" s="470">
        <f>SUM(H5:H8)</f>
        <v>1136</v>
      </c>
      <c r="I22" s="469">
        <f t="shared" ref="I22:I25" si="4">IFERROR(H22/H$21,"-")</f>
        <v>0.68392534617700185</v>
      </c>
      <c r="K22" s="222"/>
      <c r="L22" s="16"/>
      <c r="M22" s="16"/>
      <c r="N22" s="222"/>
      <c r="O22" s="16"/>
      <c r="P22" s="16"/>
      <c r="Q22" s="16"/>
    </row>
    <row r="23" spans="1:20" x14ac:dyDescent="0.2">
      <c r="A23" s="467" t="s">
        <v>56</v>
      </c>
      <c r="B23" s="470">
        <f>SUM(B9:B13)</f>
        <v>3783</v>
      </c>
      <c r="C23" s="469">
        <f t="shared" si="3"/>
        <v>0.27007924609124012</v>
      </c>
      <c r="D23" s="145"/>
      <c r="E23" s="467" t="s">
        <v>56</v>
      </c>
      <c r="F23" s="470">
        <f>SUM(F9:F13)</f>
        <v>27</v>
      </c>
      <c r="G23" s="470">
        <f>SUM(G9:G13)</f>
        <v>255</v>
      </c>
      <c r="H23" s="470">
        <f>SUM(H9:H13)</f>
        <v>282</v>
      </c>
      <c r="I23" s="469">
        <f t="shared" si="4"/>
        <v>0.16977724262492475</v>
      </c>
      <c r="K23" s="223"/>
      <c r="L23" s="16"/>
      <c r="M23" s="16"/>
      <c r="N23" s="223"/>
      <c r="O23" s="16"/>
      <c r="P23" s="16"/>
      <c r="Q23" s="16"/>
    </row>
    <row r="24" spans="1:20" x14ac:dyDescent="0.2">
      <c r="A24" s="467" t="s">
        <v>57</v>
      </c>
      <c r="B24" s="470">
        <f>SUM(B14:B18)</f>
        <v>1742</v>
      </c>
      <c r="C24" s="469">
        <f t="shared" si="3"/>
        <v>0.1243663882344542</v>
      </c>
      <c r="D24" s="145"/>
      <c r="E24" s="467" t="s">
        <v>57</v>
      </c>
      <c r="F24" s="470">
        <f>SUM(F14:F18)</f>
        <v>4</v>
      </c>
      <c r="G24" s="470">
        <f>SUM(G14:G18)</f>
        <v>123</v>
      </c>
      <c r="H24" s="470">
        <f>SUM(H14:H18)</f>
        <v>127</v>
      </c>
      <c r="I24" s="469">
        <f t="shared" si="4"/>
        <v>7.6459963877182416E-2</v>
      </c>
      <c r="K24" s="223"/>
      <c r="L24" s="16"/>
      <c r="M24" s="16"/>
      <c r="N24" s="223"/>
      <c r="O24" s="16"/>
      <c r="P24" s="16"/>
      <c r="Q24" s="16"/>
    </row>
    <row r="25" spans="1:20" x14ac:dyDescent="0.2">
      <c r="A25" s="467" t="s">
        <v>58</v>
      </c>
      <c r="B25" s="470">
        <f>SUM(B19:B20)</f>
        <v>1908</v>
      </c>
      <c r="C25" s="469">
        <f t="shared" si="3"/>
        <v>0.13621760548297279</v>
      </c>
      <c r="D25" s="145"/>
      <c r="E25" s="467" t="s">
        <v>58</v>
      </c>
      <c r="F25" s="470">
        <f>SUM(F19:F20)</f>
        <v>9</v>
      </c>
      <c r="G25" s="470">
        <f>SUM(G19:G20)</f>
        <v>107</v>
      </c>
      <c r="H25" s="470">
        <f>SUM(H19:H20)</f>
        <v>116</v>
      </c>
      <c r="I25" s="469">
        <f t="shared" si="4"/>
        <v>6.9837447320891033E-2</v>
      </c>
      <c r="K25" s="222"/>
      <c r="L25" s="16"/>
      <c r="M25" s="16"/>
      <c r="N25" s="222"/>
      <c r="O25" s="16"/>
      <c r="P25" s="16"/>
      <c r="Q25" s="16"/>
    </row>
    <row r="28" spans="1:20" x14ac:dyDescent="0.2">
      <c r="E28" s="123"/>
    </row>
    <row r="29" spans="1:20" x14ac:dyDescent="0.2">
      <c r="A29" s="33"/>
      <c r="B29" s="34"/>
      <c r="C29" s="34"/>
      <c r="E29" s="33"/>
      <c r="F29" s="34"/>
      <c r="G29" s="34"/>
      <c r="I29" s="33"/>
      <c r="J29" s="34"/>
      <c r="K29" s="34"/>
    </row>
  </sheetData>
  <phoneticPr fontId="2"/>
  <pageMargins left="0.70866141732283472" right="0.70866141732283472" top="0.74803149606299213" bottom="0.74803149606299213" header="0.31496062992125984" footer="0.31496062992125984"/>
  <pageSetup paperSize="11" scale="76" orientation="landscape" r:id="rId1"/>
  <colBreaks count="1" manualBreakCount="1">
    <brk id="4" max="24" man="1"/>
  </col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データ削除4">
                <anchor moveWithCells="1" sizeWithCells="1">
                  <from>
                    <xdr:col>9</xdr:col>
                    <xdr:colOff>243840</xdr:colOff>
                    <xdr:row>22</xdr:row>
                    <xdr:rowOff>60960</xdr:rowOff>
                  </from>
                  <to>
                    <xdr:col>10</xdr:col>
                    <xdr:colOff>632460</xdr:colOff>
                    <xdr:row>24</xdr:row>
                    <xdr:rowOff>68580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6" tint="-0.249977111117893"/>
    <pageSetUpPr fitToPage="1"/>
  </sheetPr>
  <dimension ref="A1:G13"/>
  <sheetViews>
    <sheetView showGridLines="0" view="pageBreakPreview" zoomScaleNormal="100" zoomScaleSheetLayoutView="100" workbookViewId="0"/>
  </sheetViews>
  <sheetFormatPr defaultColWidth="9" defaultRowHeight="17.399999999999999" x14ac:dyDescent="0.2"/>
  <cols>
    <col min="1" max="1" width="13.6640625" style="1" customWidth="1"/>
    <col min="2" max="4" width="10.77734375" style="1" customWidth="1"/>
    <col min="5" max="5" width="11" style="1" hidden="1" customWidth="1"/>
    <col min="6" max="6" width="7.33203125" style="1" hidden="1" customWidth="1"/>
    <col min="7" max="7" width="5" style="1" hidden="1" customWidth="1"/>
    <col min="8" max="8" width="6.6640625" style="1" customWidth="1"/>
    <col min="9" max="9" width="7.33203125" style="1" customWidth="1"/>
    <col min="10" max="16384" width="9" style="1"/>
  </cols>
  <sheetData>
    <row r="1" spans="1:5" s="3" customFormat="1" ht="19.2" x14ac:dyDescent="0.2">
      <c r="A1" s="2" t="s">
        <v>134</v>
      </c>
    </row>
    <row r="2" spans="1:5" x14ac:dyDescent="0.2">
      <c r="A2" s="4"/>
    </row>
    <row r="3" spans="1:5" s="3" customFormat="1" ht="19.2" x14ac:dyDescent="0.2">
      <c r="A3" s="4" t="s">
        <v>13</v>
      </c>
    </row>
    <row r="4" spans="1:5" x14ac:dyDescent="0.2">
      <c r="A4" s="388"/>
      <c r="B4" s="388" t="s">
        <v>0</v>
      </c>
      <c r="C4" s="388" t="s">
        <v>1</v>
      </c>
    </row>
    <row r="5" spans="1:5" x14ac:dyDescent="0.2">
      <c r="A5" s="467" t="s">
        <v>28</v>
      </c>
      <c r="B5" s="476">
        <v>300</v>
      </c>
      <c r="C5" s="469">
        <f>IFERROR(B5/B$11,"-")</f>
        <v>2.1417862497322766E-2</v>
      </c>
      <c r="E5" s="9"/>
    </row>
    <row r="6" spans="1:5" x14ac:dyDescent="0.2">
      <c r="A6" s="467" t="s">
        <v>29</v>
      </c>
      <c r="B6" s="476">
        <v>1361</v>
      </c>
      <c r="C6" s="469">
        <f t="shared" ref="C6:C10" si="0">IFERROR(B6/B$11,"-")</f>
        <v>9.7165702862854281E-2</v>
      </c>
    </row>
    <row r="7" spans="1:5" x14ac:dyDescent="0.2">
      <c r="A7" s="467" t="s">
        <v>30</v>
      </c>
      <c r="B7" s="476">
        <v>2815</v>
      </c>
      <c r="C7" s="469">
        <f t="shared" si="0"/>
        <v>0.20097094309987862</v>
      </c>
    </row>
    <row r="8" spans="1:5" x14ac:dyDescent="0.2">
      <c r="A8" s="467" t="s">
        <v>31</v>
      </c>
      <c r="B8" s="476">
        <v>5639</v>
      </c>
      <c r="C8" s="469">
        <f t="shared" si="0"/>
        <v>0.40258442207467693</v>
      </c>
    </row>
    <row r="9" spans="1:5" x14ac:dyDescent="0.2">
      <c r="A9" s="467" t="s">
        <v>32</v>
      </c>
      <c r="B9" s="476">
        <v>3347</v>
      </c>
      <c r="C9" s="469">
        <f t="shared" si="0"/>
        <v>0.238951952595131</v>
      </c>
    </row>
    <row r="10" spans="1:5" x14ac:dyDescent="0.2">
      <c r="A10" s="467" t="s">
        <v>33</v>
      </c>
      <c r="B10" s="476">
        <v>545</v>
      </c>
      <c r="C10" s="469">
        <f t="shared" si="0"/>
        <v>3.8909116870136359E-2</v>
      </c>
    </row>
    <row r="11" spans="1:5" x14ac:dyDescent="0.2">
      <c r="A11" s="471" t="s">
        <v>11</v>
      </c>
      <c r="B11" s="472">
        <f>SUM(B5:B10)</f>
        <v>14007</v>
      </c>
      <c r="C11" s="473">
        <f>SUM(C5:C10)</f>
        <v>0.99999999999999989</v>
      </c>
    </row>
    <row r="13" spans="1:5" hidden="1" x14ac:dyDescent="0.2">
      <c r="B13" s="307" t="s">
        <v>345</v>
      </c>
    </row>
  </sheetData>
  <phoneticPr fontId="2"/>
  <pageMargins left="0.70866141732283472" right="0.70866141732283472" top="0.74803149606299213" bottom="0.74803149606299213" header="0.31496062992125984" footer="0.31496062992125984"/>
  <pageSetup paperSize="1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データ削除_状態像区分">
                <anchor moveWithCells="1" sizeWithCells="1">
                  <from>
                    <xdr:col>4</xdr:col>
                    <xdr:colOff>60960</xdr:colOff>
                    <xdr:row>1</xdr:row>
                    <xdr:rowOff>190500</xdr:rowOff>
                  </from>
                  <to>
                    <xdr:col>5</xdr:col>
                    <xdr:colOff>464820</xdr:colOff>
                    <xdr:row>3</xdr:row>
                    <xdr:rowOff>144780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6" tint="-0.249977111117893"/>
    <pageSetUpPr fitToPage="1"/>
  </sheetPr>
  <dimension ref="A1:M97"/>
  <sheetViews>
    <sheetView showGridLines="0" view="pageBreakPreview" zoomScale="80" zoomScaleNormal="90" zoomScaleSheetLayoutView="80" workbookViewId="0"/>
  </sheetViews>
  <sheetFormatPr defaultColWidth="9" defaultRowHeight="17.399999999999999" x14ac:dyDescent="0.2"/>
  <cols>
    <col min="1" max="1" width="62.44140625" style="1" customWidth="1"/>
    <col min="2" max="2" width="9.33203125" style="1" customWidth="1"/>
    <col min="3" max="3" width="10.5546875" style="1" bestFit="1" customWidth="1"/>
    <col min="4" max="4" width="4.109375" style="1" customWidth="1"/>
    <col min="5" max="5" width="43.77734375" style="1" customWidth="1"/>
    <col min="6" max="8" width="9.33203125" style="1" customWidth="1"/>
    <col min="9" max="9" width="10.5546875" style="1" bestFit="1" customWidth="1"/>
    <col min="10" max="10" width="6.21875" style="1" customWidth="1"/>
    <col min="11" max="11" width="6.21875" style="1" hidden="1" customWidth="1"/>
    <col min="12" max="12" width="47.21875" style="1" hidden="1" customWidth="1"/>
    <col min="13" max="13" width="9.44140625" style="1" customWidth="1"/>
    <col min="14" max="14" width="49.6640625" style="1" customWidth="1"/>
    <col min="15" max="15" width="32.77734375" style="1" customWidth="1"/>
    <col min="16" max="16" width="57.109375" style="1" customWidth="1"/>
    <col min="17" max="17" width="55.21875" style="1" customWidth="1"/>
    <col min="18" max="18" width="25.21875" style="1" customWidth="1"/>
    <col min="19" max="19" width="47.88671875" style="1" bestFit="1" customWidth="1"/>
    <col min="20" max="20" width="34" style="1" customWidth="1"/>
    <col min="21" max="21" width="25.21875" style="1" customWidth="1"/>
    <col min="22" max="22" width="55.21875" style="1" customWidth="1"/>
    <col min="23" max="23" width="41.44140625" style="1" customWidth="1"/>
    <col min="24" max="24" width="32.77734375" style="1" customWidth="1"/>
    <col min="25" max="26" width="47.88671875" style="1" bestFit="1" customWidth="1"/>
    <col min="27" max="27" width="29" style="1" bestFit="1" customWidth="1"/>
    <col min="28" max="28" width="55.21875" style="1" bestFit="1" customWidth="1"/>
    <col min="29" max="29" width="41.44140625" style="1" bestFit="1" customWidth="1"/>
    <col min="30" max="30" width="32.77734375" style="1" bestFit="1" customWidth="1"/>
    <col min="31" max="16384" width="9" style="1"/>
  </cols>
  <sheetData>
    <row r="1" spans="1:11" s="3" customFormat="1" ht="19.2" x14ac:dyDescent="0.2">
      <c r="A1" s="790" t="s">
        <v>440</v>
      </c>
    </row>
    <row r="2" spans="1:11" x14ac:dyDescent="0.2">
      <c r="A2" s="4"/>
    </row>
    <row r="3" spans="1:11" x14ac:dyDescent="0.2">
      <c r="A3" s="4" t="s">
        <v>441</v>
      </c>
      <c r="E3" s="4" t="s">
        <v>105</v>
      </c>
    </row>
    <row r="4" spans="1:11" x14ac:dyDescent="0.2">
      <c r="A4" s="197"/>
      <c r="B4" s="388" t="s">
        <v>442</v>
      </c>
      <c r="C4" s="388" t="s">
        <v>443</v>
      </c>
      <c r="E4" s="197"/>
      <c r="F4" s="388" t="s">
        <v>106</v>
      </c>
      <c r="G4" s="496" t="s">
        <v>107</v>
      </c>
      <c r="H4" s="388" t="s">
        <v>444</v>
      </c>
      <c r="I4" s="388" t="s">
        <v>443</v>
      </c>
    </row>
    <row r="5" spans="1:11" ht="34.799999999999997" x14ac:dyDescent="0.2">
      <c r="A5" s="198" t="s">
        <v>445</v>
      </c>
      <c r="B5" s="476">
        <v>1850</v>
      </c>
      <c r="C5" s="469">
        <f>IFERROR(B5/B$8,"-")</f>
        <v>0.13207681873349039</v>
      </c>
      <c r="E5" s="198" t="s">
        <v>445</v>
      </c>
      <c r="F5" s="470">
        <v>99</v>
      </c>
      <c r="G5" s="470">
        <v>500</v>
      </c>
      <c r="H5" s="470">
        <f>SUM(F5:G5)</f>
        <v>599</v>
      </c>
      <c r="I5" s="469">
        <f>IFERROR(H5/H$8,"-")</f>
        <v>0.36062612883804934</v>
      </c>
    </row>
    <row r="6" spans="1:11" x14ac:dyDescent="0.2">
      <c r="A6" s="196" t="s">
        <v>320</v>
      </c>
      <c r="B6" s="476">
        <v>10619</v>
      </c>
      <c r="C6" s="469">
        <f>IFERROR(B6/B$8,"-")</f>
        <v>0.75812093953023485</v>
      </c>
      <c r="E6" s="196" t="s">
        <v>320</v>
      </c>
      <c r="F6" s="476">
        <v>11</v>
      </c>
      <c r="G6" s="476">
        <v>376</v>
      </c>
      <c r="H6" s="470">
        <f>SUM(F6:G6)</f>
        <v>387</v>
      </c>
      <c r="I6" s="469">
        <f>IFERROR(H6/H$8,"-")</f>
        <v>0.23299217338952438</v>
      </c>
    </row>
    <row r="7" spans="1:11" x14ac:dyDescent="0.2">
      <c r="A7" s="196" t="s">
        <v>321</v>
      </c>
      <c r="B7" s="476">
        <v>1538</v>
      </c>
      <c r="C7" s="469">
        <f>IFERROR(B7/B$8,"-")</f>
        <v>0.10980224173627472</v>
      </c>
      <c r="E7" s="196" t="s">
        <v>321</v>
      </c>
      <c r="F7" s="476">
        <v>190</v>
      </c>
      <c r="G7" s="476">
        <v>485</v>
      </c>
      <c r="H7" s="470">
        <f>SUM(F7:G7)</f>
        <v>675</v>
      </c>
      <c r="I7" s="469">
        <f>IFERROR(H7/H$8,"-")</f>
        <v>0.40638169777242628</v>
      </c>
    </row>
    <row r="8" spans="1:11" x14ac:dyDescent="0.2">
      <c r="A8" s="195" t="s">
        <v>446</v>
      </c>
      <c r="B8" s="472">
        <f>SUM(B5:B7)</f>
        <v>14007</v>
      </c>
      <c r="C8" s="473">
        <f>SUM(C5:C7)</f>
        <v>1</v>
      </c>
      <c r="E8" s="195" t="s">
        <v>446</v>
      </c>
      <c r="F8" s="472">
        <f>SUM(F5:F7)</f>
        <v>300</v>
      </c>
      <c r="G8" s="472">
        <f>SUM(G5:G7)</f>
        <v>1361</v>
      </c>
      <c r="H8" s="472">
        <f>SUM(H5:H7)</f>
        <v>1661</v>
      </c>
      <c r="I8" s="473">
        <f>SUM(I5:I7)</f>
        <v>1</v>
      </c>
      <c r="K8" s="307" t="s">
        <v>460</v>
      </c>
    </row>
    <row r="9" spans="1:11" x14ac:dyDescent="0.2">
      <c r="A9" s="4"/>
    </row>
    <row r="10" spans="1:11" s="3" customFormat="1" ht="19.2" x14ac:dyDescent="0.2">
      <c r="A10" s="115" t="s">
        <v>53</v>
      </c>
    </row>
    <row r="11" spans="1:11" x14ac:dyDescent="0.2">
      <c r="A11" s="4"/>
    </row>
    <row r="12" spans="1:11" x14ac:dyDescent="0.2">
      <c r="A12" s="4" t="s">
        <v>441</v>
      </c>
      <c r="E12" s="4" t="s">
        <v>105</v>
      </c>
    </row>
    <row r="13" spans="1:11" x14ac:dyDescent="0.2">
      <c r="A13" s="497"/>
      <c r="B13" s="388" t="s">
        <v>442</v>
      </c>
      <c r="C13" s="388" t="s">
        <v>443</v>
      </c>
      <c r="E13" s="497"/>
      <c r="F13" s="388" t="s">
        <v>106</v>
      </c>
      <c r="G13" s="496" t="s">
        <v>107</v>
      </c>
      <c r="H13" s="388" t="s">
        <v>444</v>
      </c>
      <c r="I13" s="388" t="s">
        <v>443</v>
      </c>
    </row>
    <row r="14" spans="1:11" x14ac:dyDescent="0.2">
      <c r="A14" s="221" t="s">
        <v>447</v>
      </c>
      <c r="B14" s="476">
        <v>1618</v>
      </c>
      <c r="C14" s="469">
        <f>IFERROR(B14/B$16,"-")</f>
        <v>0.87459459459459454</v>
      </c>
      <c r="E14" s="221" t="s">
        <v>447</v>
      </c>
      <c r="F14" s="476">
        <v>60</v>
      </c>
      <c r="G14" s="476">
        <v>425</v>
      </c>
      <c r="H14" s="470">
        <f>SUM(F14:G14)</f>
        <v>485</v>
      </c>
      <c r="I14" s="469">
        <f>IFERROR(H14/H$16,"-")</f>
        <v>0.80968280467445741</v>
      </c>
    </row>
    <row r="15" spans="1:11" x14ac:dyDescent="0.2">
      <c r="A15" s="221" t="s">
        <v>103</v>
      </c>
      <c r="B15" s="476">
        <v>232</v>
      </c>
      <c r="C15" s="469">
        <f>IFERROR(B15/B$16,"-")</f>
        <v>0.1254054054054054</v>
      </c>
      <c r="E15" s="221" t="s">
        <v>103</v>
      </c>
      <c r="F15" s="476">
        <v>39</v>
      </c>
      <c r="G15" s="476">
        <v>75</v>
      </c>
      <c r="H15" s="470">
        <f>SUM(F15:G15)</f>
        <v>114</v>
      </c>
      <c r="I15" s="469">
        <f>IFERROR(H15/H$16,"-")</f>
        <v>0.19031719532554256</v>
      </c>
    </row>
    <row r="16" spans="1:11" x14ac:dyDescent="0.2">
      <c r="A16" s="471" t="s">
        <v>446</v>
      </c>
      <c r="B16" s="472">
        <f>SUM(B14:B15)</f>
        <v>1850</v>
      </c>
      <c r="C16" s="473">
        <f>SUM(C14:C15)</f>
        <v>1</v>
      </c>
      <c r="E16" s="471" t="s">
        <v>446</v>
      </c>
      <c r="F16" s="472">
        <f>SUM(F14:F15)</f>
        <v>99</v>
      </c>
      <c r="G16" s="472">
        <f>SUM(G14:G15)</f>
        <v>500</v>
      </c>
      <c r="H16" s="472">
        <f>SUM(H14:H15)</f>
        <v>599</v>
      </c>
      <c r="I16" s="473">
        <f>SUM(I14:I15)</f>
        <v>1</v>
      </c>
    </row>
    <row r="17" spans="1:13" x14ac:dyDescent="0.2">
      <c r="A17" s="4"/>
    </row>
    <row r="18" spans="1:13" s="3" customFormat="1" ht="19.2" x14ac:dyDescent="0.2">
      <c r="A18" s="2" t="s">
        <v>54</v>
      </c>
    </row>
    <row r="19" spans="1:13" x14ac:dyDescent="0.2">
      <c r="A19" s="4"/>
    </row>
    <row r="20" spans="1:13" x14ac:dyDescent="0.2">
      <c r="A20" s="4" t="s">
        <v>441</v>
      </c>
      <c r="B20" s="219"/>
      <c r="C20" s="219"/>
      <c r="E20" s="4" t="s">
        <v>105</v>
      </c>
    </row>
    <row r="21" spans="1:13" x14ac:dyDescent="0.2">
      <c r="A21" s="981">
        <f>B14</f>
        <v>1618</v>
      </c>
      <c r="B21" s="981"/>
      <c r="C21" s="981"/>
      <c r="E21" s="982">
        <f>H14</f>
        <v>485</v>
      </c>
      <c r="F21" s="982"/>
      <c r="G21" s="982"/>
      <c r="H21" s="982"/>
      <c r="I21" s="982"/>
    </row>
    <row r="22" spans="1:13" x14ac:dyDescent="0.2">
      <c r="A22" s="197"/>
      <c r="B22" s="388" t="s">
        <v>448</v>
      </c>
      <c r="C22" s="388" t="s">
        <v>443</v>
      </c>
      <c r="E22" s="197"/>
      <c r="F22" s="388" t="s">
        <v>106</v>
      </c>
      <c r="G22" s="496" t="s">
        <v>107</v>
      </c>
      <c r="H22" s="388" t="s">
        <v>444</v>
      </c>
      <c r="I22" s="388" t="s">
        <v>443</v>
      </c>
    </row>
    <row r="23" spans="1:13" ht="56.25" customHeight="1" x14ac:dyDescent="0.2">
      <c r="A23" s="199" t="s">
        <v>221</v>
      </c>
      <c r="B23" s="498">
        <v>555</v>
      </c>
      <c r="C23" s="499">
        <f t="shared" ref="C23:C42" si="0">IFERROR(B23/B$14,"-")</f>
        <v>0.34301606922126082</v>
      </c>
      <c r="D23" s="89"/>
      <c r="E23" s="199" t="s">
        <v>221</v>
      </c>
      <c r="F23" s="500">
        <v>15</v>
      </c>
      <c r="G23" s="500">
        <v>114</v>
      </c>
      <c r="H23" s="470">
        <f t="shared" ref="H23:H42" si="1">SUM(F23:G23)</f>
        <v>129</v>
      </c>
      <c r="I23" s="469">
        <f t="shared" ref="I23:I42" si="2">IFERROR(H23/H$14,"-")</f>
        <v>0.26597938144329897</v>
      </c>
      <c r="L23" s="92"/>
      <c r="M23" s="92"/>
    </row>
    <row r="24" spans="1:13" x14ac:dyDescent="0.2">
      <c r="A24" s="200" t="s">
        <v>65</v>
      </c>
      <c r="B24" s="498">
        <v>390</v>
      </c>
      <c r="C24" s="499">
        <f t="shared" si="0"/>
        <v>0.24103831891223734</v>
      </c>
      <c r="D24" s="89"/>
      <c r="E24" s="347" t="s">
        <v>65</v>
      </c>
      <c r="F24" s="500">
        <v>4</v>
      </c>
      <c r="G24" s="500">
        <v>79</v>
      </c>
      <c r="H24" s="470">
        <f t="shared" si="1"/>
        <v>83</v>
      </c>
      <c r="I24" s="469">
        <f t="shared" si="2"/>
        <v>0.1711340206185567</v>
      </c>
      <c r="L24" s="25"/>
      <c r="M24" s="17"/>
    </row>
    <row r="25" spans="1:13" x14ac:dyDescent="0.2">
      <c r="A25" s="200" t="s">
        <v>449</v>
      </c>
      <c r="B25" s="498">
        <v>66</v>
      </c>
      <c r="C25" s="499">
        <f t="shared" si="0"/>
        <v>4.0791100123609397E-2</v>
      </c>
      <c r="D25" s="89"/>
      <c r="E25" s="347" t="s">
        <v>449</v>
      </c>
      <c r="F25" s="500">
        <v>2</v>
      </c>
      <c r="G25" s="500">
        <v>10</v>
      </c>
      <c r="H25" s="470">
        <f t="shared" si="1"/>
        <v>12</v>
      </c>
      <c r="I25" s="469">
        <f t="shared" si="2"/>
        <v>2.4742268041237112E-2</v>
      </c>
      <c r="L25" s="25"/>
      <c r="M25" s="17"/>
    </row>
    <row r="26" spans="1:13" x14ac:dyDescent="0.2">
      <c r="A26" s="200" t="s">
        <v>450</v>
      </c>
      <c r="B26" s="498">
        <v>632</v>
      </c>
      <c r="C26" s="499">
        <f t="shared" si="0"/>
        <v>0.39060568603213847</v>
      </c>
      <c r="D26" s="89"/>
      <c r="E26" s="347" t="s">
        <v>450</v>
      </c>
      <c r="F26" s="500">
        <v>20</v>
      </c>
      <c r="G26" s="500">
        <v>159</v>
      </c>
      <c r="H26" s="470">
        <f t="shared" si="1"/>
        <v>179</v>
      </c>
      <c r="I26" s="469">
        <f t="shared" si="2"/>
        <v>0.36907216494845363</v>
      </c>
      <c r="L26" s="25"/>
      <c r="M26" s="17"/>
    </row>
    <row r="27" spans="1:13" x14ac:dyDescent="0.2">
      <c r="A27" s="200" t="s">
        <v>451</v>
      </c>
      <c r="B27" s="498">
        <v>657</v>
      </c>
      <c r="C27" s="499">
        <f t="shared" si="0"/>
        <v>0.40605686032138444</v>
      </c>
      <c r="D27" s="89"/>
      <c r="E27" s="347" t="s">
        <v>451</v>
      </c>
      <c r="F27" s="500">
        <v>7</v>
      </c>
      <c r="G27" s="500">
        <v>126</v>
      </c>
      <c r="H27" s="470">
        <f t="shared" si="1"/>
        <v>133</v>
      </c>
      <c r="I27" s="469">
        <f t="shared" si="2"/>
        <v>0.27422680412371137</v>
      </c>
      <c r="L27" s="25"/>
      <c r="M27" s="17"/>
    </row>
    <row r="28" spans="1:13" x14ac:dyDescent="0.2">
      <c r="A28" s="200" t="s">
        <v>310</v>
      </c>
      <c r="B28" s="498">
        <v>488</v>
      </c>
      <c r="C28" s="499">
        <f t="shared" si="0"/>
        <v>0.30160692212608159</v>
      </c>
      <c r="D28" s="89"/>
      <c r="E28" s="347" t="s">
        <v>310</v>
      </c>
      <c r="F28" s="500">
        <v>14</v>
      </c>
      <c r="G28" s="500">
        <v>120</v>
      </c>
      <c r="H28" s="470">
        <f t="shared" si="1"/>
        <v>134</v>
      </c>
      <c r="I28" s="469">
        <f t="shared" si="2"/>
        <v>0.27628865979381445</v>
      </c>
      <c r="L28" s="25"/>
      <c r="M28" s="17"/>
    </row>
    <row r="29" spans="1:13" x14ac:dyDescent="0.2">
      <c r="A29" s="200" t="s">
        <v>452</v>
      </c>
      <c r="B29" s="498">
        <v>136</v>
      </c>
      <c r="C29" s="499">
        <f t="shared" si="0"/>
        <v>8.4054388133498151E-2</v>
      </c>
      <c r="D29" s="89"/>
      <c r="E29" s="347" t="s">
        <v>452</v>
      </c>
      <c r="F29" s="500">
        <v>0</v>
      </c>
      <c r="G29" s="500">
        <v>22</v>
      </c>
      <c r="H29" s="470">
        <f t="shared" si="1"/>
        <v>22</v>
      </c>
      <c r="I29" s="469">
        <f t="shared" si="2"/>
        <v>4.536082474226804E-2</v>
      </c>
      <c r="L29" s="25"/>
      <c r="M29" s="17"/>
    </row>
    <row r="30" spans="1:13" x14ac:dyDescent="0.2">
      <c r="A30" s="200" t="s">
        <v>311</v>
      </c>
      <c r="B30" s="498">
        <v>530</v>
      </c>
      <c r="C30" s="499">
        <f t="shared" si="0"/>
        <v>0.32756489493201485</v>
      </c>
      <c r="D30" s="89"/>
      <c r="E30" s="347" t="s">
        <v>311</v>
      </c>
      <c r="F30" s="500">
        <v>7</v>
      </c>
      <c r="G30" s="500">
        <v>123</v>
      </c>
      <c r="H30" s="470">
        <f t="shared" si="1"/>
        <v>130</v>
      </c>
      <c r="I30" s="469">
        <f t="shared" si="2"/>
        <v>0.26804123711340205</v>
      </c>
      <c r="L30" s="25"/>
      <c r="M30" s="17"/>
    </row>
    <row r="31" spans="1:13" x14ac:dyDescent="0.2">
      <c r="A31" s="200" t="s">
        <v>312</v>
      </c>
      <c r="B31" s="498">
        <v>288</v>
      </c>
      <c r="C31" s="499">
        <f t="shared" si="0"/>
        <v>0.17799752781211373</v>
      </c>
      <c r="D31" s="89"/>
      <c r="E31" s="347" t="s">
        <v>312</v>
      </c>
      <c r="F31" s="500">
        <v>5</v>
      </c>
      <c r="G31" s="500">
        <v>64</v>
      </c>
      <c r="H31" s="470">
        <f t="shared" si="1"/>
        <v>69</v>
      </c>
      <c r="I31" s="469">
        <f t="shared" si="2"/>
        <v>0.1422680412371134</v>
      </c>
      <c r="L31" s="25"/>
      <c r="M31" s="17"/>
    </row>
    <row r="32" spans="1:13" x14ac:dyDescent="0.2">
      <c r="A32" s="200" t="s">
        <v>229</v>
      </c>
      <c r="B32" s="498">
        <v>268</v>
      </c>
      <c r="C32" s="499">
        <f t="shared" si="0"/>
        <v>0.16563658838071693</v>
      </c>
      <c r="D32" s="89"/>
      <c r="E32" s="347" t="s">
        <v>229</v>
      </c>
      <c r="F32" s="500">
        <v>8</v>
      </c>
      <c r="G32" s="500">
        <v>67</v>
      </c>
      <c r="H32" s="470">
        <f t="shared" si="1"/>
        <v>75</v>
      </c>
      <c r="I32" s="469">
        <f t="shared" si="2"/>
        <v>0.15463917525773196</v>
      </c>
      <c r="L32" s="25"/>
      <c r="M32" s="17"/>
    </row>
    <row r="33" spans="1:13" x14ac:dyDescent="0.2">
      <c r="A33" s="200" t="s">
        <v>453</v>
      </c>
      <c r="B33" s="498">
        <v>548</v>
      </c>
      <c r="C33" s="499">
        <f t="shared" si="0"/>
        <v>0.33868974042027195</v>
      </c>
      <c r="D33" s="89"/>
      <c r="E33" s="347" t="s">
        <v>453</v>
      </c>
      <c r="F33" s="500">
        <v>17</v>
      </c>
      <c r="G33" s="500">
        <v>151</v>
      </c>
      <c r="H33" s="470">
        <f t="shared" si="1"/>
        <v>168</v>
      </c>
      <c r="I33" s="469">
        <f t="shared" si="2"/>
        <v>0.34639175257731958</v>
      </c>
      <c r="L33" s="25"/>
      <c r="M33" s="17"/>
    </row>
    <row r="34" spans="1:13" x14ac:dyDescent="0.2">
      <c r="A34" s="200" t="s">
        <v>454</v>
      </c>
      <c r="B34" s="498">
        <v>107</v>
      </c>
      <c r="C34" s="499">
        <f t="shared" si="0"/>
        <v>6.6131025957972808E-2</v>
      </c>
      <c r="D34" s="89"/>
      <c r="E34" s="347" t="s">
        <v>454</v>
      </c>
      <c r="F34" s="500">
        <v>2</v>
      </c>
      <c r="G34" s="500">
        <v>25</v>
      </c>
      <c r="H34" s="470">
        <f t="shared" si="1"/>
        <v>27</v>
      </c>
      <c r="I34" s="469">
        <f t="shared" si="2"/>
        <v>5.5670103092783509E-2</v>
      </c>
      <c r="L34" s="25"/>
      <c r="M34" s="17"/>
    </row>
    <row r="35" spans="1:13" x14ac:dyDescent="0.2">
      <c r="A35" s="200" t="s">
        <v>455</v>
      </c>
      <c r="B35" s="498">
        <v>80</v>
      </c>
      <c r="C35" s="499">
        <f t="shared" si="0"/>
        <v>4.9443757725587144E-2</v>
      </c>
      <c r="D35" s="89"/>
      <c r="E35" s="347" t="s">
        <v>455</v>
      </c>
      <c r="F35" s="500">
        <v>2</v>
      </c>
      <c r="G35" s="500">
        <v>12</v>
      </c>
      <c r="H35" s="470">
        <f t="shared" si="1"/>
        <v>14</v>
      </c>
      <c r="I35" s="469">
        <f t="shared" si="2"/>
        <v>2.88659793814433E-2</v>
      </c>
      <c r="L35" s="25"/>
      <c r="M35" s="17"/>
    </row>
    <row r="36" spans="1:13" x14ac:dyDescent="0.2">
      <c r="A36" s="200" t="s">
        <v>456</v>
      </c>
      <c r="B36" s="498">
        <v>18</v>
      </c>
      <c r="C36" s="499">
        <f t="shared" si="0"/>
        <v>1.1124845488257108E-2</v>
      </c>
      <c r="D36" s="89"/>
      <c r="E36" s="347" t="s">
        <v>456</v>
      </c>
      <c r="F36" s="500">
        <v>0</v>
      </c>
      <c r="G36" s="500">
        <v>1</v>
      </c>
      <c r="H36" s="470">
        <f t="shared" si="1"/>
        <v>1</v>
      </c>
      <c r="I36" s="469">
        <f t="shared" si="2"/>
        <v>2.0618556701030928E-3</v>
      </c>
      <c r="L36" s="25"/>
      <c r="M36" s="17"/>
    </row>
    <row r="37" spans="1:13" x14ac:dyDescent="0.2">
      <c r="A37" s="200" t="s">
        <v>457</v>
      </c>
      <c r="B37" s="498">
        <v>143</v>
      </c>
      <c r="C37" s="499">
        <f t="shared" si="0"/>
        <v>8.8380716934487027E-2</v>
      </c>
      <c r="D37" s="89"/>
      <c r="E37" s="347" t="s">
        <v>457</v>
      </c>
      <c r="F37" s="500">
        <v>5</v>
      </c>
      <c r="G37" s="500">
        <v>41</v>
      </c>
      <c r="H37" s="470">
        <f t="shared" si="1"/>
        <v>46</v>
      </c>
      <c r="I37" s="469">
        <f t="shared" si="2"/>
        <v>9.4845360824742264E-2</v>
      </c>
      <c r="L37" s="25"/>
      <c r="M37" s="17"/>
    </row>
    <row r="38" spans="1:13" x14ac:dyDescent="0.2">
      <c r="A38" s="200" t="s">
        <v>458</v>
      </c>
      <c r="B38" s="498">
        <v>138</v>
      </c>
      <c r="C38" s="499">
        <f t="shared" si="0"/>
        <v>8.5290482076637822E-2</v>
      </c>
      <c r="D38" s="89"/>
      <c r="E38" s="347" t="s">
        <v>458</v>
      </c>
      <c r="F38" s="500">
        <v>4</v>
      </c>
      <c r="G38" s="500">
        <v>34</v>
      </c>
      <c r="H38" s="470">
        <f t="shared" si="1"/>
        <v>38</v>
      </c>
      <c r="I38" s="469">
        <f t="shared" si="2"/>
        <v>7.8350515463917525E-2</v>
      </c>
      <c r="L38" s="25"/>
      <c r="M38" s="17"/>
    </row>
    <row r="39" spans="1:13" x14ac:dyDescent="0.2">
      <c r="A39" s="200" t="s">
        <v>230</v>
      </c>
      <c r="B39" s="498">
        <v>20</v>
      </c>
      <c r="C39" s="499">
        <f t="shared" si="0"/>
        <v>1.2360939431396786E-2</v>
      </c>
      <c r="D39" s="89"/>
      <c r="E39" s="347" t="s">
        <v>230</v>
      </c>
      <c r="F39" s="500">
        <v>2</v>
      </c>
      <c r="G39" s="500">
        <v>10</v>
      </c>
      <c r="H39" s="470">
        <f t="shared" si="1"/>
        <v>12</v>
      </c>
      <c r="I39" s="469">
        <f t="shared" si="2"/>
        <v>2.4742268041237112E-2</v>
      </c>
      <c r="L39" s="25"/>
      <c r="M39" s="17"/>
    </row>
    <row r="40" spans="1:13" x14ac:dyDescent="0.2">
      <c r="A40" s="200" t="s">
        <v>349</v>
      </c>
      <c r="B40" s="498">
        <v>311</v>
      </c>
      <c r="C40" s="499">
        <f t="shared" si="0"/>
        <v>0.19221260815822003</v>
      </c>
      <c r="D40" s="89"/>
      <c r="E40" s="347" t="s">
        <v>349</v>
      </c>
      <c r="F40" s="500">
        <v>4</v>
      </c>
      <c r="G40" s="500">
        <v>84</v>
      </c>
      <c r="H40" s="470">
        <f t="shared" si="1"/>
        <v>88</v>
      </c>
      <c r="I40" s="469">
        <f t="shared" si="2"/>
        <v>0.18144329896907216</v>
      </c>
      <c r="L40" s="25"/>
      <c r="M40" s="17"/>
    </row>
    <row r="41" spans="1:13" ht="37.5" customHeight="1" x14ac:dyDescent="0.2">
      <c r="A41" s="346" t="s">
        <v>350</v>
      </c>
      <c r="B41" s="498">
        <v>123</v>
      </c>
      <c r="C41" s="499">
        <f t="shared" si="0"/>
        <v>7.6019777503090233E-2</v>
      </c>
      <c r="D41" s="89"/>
      <c r="E41" s="346" t="s">
        <v>350</v>
      </c>
      <c r="F41" s="500">
        <v>3</v>
      </c>
      <c r="G41" s="500">
        <v>46</v>
      </c>
      <c r="H41" s="470">
        <f t="shared" si="1"/>
        <v>49</v>
      </c>
      <c r="I41" s="469">
        <f t="shared" si="2"/>
        <v>0.10103092783505155</v>
      </c>
      <c r="L41" s="25"/>
      <c r="M41" s="17"/>
    </row>
    <row r="42" spans="1:13" x14ac:dyDescent="0.2">
      <c r="A42" s="200" t="s">
        <v>459</v>
      </c>
      <c r="B42" s="498">
        <v>39</v>
      </c>
      <c r="C42" s="499">
        <f t="shared" si="0"/>
        <v>2.4103831891223733E-2</v>
      </c>
      <c r="D42" s="89"/>
      <c r="E42" s="347" t="s">
        <v>459</v>
      </c>
      <c r="F42" s="500">
        <v>6</v>
      </c>
      <c r="G42" s="500">
        <v>18</v>
      </c>
      <c r="H42" s="470">
        <f t="shared" si="1"/>
        <v>24</v>
      </c>
      <c r="I42" s="469">
        <f t="shared" si="2"/>
        <v>4.9484536082474224E-2</v>
      </c>
      <c r="L42" s="25"/>
      <c r="M42" s="17"/>
    </row>
    <row r="43" spans="1:13" x14ac:dyDescent="0.2">
      <c r="B43" s="94"/>
      <c r="F43" s="116"/>
      <c r="G43" s="116"/>
      <c r="H43" s="109"/>
      <c r="I43" s="110"/>
      <c r="L43" s="25"/>
      <c r="M43" s="17"/>
    </row>
    <row r="44" spans="1:13" x14ac:dyDescent="0.2">
      <c r="K44" s="16"/>
      <c r="L44" s="7"/>
      <c r="M44" s="58"/>
    </row>
    <row r="45" spans="1:13" x14ac:dyDescent="0.2">
      <c r="K45" s="16"/>
      <c r="L45" s="7"/>
      <c r="M45" s="58"/>
    </row>
    <row r="46" spans="1:13" x14ac:dyDescent="0.2">
      <c r="K46" s="16"/>
      <c r="L46" s="7"/>
      <c r="M46" s="58"/>
    </row>
    <row r="47" spans="1:13" x14ac:dyDescent="0.2">
      <c r="K47" s="16"/>
      <c r="L47" s="7"/>
      <c r="M47" s="58"/>
    </row>
    <row r="48" spans="1:13" x14ac:dyDescent="0.2">
      <c r="K48" s="16"/>
      <c r="L48" s="16"/>
      <c r="M48" s="16"/>
    </row>
    <row r="49" spans="11:13" x14ac:dyDescent="0.2">
      <c r="K49" s="16"/>
      <c r="L49" s="108"/>
      <c r="M49" s="108"/>
    </row>
    <row r="50" spans="11:13" x14ac:dyDescent="0.2">
      <c r="K50" s="16"/>
      <c r="L50" s="7"/>
      <c r="M50" s="58"/>
    </row>
    <row r="51" spans="11:13" x14ac:dyDescent="0.2">
      <c r="K51" s="16"/>
      <c r="L51" s="7"/>
      <c r="M51" s="58"/>
    </row>
    <row r="52" spans="11:13" x14ac:dyDescent="0.2">
      <c r="K52" s="16"/>
      <c r="L52" s="7"/>
      <c r="M52" s="58"/>
    </row>
    <row r="53" spans="11:13" x14ac:dyDescent="0.2">
      <c r="K53" s="16"/>
      <c r="L53" s="7"/>
      <c r="M53" s="58"/>
    </row>
    <row r="54" spans="11:13" x14ac:dyDescent="0.2">
      <c r="K54" s="16"/>
      <c r="L54" s="7"/>
      <c r="M54" s="58"/>
    </row>
    <row r="55" spans="11:13" x14ac:dyDescent="0.2">
      <c r="K55" s="16"/>
      <c r="L55" s="7"/>
      <c r="M55" s="58"/>
    </row>
    <row r="56" spans="11:13" x14ac:dyDescent="0.2">
      <c r="K56" s="16"/>
      <c r="L56" s="7"/>
      <c r="M56" s="58"/>
    </row>
    <row r="57" spans="11:13" x14ac:dyDescent="0.2">
      <c r="K57" s="16"/>
      <c r="L57" s="7"/>
      <c r="M57" s="58"/>
    </row>
    <row r="58" spans="11:13" x14ac:dyDescent="0.2">
      <c r="K58" s="16"/>
      <c r="L58" s="7"/>
      <c r="M58" s="58"/>
    </row>
    <row r="59" spans="11:13" x14ac:dyDescent="0.2">
      <c r="K59" s="16"/>
      <c r="L59" s="7"/>
      <c r="M59" s="58"/>
    </row>
    <row r="60" spans="11:13" x14ac:dyDescent="0.2">
      <c r="K60" s="16"/>
      <c r="L60" s="7"/>
      <c r="M60" s="58"/>
    </row>
    <row r="61" spans="11:13" x14ac:dyDescent="0.2">
      <c r="K61" s="16"/>
      <c r="L61" s="7"/>
      <c r="M61" s="58"/>
    </row>
    <row r="62" spans="11:13" x14ac:dyDescent="0.2">
      <c r="K62" s="16"/>
      <c r="L62" s="7"/>
      <c r="M62" s="58"/>
    </row>
    <row r="63" spans="11:13" x14ac:dyDescent="0.2">
      <c r="K63" s="16"/>
      <c r="L63" s="7"/>
      <c r="M63" s="58"/>
    </row>
    <row r="64" spans="11:13" x14ac:dyDescent="0.2">
      <c r="K64" s="16"/>
      <c r="L64" s="7"/>
      <c r="M64" s="58"/>
    </row>
    <row r="65" spans="11:13" x14ac:dyDescent="0.2">
      <c r="K65" s="16"/>
      <c r="L65" s="7"/>
      <c r="M65" s="58"/>
    </row>
    <row r="66" spans="11:13" x14ac:dyDescent="0.2">
      <c r="K66" s="16"/>
      <c r="L66" s="7"/>
      <c r="M66" s="58"/>
    </row>
    <row r="67" spans="11:13" x14ac:dyDescent="0.2">
      <c r="K67" s="16"/>
      <c r="L67" s="7"/>
      <c r="M67" s="58"/>
    </row>
    <row r="68" spans="11:13" x14ac:dyDescent="0.2">
      <c r="K68" s="16"/>
      <c r="L68" s="7"/>
      <c r="M68" s="58"/>
    </row>
    <row r="69" spans="11:13" x14ac:dyDescent="0.2">
      <c r="K69" s="16"/>
      <c r="L69" s="7"/>
      <c r="M69" s="58"/>
    </row>
    <row r="70" spans="11:13" x14ac:dyDescent="0.2">
      <c r="K70" s="16"/>
      <c r="L70" s="7"/>
      <c r="M70" s="58"/>
    </row>
    <row r="71" spans="11:13" x14ac:dyDescent="0.2">
      <c r="K71" s="16"/>
      <c r="L71" s="7"/>
      <c r="M71" s="58"/>
    </row>
    <row r="72" spans="11:13" x14ac:dyDescent="0.2">
      <c r="K72" s="16"/>
      <c r="L72" s="16"/>
      <c r="M72" s="16"/>
    </row>
    <row r="73" spans="11:13" x14ac:dyDescent="0.2">
      <c r="K73" s="16"/>
      <c r="L73" s="16"/>
      <c r="M73" s="16"/>
    </row>
    <row r="74" spans="11:13" x14ac:dyDescent="0.2">
      <c r="K74" s="16"/>
      <c r="L74" s="16"/>
      <c r="M74" s="16"/>
    </row>
    <row r="75" spans="11:13" x14ac:dyDescent="0.2">
      <c r="L75" s="92"/>
      <c r="M75" s="92"/>
    </row>
    <row r="76" spans="11:13" x14ac:dyDescent="0.2">
      <c r="L76" s="25"/>
      <c r="M76" s="17"/>
    </row>
    <row r="77" spans="11:13" x14ac:dyDescent="0.2">
      <c r="L77" s="25"/>
      <c r="M77" s="17"/>
    </row>
    <row r="78" spans="11:13" x14ac:dyDescent="0.2">
      <c r="L78" s="25"/>
      <c r="M78" s="17"/>
    </row>
    <row r="79" spans="11:13" x14ac:dyDescent="0.2">
      <c r="L79" s="25"/>
      <c r="M79" s="17"/>
    </row>
    <row r="80" spans="11:13" x14ac:dyDescent="0.2">
      <c r="L80" s="25"/>
      <c r="M80" s="17"/>
    </row>
    <row r="81" spans="11:13" x14ac:dyDescent="0.2">
      <c r="L81" s="25"/>
      <c r="M81" s="17"/>
    </row>
    <row r="82" spans="11:13" x14ac:dyDescent="0.2">
      <c r="L82" s="25"/>
      <c r="M82" s="17"/>
    </row>
    <row r="83" spans="11:13" x14ac:dyDescent="0.2">
      <c r="L83" s="25"/>
      <c r="M83" s="17"/>
    </row>
    <row r="84" spans="11:13" x14ac:dyDescent="0.2">
      <c r="L84" s="25"/>
      <c r="M84" s="17"/>
    </row>
    <row r="85" spans="11:13" x14ac:dyDescent="0.2">
      <c r="L85" s="25"/>
      <c r="M85" s="17"/>
    </row>
    <row r="86" spans="11:13" x14ac:dyDescent="0.2">
      <c r="L86" s="25"/>
      <c r="M86" s="17"/>
    </row>
    <row r="87" spans="11:13" x14ac:dyDescent="0.2">
      <c r="L87" s="25"/>
      <c r="M87" s="17"/>
    </row>
    <row r="88" spans="11:13" x14ac:dyDescent="0.2">
      <c r="L88" s="25"/>
      <c r="M88" s="17"/>
    </row>
    <row r="89" spans="11:13" x14ac:dyDescent="0.2">
      <c r="L89" s="25"/>
      <c r="M89" s="17"/>
    </row>
    <row r="90" spans="11:13" x14ac:dyDescent="0.2">
      <c r="L90" s="25"/>
      <c r="M90" s="17"/>
    </row>
    <row r="91" spans="11:13" x14ac:dyDescent="0.2">
      <c r="L91" s="25"/>
      <c r="M91" s="17"/>
    </row>
    <row r="92" spans="11:13" x14ac:dyDescent="0.2">
      <c r="L92" s="25"/>
      <c r="M92" s="17"/>
    </row>
    <row r="93" spans="11:13" x14ac:dyDescent="0.2">
      <c r="L93" s="25"/>
      <c r="M93" s="17"/>
    </row>
    <row r="94" spans="11:13" x14ac:dyDescent="0.2">
      <c r="K94" s="117"/>
      <c r="L94" s="118"/>
      <c r="M94" s="119"/>
    </row>
    <row r="95" spans="11:13" x14ac:dyDescent="0.2">
      <c r="K95" s="16"/>
      <c r="L95" s="7"/>
      <c r="M95" s="58"/>
    </row>
    <row r="96" spans="11:13" x14ac:dyDescent="0.2">
      <c r="K96" s="120"/>
      <c r="L96" s="121"/>
      <c r="M96" s="122"/>
    </row>
    <row r="97" spans="12:13" x14ac:dyDescent="0.2">
      <c r="L97" s="25"/>
      <c r="M97" s="17"/>
    </row>
  </sheetData>
  <mergeCells count="2">
    <mergeCell ref="A21:C21"/>
    <mergeCell ref="E21:I21"/>
  </mergeCells>
  <phoneticPr fontId="2"/>
  <pageMargins left="0.70866141732283472" right="0.70866141732283472" top="0.74803149606299213" bottom="0.74803149606299213" header="0.31496062992125984" footer="0.31496062992125984"/>
  <pageSetup paperSize="9" scale="6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データ削除_退院阻害要因">
                <anchor moveWithCells="1" sizeWithCells="1">
                  <from>
                    <xdr:col>10</xdr:col>
                    <xdr:colOff>297180</xdr:colOff>
                    <xdr:row>4</xdr:row>
                    <xdr:rowOff>7620</xdr:rowOff>
                  </from>
                  <to>
                    <xdr:col>11</xdr:col>
                    <xdr:colOff>1440180</xdr:colOff>
                    <xdr:row>5</xdr:row>
                    <xdr:rowOff>160020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B0F0"/>
    <pageSetUpPr fitToPage="1"/>
  </sheetPr>
  <dimension ref="A1:R54"/>
  <sheetViews>
    <sheetView showGridLines="0" view="pageBreakPreview" zoomScale="90" zoomScaleNormal="100" zoomScaleSheetLayoutView="90" workbookViewId="0"/>
  </sheetViews>
  <sheetFormatPr defaultColWidth="13.77734375" defaultRowHeight="17.399999999999999" x14ac:dyDescent="0.2"/>
  <cols>
    <col min="1" max="1" width="15.33203125" style="1" bestFit="1" customWidth="1"/>
    <col min="2" max="3" width="9.33203125" style="1" customWidth="1"/>
    <col min="4" max="4" width="4.109375" style="1" customWidth="1"/>
    <col min="5" max="5" width="15.33203125" style="1" customWidth="1"/>
    <col min="6" max="9" width="9.33203125" style="1" customWidth="1"/>
    <col min="10" max="10" width="0" style="1" hidden="1" customWidth="1"/>
    <col min="11" max="18" width="13.77734375" style="1" hidden="1" customWidth="1"/>
    <col min="19" max="20" width="13.77734375" style="1" customWidth="1"/>
    <col min="21" max="16384" width="13.77734375" style="1"/>
  </cols>
  <sheetData>
    <row r="1" spans="1:17" s="3" customFormat="1" ht="19.2" x14ac:dyDescent="0.2">
      <c r="A1" s="2" t="s">
        <v>80</v>
      </c>
    </row>
    <row r="2" spans="1:17" x14ac:dyDescent="0.2">
      <c r="A2" s="4"/>
      <c r="K2" s="43" t="s">
        <v>62</v>
      </c>
    </row>
    <row r="3" spans="1:17" s="3" customFormat="1" ht="19.8" thickBot="1" x14ac:dyDescent="0.25">
      <c r="A3" s="4" t="s">
        <v>13</v>
      </c>
      <c r="E3" s="4" t="s">
        <v>135</v>
      </c>
      <c r="K3" s="679" t="s">
        <v>276</v>
      </c>
      <c r="L3" s="680" t="s">
        <v>259</v>
      </c>
      <c r="M3" s="677"/>
      <c r="N3" s="679" t="s">
        <v>276</v>
      </c>
      <c r="O3" s="680" t="s">
        <v>257</v>
      </c>
      <c r="P3" s="679" t="s">
        <v>276</v>
      </c>
      <c r="Q3" s="680" t="s">
        <v>258</v>
      </c>
    </row>
    <row r="4" spans="1:17" ht="18.600000000000001" thickTop="1" thickBot="1" x14ac:dyDescent="0.25">
      <c r="A4" s="501"/>
      <c r="B4" s="502" t="s">
        <v>0</v>
      </c>
      <c r="C4" s="502" t="s">
        <v>1</v>
      </c>
      <c r="D4" s="145"/>
      <c r="E4" s="501"/>
      <c r="F4" s="502" t="s">
        <v>136</v>
      </c>
      <c r="G4" s="502" t="s">
        <v>137</v>
      </c>
      <c r="H4" s="502" t="s">
        <v>12</v>
      </c>
      <c r="I4" s="502" t="s">
        <v>1</v>
      </c>
      <c r="K4" s="675" t="s">
        <v>655</v>
      </c>
      <c r="L4" s="694" t="s">
        <v>657</v>
      </c>
      <c r="M4" s="682"/>
      <c r="N4" s="695" t="s">
        <v>655</v>
      </c>
      <c r="O4" s="271" t="s">
        <v>657</v>
      </c>
      <c r="P4" s="695" t="s">
        <v>655</v>
      </c>
      <c r="Q4" s="271" t="s">
        <v>657</v>
      </c>
    </row>
    <row r="5" spans="1:17" ht="18" thickTop="1" x14ac:dyDescent="0.2">
      <c r="A5" s="467" t="s">
        <v>2</v>
      </c>
      <c r="B5" s="476">
        <f>IFERROR(VLOOKUP($A5,年齢区分＿1年以上[#All],2,FALSE),0)</f>
        <v>3</v>
      </c>
      <c r="C5" s="469">
        <f>IFERROR(B5/B$14,"-")</f>
        <v>4.0360554284945513E-4</v>
      </c>
      <c r="D5" s="145"/>
      <c r="E5" s="467" t="s">
        <v>2</v>
      </c>
      <c r="F5" s="476">
        <f>IFERROR(VLOOKUP($A5,年齢区分＿1年以上＿寛解[#All],2,FALSE),0)</f>
        <v>0</v>
      </c>
      <c r="G5" s="476">
        <f>IFERROR(VLOOKUP($A5,年齢区分＿1年以上＿院内寛解[#All],2,FALSE),0)</f>
        <v>0</v>
      </c>
      <c r="H5" s="470">
        <f>SUM(F5:G5)</f>
        <v>0</v>
      </c>
      <c r="I5" s="469">
        <f>IFERROR(H5/H$14,"-")</f>
        <v>0</v>
      </c>
      <c r="K5" s="674" t="s">
        <v>2</v>
      </c>
      <c r="L5" s="689">
        <v>3</v>
      </c>
      <c r="M5" s="273"/>
      <c r="N5" s="696" t="s">
        <v>2</v>
      </c>
      <c r="O5" s="241">
        <v>0</v>
      </c>
      <c r="P5" s="696" t="s">
        <v>2</v>
      </c>
      <c r="Q5" s="241">
        <v>0</v>
      </c>
    </row>
    <row r="6" spans="1:17" x14ac:dyDescent="0.2">
      <c r="A6" s="467" t="s">
        <v>3</v>
      </c>
      <c r="B6" s="476">
        <f>IFERROR(VLOOKUP($A6,年齢区分＿1年以上[#All],2,FALSE),0)</f>
        <v>49</v>
      </c>
      <c r="C6" s="469">
        <f t="shared" ref="C6:C13" si="0">IFERROR(B6/B$14,"-")</f>
        <v>6.5922238665411005E-3</v>
      </c>
      <c r="D6" s="145"/>
      <c r="E6" s="467" t="s">
        <v>3</v>
      </c>
      <c r="F6" s="476">
        <f>IFERROR(VLOOKUP($A6,年齢区分＿1年以上＿寛解[#All],2,FALSE),0)</f>
        <v>1</v>
      </c>
      <c r="G6" s="476">
        <f>IFERROR(VLOOKUP($A6,年齢区分＿1年以上＿院内寛解[#All],2,FALSE),0)</f>
        <v>4</v>
      </c>
      <c r="H6" s="470">
        <f t="shared" ref="H6:H13" si="1">SUM(F6:G6)</f>
        <v>5</v>
      </c>
      <c r="I6" s="469">
        <f t="shared" ref="I6:I16" si="2">IFERROR(H6/H$14,"-")</f>
        <v>9.5238095238095247E-3</v>
      </c>
      <c r="K6" s="690" t="s">
        <v>3</v>
      </c>
      <c r="L6" s="689">
        <v>49</v>
      </c>
      <c r="M6" s="274"/>
      <c r="N6" s="267" t="s">
        <v>3</v>
      </c>
      <c r="O6" s="241">
        <v>1</v>
      </c>
      <c r="P6" s="267" t="s">
        <v>3</v>
      </c>
      <c r="Q6" s="241">
        <v>4</v>
      </c>
    </row>
    <row r="7" spans="1:17" x14ac:dyDescent="0.2">
      <c r="A7" s="467" t="s">
        <v>4</v>
      </c>
      <c r="B7" s="476">
        <f>IFERROR(VLOOKUP($A7,年齢区分＿1年以上[#All],2,FALSE),0)</f>
        <v>133</v>
      </c>
      <c r="C7" s="469">
        <f t="shared" si="0"/>
        <v>1.7893179066325843E-2</v>
      </c>
      <c r="D7" s="145"/>
      <c r="E7" s="467" t="s">
        <v>4</v>
      </c>
      <c r="F7" s="476">
        <f>IFERROR(VLOOKUP($A7,年齢区分＿1年以上＿寛解[#All],2,FALSE),0)</f>
        <v>0</v>
      </c>
      <c r="G7" s="476">
        <f>IFERROR(VLOOKUP($A7,年齢区分＿1年以上＿院内寛解[#All],2,FALSE),0)</f>
        <v>15</v>
      </c>
      <c r="H7" s="470">
        <f t="shared" si="1"/>
        <v>15</v>
      </c>
      <c r="I7" s="469">
        <f t="shared" si="2"/>
        <v>2.8571428571428571E-2</v>
      </c>
      <c r="K7" s="690" t="s">
        <v>4</v>
      </c>
      <c r="L7" s="689">
        <v>133</v>
      </c>
      <c r="M7" s="274"/>
      <c r="N7" s="267" t="s">
        <v>4</v>
      </c>
      <c r="O7" s="241">
        <v>0</v>
      </c>
      <c r="P7" s="267" t="s">
        <v>4</v>
      </c>
      <c r="Q7" s="241">
        <v>15</v>
      </c>
    </row>
    <row r="8" spans="1:17" x14ac:dyDescent="0.2">
      <c r="A8" s="467" t="s">
        <v>5</v>
      </c>
      <c r="B8" s="476">
        <f>IFERROR(VLOOKUP($A8,年齢区分＿1年以上[#All],2,FALSE),0)</f>
        <v>465</v>
      </c>
      <c r="C8" s="469">
        <f t="shared" si="0"/>
        <v>6.2558859141665549E-2</v>
      </c>
      <c r="D8" s="145"/>
      <c r="E8" s="467" t="s">
        <v>5</v>
      </c>
      <c r="F8" s="476">
        <f>IFERROR(VLOOKUP($A8,年齢区分＿1年以上＿寛解[#All],2,FALSE),0)</f>
        <v>3</v>
      </c>
      <c r="G8" s="476">
        <f>IFERROR(VLOOKUP($A8,年齢区分＿1年以上＿院内寛解[#All],2,FALSE),0)</f>
        <v>31</v>
      </c>
      <c r="H8" s="470">
        <f t="shared" si="1"/>
        <v>34</v>
      </c>
      <c r="I8" s="469">
        <f t="shared" si="2"/>
        <v>6.4761904761904757E-2</v>
      </c>
      <c r="K8" s="690" t="s">
        <v>5</v>
      </c>
      <c r="L8" s="689">
        <v>465</v>
      </c>
      <c r="M8" s="683"/>
      <c r="N8" s="267" t="s">
        <v>5</v>
      </c>
      <c r="O8" s="241">
        <v>3</v>
      </c>
      <c r="P8" s="267" t="s">
        <v>5</v>
      </c>
      <c r="Q8" s="241">
        <v>31</v>
      </c>
    </row>
    <row r="9" spans="1:17" x14ac:dyDescent="0.2">
      <c r="A9" s="467" t="s">
        <v>6</v>
      </c>
      <c r="B9" s="476">
        <f>IFERROR(VLOOKUP($A9,年齢区分＿1年以上[#All],2,FALSE),0)</f>
        <v>1269</v>
      </c>
      <c r="C9" s="469">
        <f t="shared" si="0"/>
        <v>0.17072514462531951</v>
      </c>
      <c r="D9" s="145"/>
      <c r="E9" s="467" t="s">
        <v>6</v>
      </c>
      <c r="F9" s="476">
        <f>IFERROR(VLOOKUP($A9,年齢区分＿1年以上＿寛解[#All],2,FALSE),0)</f>
        <v>6</v>
      </c>
      <c r="G9" s="476">
        <f>IFERROR(VLOOKUP($A9,年齢区分＿1年以上＿院内寛解[#All],2,FALSE),0)</f>
        <v>95</v>
      </c>
      <c r="H9" s="470">
        <f t="shared" si="1"/>
        <v>101</v>
      </c>
      <c r="I9" s="469">
        <f t="shared" si="2"/>
        <v>0.19238095238095237</v>
      </c>
      <c r="K9" s="690" t="s">
        <v>6</v>
      </c>
      <c r="L9" s="689">
        <v>1269</v>
      </c>
      <c r="M9" s="683"/>
      <c r="N9" s="267" t="s">
        <v>6</v>
      </c>
      <c r="O9" s="241">
        <v>6</v>
      </c>
      <c r="P9" s="267" t="s">
        <v>6</v>
      </c>
      <c r="Q9" s="241">
        <v>95</v>
      </c>
    </row>
    <row r="10" spans="1:17" x14ac:dyDescent="0.2">
      <c r="A10" s="467" t="s">
        <v>7</v>
      </c>
      <c r="B10" s="476">
        <f>IFERROR(VLOOKUP($A10,年齢区分＿1年以上[#All],2,FALSE),0)</f>
        <v>1439</v>
      </c>
      <c r="C10" s="469">
        <f t="shared" si="0"/>
        <v>0.19359612538678864</v>
      </c>
      <c r="D10" s="145"/>
      <c r="E10" s="467" t="s">
        <v>7</v>
      </c>
      <c r="F10" s="476">
        <f>IFERROR(VLOOKUP($A10,年齢区分＿1年以上＿寛解[#All],2,FALSE),0)</f>
        <v>12</v>
      </c>
      <c r="G10" s="476">
        <f>IFERROR(VLOOKUP($A10,年齢区分＿1年以上＿院内寛解[#All],2,FALSE),0)</f>
        <v>93</v>
      </c>
      <c r="H10" s="470">
        <f t="shared" si="1"/>
        <v>105</v>
      </c>
      <c r="I10" s="469">
        <f t="shared" si="2"/>
        <v>0.2</v>
      </c>
      <c r="K10" s="690" t="s">
        <v>7</v>
      </c>
      <c r="L10" s="689">
        <v>1439</v>
      </c>
      <c r="M10" s="683"/>
      <c r="N10" s="267" t="s">
        <v>7</v>
      </c>
      <c r="O10" s="241">
        <v>12</v>
      </c>
      <c r="P10" s="267" t="s">
        <v>7</v>
      </c>
      <c r="Q10" s="241">
        <v>93</v>
      </c>
    </row>
    <row r="11" spans="1:17" x14ac:dyDescent="0.2">
      <c r="A11" s="467" t="s">
        <v>8</v>
      </c>
      <c r="B11" s="476">
        <f>IFERROR(VLOOKUP($A11,年齢区分＿1年以上[#All],2,FALSE),0)</f>
        <v>1927</v>
      </c>
      <c r="C11" s="469">
        <f t="shared" si="0"/>
        <v>0.25924929369030003</v>
      </c>
      <c r="D11" s="145"/>
      <c r="E11" s="467" t="s">
        <v>8</v>
      </c>
      <c r="F11" s="476">
        <f>IFERROR(VLOOKUP($A11,年齢区分＿1年以上＿寛解[#All],2,FALSE),0)</f>
        <v>9</v>
      </c>
      <c r="G11" s="476">
        <f>IFERROR(VLOOKUP($A11,年齢区分＿1年以上＿院内寛解[#All],2,FALSE),0)</f>
        <v>142</v>
      </c>
      <c r="H11" s="470">
        <f t="shared" si="1"/>
        <v>151</v>
      </c>
      <c r="I11" s="469">
        <f t="shared" si="2"/>
        <v>0.28761904761904761</v>
      </c>
      <c r="K11" s="690" t="s">
        <v>8</v>
      </c>
      <c r="L11" s="689">
        <v>1927</v>
      </c>
      <c r="M11" s="683"/>
      <c r="N11" s="267" t="s">
        <v>8</v>
      </c>
      <c r="O11" s="241">
        <v>9</v>
      </c>
      <c r="P11" s="267" t="s">
        <v>8</v>
      </c>
      <c r="Q11" s="241">
        <v>142</v>
      </c>
    </row>
    <row r="12" spans="1:17" x14ac:dyDescent="0.2">
      <c r="A12" s="467" t="s">
        <v>9</v>
      </c>
      <c r="B12" s="476">
        <f>IFERROR(VLOOKUP($A12,年齢区分＿1年以上[#All],2,FALSE),0)</f>
        <v>1692</v>
      </c>
      <c r="C12" s="469">
        <f t="shared" si="0"/>
        <v>0.2276335261670927</v>
      </c>
      <c r="D12" s="145"/>
      <c r="E12" s="467" t="s">
        <v>9</v>
      </c>
      <c r="F12" s="476">
        <f>IFERROR(VLOOKUP($A12,年齢区分＿1年以上＿寛解[#All],2,FALSE),0)</f>
        <v>7</v>
      </c>
      <c r="G12" s="476">
        <f>IFERROR(VLOOKUP($A12,年齢区分＿1年以上＿院内寛解[#All],2,FALSE),0)</f>
        <v>87</v>
      </c>
      <c r="H12" s="470">
        <f t="shared" si="1"/>
        <v>94</v>
      </c>
      <c r="I12" s="469">
        <f t="shared" si="2"/>
        <v>0.17904761904761904</v>
      </c>
      <c r="K12" s="690" t="s">
        <v>9</v>
      </c>
      <c r="L12" s="689">
        <v>1692</v>
      </c>
      <c r="M12" s="683"/>
      <c r="N12" s="267" t="s">
        <v>9</v>
      </c>
      <c r="O12" s="241">
        <v>7</v>
      </c>
      <c r="P12" s="267" t="s">
        <v>9</v>
      </c>
      <c r="Q12" s="241">
        <v>87</v>
      </c>
    </row>
    <row r="13" spans="1:17" x14ac:dyDescent="0.2">
      <c r="A13" s="467" t="s">
        <v>10</v>
      </c>
      <c r="B13" s="476">
        <f>IFERROR(VLOOKUP($A13,年齢区分＿1年以上[#All],2,FALSE),0)</f>
        <v>456</v>
      </c>
      <c r="C13" s="469">
        <f t="shared" si="0"/>
        <v>6.1348042513117179E-2</v>
      </c>
      <c r="D13" s="145"/>
      <c r="E13" s="467" t="s">
        <v>10</v>
      </c>
      <c r="F13" s="476">
        <f>IFERROR(VLOOKUP($A13,年齢区分＿1年以上＿寛解[#All],2,FALSE),0)</f>
        <v>2</v>
      </c>
      <c r="G13" s="476">
        <f>IFERROR(VLOOKUP($A13,年齢区分＿1年以上＿院内寛解[#All],2,FALSE),0)</f>
        <v>18</v>
      </c>
      <c r="H13" s="470">
        <f t="shared" si="1"/>
        <v>20</v>
      </c>
      <c r="I13" s="469">
        <f t="shared" si="2"/>
        <v>3.8095238095238099E-2</v>
      </c>
      <c r="K13" s="692" t="s">
        <v>10</v>
      </c>
      <c r="L13" s="693">
        <v>456</v>
      </c>
      <c r="M13" s="683"/>
      <c r="N13" s="267" t="s">
        <v>10</v>
      </c>
      <c r="O13" s="241">
        <v>2</v>
      </c>
      <c r="P13" s="267" t="s">
        <v>10</v>
      </c>
      <c r="Q13" s="241">
        <v>18</v>
      </c>
    </row>
    <row r="14" spans="1:17" ht="18" thickBot="1" x14ac:dyDescent="0.25">
      <c r="A14" s="503" t="s">
        <v>11</v>
      </c>
      <c r="B14" s="504">
        <f>SUM(B5:B13)</f>
        <v>7433</v>
      </c>
      <c r="C14" s="505">
        <f>SUM(C5:C13)</f>
        <v>1</v>
      </c>
      <c r="D14" s="145"/>
      <c r="E14" s="503" t="s">
        <v>11</v>
      </c>
      <c r="F14" s="504">
        <f>SUM(F5:F13)</f>
        <v>40</v>
      </c>
      <c r="G14" s="504">
        <f t="shared" ref="G14" si="3">SUM(G5:G13)</f>
        <v>485</v>
      </c>
      <c r="H14" s="504">
        <f>SUM(H5:H13)</f>
        <v>525</v>
      </c>
      <c r="I14" s="505">
        <f>SUM(I5:I13)</f>
        <v>1</v>
      </c>
      <c r="K14" s="684"/>
      <c r="L14" s="685"/>
      <c r="M14" s="683"/>
      <c r="N14" s="684"/>
      <c r="O14" s="685"/>
      <c r="P14" s="684"/>
      <c r="Q14" s="685"/>
    </row>
    <row r="15" spans="1:17" s="3" customFormat="1" ht="20.399999999999999" thickTop="1" thickBot="1" x14ac:dyDescent="0.25">
      <c r="A15" s="347" t="s">
        <v>84</v>
      </c>
      <c r="B15" s="474">
        <f>B14-B16</f>
        <v>2668</v>
      </c>
      <c r="C15" s="475">
        <f t="shared" ref="C15:C16" si="4">IFERROR(B15/B$14,"-")</f>
        <v>0.35893986277411544</v>
      </c>
      <c r="D15" s="146"/>
      <c r="E15" s="347" t="s">
        <v>84</v>
      </c>
      <c r="F15" s="474">
        <f t="shared" ref="F15:G15" si="5">F14-F16</f>
        <v>17</v>
      </c>
      <c r="G15" s="474">
        <f t="shared" si="5"/>
        <v>181</v>
      </c>
      <c r="H15" s="506">
        <f>SUM(F15:G15)</f>
        <v>198</v>
      </c>
      <c r="I15" s="475">
        <f t="shared" si="2"/>
        <v>0.37714285714285717</v>
      </c>
      <c r="K15" s="686" t="s">
        <v>474</v>
      </c>
      <c r="L15" s="780">
        <v>4765</v>
      </c>
      <c r="M15" s="687"/>
      <c r="N15" s="686" t="s">
        <v>474</v>
      </c>
      <c r="O15" s="780">
        <v>23</v>
      </c>
      <c r="P15" s="686" t="s">
        <v>474</v>
      </c>
      <c r="Q15" s="780">
        <v>304</v>
      </c>
    </row>
    <row r="16" spans="1:17" ht="18" thickTop="1" x14ac:dyDescent="0.2">
      <c r="A16" s="221" t="s">
        <v>83</v>
      </c>
      <c r="B16" s="474">
        <f>L15</f>
        <v>4765</v>
      </c>
      <c r="C16" s="475">
        <f t="shared" si="4"/>
        <v>0.64106013722588462</v>
      </c>
      <c r="D16" s="146"/>
      <c r="E16" s="221" t="s">
        <v>83</v>
      </c>
      <c r="F16" s="506">
        <f>O15</f>
        <v>23</v>
      </c>
      <c r="G16" s="506">
        <f>Q15</f>
        <v>304</v>
      </c>
      <c r="H16" s="506">
        <f>SUM(F16:G16)</f>
        <v>327</v>
      </c>
      <c r="I16" s="475">
        <f t="shared" si="2"/>
        <v>0.62285714285714289</v>
      </c>
      <c r="K16" s="16"/>
      <c r="L16" s="16"/>
      <c r="M16" s="16"/>
      <c r="N16" s="16"/>
    </row>
    <row r="17" spans="1:17" x14ac:dyDescent="0.2">
      <c r="K17" s="16"/>
      <c r="L17" s="16"/>
      <c r="M17" s="16"/>
      <c r="N17" s="16"/>
    </row>
    <row r="18" spans="1:17" ht="13.5" customHeight="1" x14ac:dyDescent="0.2">
      <c r="K18" s="33"/>
      <c r="L18" s="34"/>
      <c r="M18" s="34"/>
      <c r="N18" s="16"/>
    </row>
    <row r="19" spans="1:17" x14ac:dyDescent="0.2">
      <c r="K19" s="7"/>
      <c r="L19" s="8"/>
      <c r="M19" s="36"/>
      <c r="N19" s="16"/>
    </row>
    <row r="20" spans="1:17" x14ac:dyDescent="0.2">
      <c r="K20" s="7"/>
      <c r="L20" s="8"/>
      <c r="M20" s="36"/>
      <c r="N20" s="16"/>
    </row>
    <row r="21" spans="1:17" x14ac:dyDescent="0.2">
      <c r="K21" s="7"/>
      <c r="L21" s="8"/>
      <c r="M21" s="36"/>
      <c r="N21" s="16"/>
    </row>
    <row r="22" spans="1:17" x14ac:dyDescent="0.2">
      <c r="K22" s="7"/>
      <c r="L22" s="8"/>
      <c r="M22" s="36"/>
      <c r="N22" s="16"/>
    </row>
    <row r="23" spans="1:17" x14ac:dyDescent="0.2">
      <c r="K23" s="7"/>
      <c r="L23" s="8"/>
      <c r="M23" s="36"/>
      <c r="N23" s="16"/>
    </row>
    <row r="24" spans="1:17" x14ac:dyDescent="0.2">
      <c r="K24" s="678"/>
      <c r="L24" s="676"/>
      <c r="M24" s="676"/>
      <c r="N24" s="676"/>
      <c r="O24" s="676"/>
      <c r="P24" s="676"/>
      <c r="Q24" s="676"/>
    </row>
    <row r="27" spans="1:17" x14ac:dyDescent="0.2">
      <c r="B27" s="25"/>
    </row>
    <row r="31" spans="1:17" x14ac:dyDescent="0.2">
      <c r="A31" s="25"/>
      <c r="B31" s="17"/>
    </row>
    <row r="32" spans="1:17" x14ac:dyDescent="0.2">
      <c r="A32" s="25"/>
      <c r="B32" s="17"/>
    </row>
    <row r="33" spans="1:14" x14ac:dyDescent="0.2">
      <c r="A33" s="25"/>
      <c r="B33" s="17"/>
    </row>
    <row r="38" spans="1:14" x14ac:dyDescent="0.2">
      <c r="K38" s="7"/>
      <c r="L38" s="8"/>
      <c r="M38" s="36"/>
      <c r="N38" s="16"/>
    </row>
    <row r="39" spans="1:14" x14ac:dyDescent="0.2">
      <c r="K39" s="7"/>
      <c r="L39" s="8"/>
      <c r="M39" s="36"/>
      <c r="N39" s="16"/>
    </row>
    <row r="40" spans="1:14" x14ac:dyDescent="0.2">
      <c r="K40" s="7"/>
      <c r="L40" s="8"/>
      <c r="M40" s="36"/>
      <c r="N40" s="16"/>
    </row>
    <row r="41" spans="1:14" x14ac:dyDescent="0.2">
      <c r="K41" s="37"/>
      <c r="L41" s="38"/>
      <c r="M41" s="39"/>
      <c r="N41" s="16"/>
    </row>
    <row r="42" spans="1:14" x14ac:dyDescent="0.2">
      <c r="K42" s="16"/>
      <c r="L42" s="16"/>
      <c r="M42" s="16"/>
      <c r="N42" s="16"/>
    </row>
    <row r="43" spans="1:14" x14ac:dyDescent="0.2">
      <c r="K43" s="16"/>
      <c r="L43" s="16"/>
      <c r="M43" s="16"/>
      <c r="N43" s="16"/>
    </row>
    <row r="44" spans="1:14" x14ac:dyDescent="0.2">
      <c r="K44" s="16"/>
      <c r="L44" s="16"/>
      <c r="M44" s="16"/>
      <c r="N44" s="16"/>
    </row>
    <row r="45" spans="1:14" x14ac:dyDescent="0.2">
      <c r="K45" s="16"/>
      <c r="L45" s="16"/>
      <c r="M45" s="16"/>
      <c r="N45" s="16"/>
    </row>
    <row r="46" spans="1:14" x14ac:dyDescent="0.2">
      <c r="K46" s="16"/>
      <c r="L46" s="16"/>
      <c r="M46" s="16"/>
      <c r="N46" s="16"/>
    </row>
    <row r="47" spans="1:14" x14ac:dyDescent="0.2">
      <c r="K47" s="16"/>
      <c r="L47" s="16"/>
      <c r="M47" s="16"/>
      <c r="N47" s="16"/>
    </row>
    <row r="48" spans="1:14" x14ac:dyDescent="0.2">
      <c r="K48" s="16"/>
      <c r="L48" s="16"/>
      <c r="M48" s="16"/>
      <c r="N48" s="16"/>
    </row>
    <row r="49" spans="11:14" x14ac:dyDescent="0.2">
      <c r="K49" s="16"/>
      <c r="L49" s="16"/>
      <c r="M49" s="16"/>
      <c r="N49" s="16"/>
    </row>
    <row r="50" spans="11:14" x14ac:dyDescent="0.2">
      <c r="K50" s="16"/>
      <c r="L50" s="16"/>
      <c r="M50" s="16"/>
      <c r="N50" s="16"/>
    </row>
    <row r="51" spans="11:14" x14ac:dyDescent="0.2">
      <c r="K51" s="16"/>
      <c r="L51" s="16"/>
      <c r="M51" s="16"/>
      <c r="N51" s="16"/>
    </row>
    <row r="52" spans="11:14" x14ac:dyDescent="0.2">
      <c r="K52" s="16"/>
      <c r="L52" s="16"/>
      <c r="M52" s="16"/>
      <c r="N52" s="16"/>
    </row>
    <row r="53" spans="11:14" x14ac:dyDescent="0.2">
      <c r="K53" s="16"/>
      <c r="L53" s="16"/>
      <c r="M53" s="16"/>
      <c r="N53" s="16"/>
    </row>
    <row r="54" spans="11:14" x14ac:dyDescent="0.2">
      <c r="K54" s="16"/>
      <c r="L54" s="16"/>
      <c r="M54" s="16"/>
      <c r="N54" s="16"/>
    </row>
  </sheetData>
  <phoneticPr fontId="2"/>
  <pageMargins left="0.70866141732283472" right="0.70866141732283472" top="0.74803149606299213" bottom="0.74803149606299213" header="0.31496062992125984" footer="0.31496062992125984"/>
  <pageSetup paperSize="11" scale="9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
              <controlPr defaultSize="0" print="0" autoFill="0" autoPict="0" macro="[0]!データ削除_年齢区分_1年以上">
                <anchor moveWithCells="1" sizeWithCells="1">
                  <from>
                    <xdr:col>9</xdr:col>
                    <xdr:colOff>441960</xdr:colOff>
                    <xdr:row>15</xdr:row>
                    <xdr:rowOff>220980</xdr:rowOff>
                  </from>
                  <to>
                    <xdr:col>10</xdr:col>
                    <xdr:colOff>838200</xdr:colOff>
                    <xdr:row>18</xdr:row>
                    <xdr:rowOff>106680</xdr:rowOff>
                  </to>
                </anchor>
              </controlPr>
            </control>
          </mc:Choice>
        </mc:AlternateContent>
      </controls>
    </mc:Choice>
  </mc:AlternateContent>
  <tableParts count="3">
    <tablePart r:id="rId5"/>
    <tablePart r:id="rId6"/>
    <tablePart r:id="rId7"/>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B0F0"/>
    <pageSetUpPr fitToPage="1"/>
  </sheetPr>
  <dimension ref="A1:M24"/>
  <sheetViews>
    <sheetView showGridLines="0" view="pageBreakPreview" zoomScale="80" zoomScaleNormal="100" zoomScaleSheetLayoutView="80" workbookViewId="0"/>
  </sheetViews>
  <sheetFormatPr defaultColWidth="9" defaultRowHeight="17.399999999999999" x14ac:dyDescent="0.2"/>
  <cols>
    <col min="1" max="1" width="22.109375" style="1" customWidth="1"/>
    <col min="2" max="2" width="9.33203125" style="1" customWidth="1"/>
    <col min="3" max="3" width="10.5546875" style="1" bestFit="1" customWidth="1"/>
    <col min="4" max="4" width="9.33203125" style="1" customWidth="1"/>
    <col min="5" max="5" width="10.5546875" style="1" bestFit="1" customWidth="1"/>
    <col min="6" max="6" width="5.88671875" style="1" bestFit="1" customWidth="1"/>
    <col min="7" max="7" width="20.77734375" style="1" hidden="1" customWidth="1"/>
    <col min="8" max="8" width="9.33203125" style="1" hidden="1" customWidth="1"/>
    <col min="9" max="9" width="9.109375" style="1" hidden="1" customWidth="1"/>
    <col min="10" max="10" width="20.6640625" style="1" hidden="1" customWidth="1"/>
    <col min="11" max="11" width="9.33203125" style="1" hidden="1" customWidth="1"/>
    <col min="12" max="12" width="6.6640625" style="1" hidden="1" customWidth="1"/>
    <col min="13" max="13" width="7.33203125" style="1" hidden="1" customWidth="1"/>
    <col min="14" max="14" width="5" style="1" customWidth="1"/>
    <col min="15" max="15" width="6.6640625" style="1" customWidth="1"/>
    <col min="16" max="16" width="7.33203125" style="1" customWidth="1"/>
    <col min="17" max="16384" width="9" style="1"/>
  </cols>
  <sheetData>
    <row r="1" spans="1:11" s="3" customFormat="1" ht="19.2" x14ac:dyDescent="0.2">
      <c r="A1" s="2" t="s">
        <v>138</v>
      </c>
    </row>
    <row r="2" spans="1:11" x14ac:dyDescent="0.2">
      <c r="A2" s="4"/>
      <c r="G2" s="678" t="s">
        <v>62</v>
      </c>
      <c r="H2" s="676"/>
      <c r="I2" s="676"/>
      <c r="J2" s="676"/>
      <c r="K2" s="676"/>
    </row>
    <row r="3" spans="1:11" s="3" customFormat="1" ht="19.8" thickBot="1" x14ac:dyDescent="0.25">
      <c r="A3" s="4" t="s">
        <v>13</v>
      </c>
      <c r="G3" s="228" t="s">
        <v>260</v>
      </c>
      <c r="H3" s="681" t="s">
        <v>326</v>
      </c>
      <c r="I3" s="676"/>
      <c r="J3" s="676"/>
      <c r="K3" s="677"/>
    </row>
    <row r="4" spans="1:11" ht="18.600000000000001" thickTop="1" thickBot="1" x14ac:dyDescent="0.25">
      <c r="A4" s="501"/>
      <c r="B4" s="501" t="s">
        <v>0</v>
      </c>
      <c r="C4" s="501" t="s">
        <v>1</v>
      </c>
      <c r="G4" s="697" t="s">
        <v>436</v>
      </c>
      <c r="H4" s="698" t="s">
        <v>658</v>
      </c>
      <c r="I4" s="676"/>
      <c r="J4" s="24"/>
      <c r="K4" s="676"/>
    </row>
    <row r="5" spans="1:11" ht="18" thickTop="1" x14ac:dyDescent="0.2">
      <c r="A5" s="467" t="s">
        <v>14</v>
      </c>
      <c r="B5" s="476">
        <f>IFERROR(VLOOKUP("措置入院",'３-Ⅱ'!$G$4:$H$12,2,FALSE),0)+IFERROR(VLOOKUP("緊急措置入院",'３-Ⅱ'!$G$4:$H$12,2,FALSE),0)</f>
        <v>2</v>
      </c>
      <c r="C5" s="469">
        <f>IFERROR(B5/B$10,"-")</f>
        <v>2.6907036189963677E-4</v>
      </c>
      <c r="G5" s="699" t="s">
        <v>16</v>
      </c>
      <c r="H5" s="700">
        <v>4285</v>
      </c>
      <c r="I5" s="676"/>
      <c r="J5" s="29"/>
      <c r="K5" s="676"/>
    </row>
    <row r="6" spans="1:11" x14ac:dyDescent="0.2">
      <c r="A6" s="467" t="s">
        <v>15</v>
      </c>
      <c r="B6" s="476">
        <f>IFERROR(VLOOKUP(A6,'３-Ⅱ'!$G$4:$H$12,2,FALSE),0)</f>
        <v>3125</v>
      </c>
      <c r="C6" s="469">
        <f t="shared" ref="C6:C9" si="0">IFERROR(B6/B$10,"-")</f>
        <v>0.42042244046818245</v>
      </c>
      <c r="G6" s="701" t="s">
        <v>659</v>
      </c>
      <c r="H6" s="702">
        <v>2</v>
      </c>
      <c r="I6" s="676"/>
      <c r="J6" s="29"/>
      <c r="K6" s="676"/>
    </row>
    <row r="7" spans="1:11" x14ac:dyDescent="0.2">
      <c r="A7" s="467" t="s">
        <v>16</v>
      </c>
      <c r="B7" s="476">
        <f>IFERROR(VLOOKUP(A7,'３-Ⅱ'!$G$4:$H$12,2,FALSE),0)</f>
        <v>4285</v>
      </c>
      <c r="C7" s="469">
        <f t="shared" si="0"/>
        <v>0.57648325036997172</v>
      </c>
      <c r="G7" s="703" t="s">
        <v>660</v>
      </c>
      <c r="H7" s="700">
        <v>0</v>
      </c>
      <c r="I7" s="676"/>
      <c r="J7" s="29"/>
      <c r="K7" s="676"/>
    </row>
    <row r="8" spans="1:11" x14ac:dyDescent="0.2">
      <c r="A8" s="467" t="s">
        <v>17</v>
      </c>
      <c r="B8" s="476">
        <f>IFERROR(VLOOKUP(A8,'３-Ⅱ'!$G$4:$H$12,2,FALSE),0)</f>
        <v>0</v>
      </c>
      <c r="C8" s="469">
        <f t="shared" si="0"/>
        <v>0</v>
      </c>
      <c r="G8" s="701" t="s">
        <v>17</v>
      </c>
      <c r="H8" s="702">
        <v>0</v>
      </c>
      <c r="I8" s="676"/>
      <c r="J8" s="29"/>
      <c r="K8" s="676"/>
    </row>
    <row r="9" spans="1:11" x14ac:dyDescent="0.2">
      <c r="A9" s="467" t="s">
        <v>18</v>
      </c>
      <c r="B9" s="476">
        <f>IFERROR(VLOOKUP("鑑定入院",'３-Ⅱ'!$G$4:$H$12,2,FALSE),0)+IFERROR(VLOOKUP("医療観察法による入院",'３-Ⅱ'!$G$4:$H$12,2,FALSE),0)+IFERROR(VLOOKUP("不明",'３-Ⅱ'!$G$4:$H$12,2,FALSE),0)</f>
        <v>21</v>
      </c>
      <c r="C9" s="469">
        <f t="shared" si="0"/>
        <v>2.825238799946186E-3</v>
      </c>
      <c r="G9" s="703" t="s">
        <v>15</v>
      </c>
      <c r="H9" s="700">
        <v>3125</v>
      </c>
      <c r="I9" s="676"/>
      <c r="J9" s="676"/>
      <c r="K9" s="676"/>
    </row>
    <row r="10" spans="1:11" x14ac:dyDescent="0.2">
      <c r="A10" s="503" t="s">
        <v>11</v>
      </c>
      <c r="B10" s="504">
        <f>SUM(B5:B9)</f>
        <v>7433</v>
      </c>
      <c r="C10" s="505">
        <f>SUM(C5:C9)</f>
        <v>1</v>
      </c>
      <c r="G10" s="704" t="s">
        <v>661</v>
      </c>
      <c r="H10" s="702">
        <v>21</v>
      </c>
      <c r="I10" s="676"/>
      <c r="J10" s="676"/>
      <c r="K10" s="676"/>
    </row>
    <row r="11" spans="1:11" x14ac:dyDescent="0.2">
      <c r="A11" s="25"/>
      <c r="B11" s="31"/>
      <c r="C11" s="32"/>
      <c r="G11" s="705" t="s">
        <v>506</v>
      </c>
      <c r="H11" s="700">
        <v>0</v>
      </c>
      <c r="I11" s="676"/>
      <c r="J11" s="676"/>
      <c r="K11" s="676"/>
    </row>
    <row r="12" spans="1:11" x14ac:dyDescent="0.2">
      <c r="A12" s="25"/>
      <c r="B12" s="31"/>
      <c r="C12" s="32"/>
      <c r="G12" s="706" t="s">
        <v>346</v>
      </c>
      <c r="H12" s="28">
        <v>0</v>
      </c>
      <c r="I12" s="676"/>
      <c r="J12" s="676"/>
      <c r="K12" s="676"/>
    </row>
    <row r="13" spans="1:11" ht="18" thickBot="1" x14ac:dyDescent="0.25">
      <c r="A13" s="25"/>
      <c r="B13" s="31"/>
      <c r="C13" s="32"/>
      <c r="G13" s="711" t="s">
        <v>662</v>
      </c>
      <c r="H13" s="681" t="s">
        <v>28</v>
      </c>
      <c r="I13" s="676"/>
      <c r="J13" s="711" t="s">
        <v>662</v>
      </c>
      <c r="K13" s="681" t="s">
        <v>29</v>
      </c>
    </row>
    <row r="14" spans="1:11" s="3" customFormat="1" ht="20.399999999999999" thickTop="1" thickBot="1" x14ac:dyDescent="0.25">
      <c r="A14" s="4" t="s">
        <v>139</v>
      </c>
      <c r="G14" s="712" t="s">
        <v>436</v>
      </c>
      <c r="H14" s="710" t="s">
        <v>658</v>
      </c>
      <c r="I14" s="677"/>
      <c r="J14" s="712" t="s">
        <v>436</v>
      </c>
      <c r="K14" s="710" t="s">
        <v>658</v>
      </c>
    </row>
    <row r="15" spans="1:11" ht="18" thickTop="1" x14ac:dyDescent="0.2">
      <c r="A15" s="501"/>
      <c r="B15" s="501" t="s">
        <v>140</v>
      </c>
      <c r="C15" s="501" t="s">
        <v>141</v>
      </c>
      <c r="D15" s="501" t="s">
        <v>12</v>
      </c>
      <c r="E15" s="501" t="s">
        <v>1</v>
      </c>
      <c r="G15" s="709" t="s">
        <v>16</v>
      </c>
      <c r="H15" s="700">
        <v>35</v>
      </c>
      <c r="I15" s="676"/>
      <c r="J15" s="709" t="s">
        <v>16</v>
      </c>
      <c r="K15" s="700">
        <v>390</v>
      </c>
    </row>
    <row r="16" spans="1:11" x14ac:dyDescent="0.2">
      <c r="A16" s="467" t="s">
        <v>14</v>
      </c>
      <c r="B16" s="470">
        <f>IFERROR(VLOOKUP("措置入院",'３-Ⅱ'!$G$15:$H$22,2,FALSE),0)+IFERROR(VLOOKUP("緊急措置入院",'３-Ⅱ'!$G$16:$H$22,2,FALSE),0)</f>
        <v>0</v>
      </c>
      <c r="C16" s="470">
        <f>IFERROR(VLOOKUP("措置入院",'３-Ⅱ'!$J$15:$K$22,2,FALSE),0)+IFERROR(VLOOKUP("緊急措置入院",'３-Ⅱ'!$J$16:$K$22,2,FALSE),0)</f>
        <v>0</v>
      </c>
      <c r="D16" s="470">
        <f>SUM(B16:C16)</f>
        <v>0</v>
      </c>
      <c r="E16" s="469">
        <f>IFERROR(D16/D$21,"-")</f>
        <v>0</v>
      </c>
      <c r="G16" s="701" t="s">
        <v>659</v>
      </c>
      <c r="H16" s="707">
        <v>0</v>
      </c>
      <c r="I16" s="16"/>
      <c r="J16" s="701" t="s">
        <v>659</v>
      </c>
      <c r="K16" s="707">
        <v>0</v>
      </c>
    </row>
    <row r="17" spans="1:11" x14ac:dyDescent="0.2">
      <c r="A17" s="467" t="s">
        <v>15</v>
      </c>
      <c r="B17" s="470">
        <f>IFERROR(VLOOKUP($A17,'３-Ⅱ'!$G$15:$H$22,2,FALSE),0)</f>
        <v>5</v>
      </c>
      <c r="C17" s="470">
        <f>IFERROR(VLOOKUP($A17,'３-Ⅱ'!$J$15:$K$22,2,FALSE),0)</f>
        <v>94</v>
      </c>
      <c r="D17" s="470">
        <f t="shared" ref="D17:D20" si="1">SUM(B17:C17)</f>
        <v>99</v>
      </c>
      <c r="E17" s="469">
        <f t="shared" ref="E17:E20" si="2">IFERROR(D17/D$21,"-")</f>
        <v>0.18857142857142858</v>
      </c>
      <c r="G17" s="703" t="s">
        <v>660</v>
      </c>
      <c r="H17" s="708">
        <v>0</v>
      </c>
      <c r="I17" s="16"/>
      <c r="J17" s="703" t="s">
        <v>660</v>
      </c>
      <c r="K17" s="708">
        <v>0</v>
      </c>
    </row>
    <row r="18" spans="1:11" x14ac:dyDescent="0.2">
      <c r="A18" s="467" t="s">
        <v>16</v>
      </c>
      <c r="B18" s="470">
        <f>IFERROR(VLOOKUP($A18,'３-Ⅱ'!$G$15:$H$22,2,FALSE),0)</f>
        <v>35</v>
      </c>
      <c r="C18" s="470">
        <f>IFERROR(VLOOKUP($A18,'３-Ⅱ'!$J$15:$K$22,2,FALSE),0)</f>
        <v>390</v>
      </c>
      <c r="D18" s="470">
        <f t="shared" si="1"/>
        <v>425</v>
      </c>
      <c r="E18" s="469">
        <f t="shared" si="2"/>
        <v>0.80952380952380953</v>
      </c>
      <c r="G18" s="701" t="s">
        <v>17</v>
      </c>
      <c r="H18" s="707">
        <v>0</v>
      </c>
      <c r="I18" s="16"/>
      <c r="J18" s="701" t="s">
        <v>17</v>
      </c>
      <c r="K18" s="707">
        <v>0</v>
      </c>
    </row>
    <row r="19" spans="1:11" x14ac:dyDescent="0.2">
      <c r="A19" s="467" t="s">
        <v>17</v>
      </c>
      <c r="B19" s="470">
        <f>IFERROR(VLOOKUP($A19,'３-Ⅱ'!$G$15:$H$22,2,FALSE),0)</f>
        <v>0</v>
      </c>
      <c r="C19" s="470">
        <f>IFERROR(VLOOKUP($A19,'３-Ⅱ'!$J$15:$K$22,2,FALSE),0)</f>
        <v>0</v>
      </c>
      <c r="D19" s="470">
        <f t="shared" si="1"/>
        <v>0</v>
      </c>
      <c r="E19" s="469">
        <f t="shared" si="2"/>
        <v>0</v>
      </c>
      <c r="G19" s="703" t="s">
        <v>15</v>
      </c>
      <c r="H19" s="708">
        <v>5</v>
      </c>
      <c r="I19" s="16"/>
      <c r="J19" s="703" t="s">
        <v>15</v>
      </c>
      <c r="K19" s="708">
        <v>94</v>
      </c>
    </row>
    <row r="20" spans="1:11" x14ac:dyDescent="0.2">
      <c r="A20" s="467" t="s">
        <v>18</v>
      </c>
      <c r="B20" s="470">
        <f>IFERROR(VLOOKUP("鑑定入院",'３-Ⅱ'!$G$15:$H$22,2,FALSE),0)+IFERROR(VLOOKUP("医療観察法による入院",'３-Ⅱ'!$G$16:$H$22,2,FALSE),0)+IFERROR(VLOOKUP("不明",'３-Ⅱ'!$G$16:$H$22,2,FALSE),0)</f>
        <v>0</v>
      </c>
      <c r="C20" s="470">
        <f>IFERROR(VLOOKUP("鑑定入院",'３-Ⅱ'!$J$15:$K$22,2,FALSE),0)+IFERROR(VLOOKUP("医療観察法による入院",'３-Ⅱ'!$J$16:$K$22,2,FALSE),0)+IFERROR(VLOOKUP("不明",'３-Ⅱ'!$J$16:$K$22,2,FALSE),0)+IFERROR(VLOOKUP("不明",'３-Ⅱ'!$J$16:$K$22,2,FALSE),0)</f>
        <v>1</v>
      </c>
      <c r="D20" s="470">
        <f t="shared" si="1"/>
        <v>1</v>
      </c>
      <c r="E20" s="469">
        <f t="shared" si="2"/>
        <v>1.9047619047619048E-3</v>
      </c>
      <c r="G20" s="704" t="s">
        <v>661</v>
      </c>
      <c r="H20" s="707">
        <v>0</v>
      </c>
      <c r="I20" s="676"/>
      <c r="J20" s="704" t="s">
        <v>661</v>
      </c>
      <c r="K20" s="707">
        <v>1</v>
      </c>
    </row>
    <row r="21" spans="1:11" x14ac:dyDescent="0.2">
      <c r="A21" s="503" t="s">
        <v>11</v>
      </c>
      <c r="B21" s="504">
        <f>SUM(B16:B20)</f>
        <v>40</v>
      </c>
      <c r="C21" s="504">
        <f>SUM(C16:C20)</f>
        <v>485</v>
      </c>
      <c r="D21" s="504">
        <f>SUM(D16:D20)</f>
        <v>525</v>
      </c>
      <c r="E21" s="505">
        <f>SUM(E16:E20)</f>
        <v>1</v>
      </c>
      <c r="G21" s="705" t="s">
        <v>506</v>
      </c>
      <c r="H21" s="708">
        <v>0</v>
      </c>
      <c r="I21" s="676"/>
      <c r="J21" s="705" t="s">
        <v>506</v>
      </c>
      <c r="K21" s="708">
        <v>0</v>
      </c>
    </row>
    <row r="22" spans="1:11" x14ac:dyDescent="0.2">
      <c r="G22" s="706" t="s">
        <v>346</v>
      </c>
      <c r="H22" s="35">
        <v>0</v>
      </c>
      <c r="I22" s="676"/>
      <c r="J22" s="706" t="s">
        <v>346</v>
      </c>
      <c r="K22" s="35">
        <v>0</v>
      </c>
    </row>
    <row r="23" spans="1:11" x14ac:dyDescent="0.2">
      <c r="G23" s="16"/>
      <c r="H23" s="16"/>
      <c r="I23" s="16"/>
      <c r="J23" s="16"/>
    </row>
    <row r="24" spans="1:11" x14ac:dyDescent="0.2">
      <c r="G24" s="16"/>
      <c r="H24" s="16"/>
      <c r="I24" s="16"/>
      <c r="J24" s="16"/>
    </row>
  </sheetData>
  <phoneticPr fontId="2"/>
  <pageMargins left="0.70866141732283472" right="0.70866141732283472" top="0.74803149606299213" bottom="0.74803149606299213" header="0.31496062992125984" footer="0.31496062992125984"/>
  <pageSetup paperSize="11" scale="8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0]!データ削除_入院形態_1年以上">
                <anchor moveWithCells="1" sizeWithCells="1">
                  <from>
                    <xdr:col>9</xdr:col>
                    <xdr:colOff>358140</xdr:colOff>
                    <xdr:row>3</xdr:row>
                    <xdr:rowOff>205740</xdr:rowOff>
                  </from>
                  <to>
                    <xdr:col>10</xdr:col>
                    <xdr:colOff>449580</xdr:colOff>
                    <xdr:row>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48</vt:i4>
      </vt:variant>
      <vt:variant>
        <vt:lpstr>名前付き一覧</vt:lpstr>
      </vt:variant>
      <vt:variant>
        <vt:i4>48</vt:i4>
      </vt:variant>
    </vt:vector>
  </HeadingPairs>
  <TitlesOfParts>
    <vt:vector size="96" baseType="lpstr">
      <vt:lpstr>巻末資料表紙</vt:lpstr>
      <vt:lpstr>2-Ⅰ</vt:lpstr>
      <vt:lpstr>２-Ⅱ</vt:lpstr>
      <vt:lpstr>２-Ⅲ</vt:lpstr>
      <vt:lpstr>２-Ⅳ</vt:lpstr>
      <vt:lpstr>２-Ⅴ</vt:lpstr>
      <vt:lpstr>２-Ⅵ</vt:lpstr>
      <vt:lpstr>３-Ⅰ</vt:lpstr>
      <vt:lpstr>３-Ⅱ</vt:lpstr>
      <vt:lpstr>３-Ⅲ</vt:lpstr>
      <vt:lpstr>３-Ⅳ</vt:lpstr>
      <vt:lpstr>３-Ⅴ</vt:lpstr>
      <vt:lpstr>４-Ⅰ</vt:lpstr>
      <vt:lpstr>４-Ⅱ</vt:lpstr>
      <vt:lpstr>４-Ⅲ</vt:lpstr>
      <vt:lpstr>４-Ⅳ</vt:lpstr>
      <vt:lpstr>４-Ⅴ</vt:lpstr>
      <vt:lpstr>４-Ⅵ</vt:lpstr>
      <vt:lpstr>5-Ⅰ①</vt:lpstr>
      <vt:lpstr>５-Ⅰ②</vt:lpstr>
      <vt:lpstr>５-Ⅰ③</vt:lpstr>
      <vt:lpstr>５-Ⅱ①</vt:lpstr>
      <vt:lpstr>５-Ⅱ②</vt:lpstr>
      <vt:lpstr>５-Ⅱ③</vt:lpstr>
      <vt:lpstr>５-Ⅱ④</vt:lpstr>
      <vt:lpstr>6-Ⅰ①</vt:lpstr>
      <vt:lpstr>6-Ⅰ②</vt:lpstr>
      <vt:lpstr>6-Ⅰ③</vt:lpstr>
      <vt:lpstr>6-Ⅰ④ </vt:lpstr>
      <vt:lpstr>6-Ⅰ⑤</vt:lpstr>
      <vt:lpstr>6-Ⅰ⑥ </vt:lpstr>
      <vt:lpstr>6-Ⅱ①</vt:lpstr>
      <vt:lpstr>6-Ⅱ②</vt:lpstr>
      <vt:lpstr>6-Ⅱ③</vt:lpstr>
      <vt:lpstr>6-Ⅱ④</vt:lpstr>
      <vt:lpstr>6-Ⅱ⑤</vt:lpstr>
      <vt:lpstr>6-Ⅱ⑥</vt:lpstr>
      <vt:lpstr>6-Ⅲ</vt:lpstr>
      <vt:lpstr>6-Ⅳ</vt:lpstr>
      <vt:lpstr>一覧表 (病院所在地）</vt:lpstr>
      <vt:lpstr>一覧表(入院時住所地)</vt:lpstr>
      <vt:lpstr>グラフ(年齢区分）</vt:lpstr>
      <vt:lpstr>グラフ(疾患名)</vt:lpstr>
      <vt:lpstr>グラフ(在院期間) </vt:lpstr>
      <vt:lpstr>グラフ(在院期間)  (2)</vt:lpstr>
      <vt:lpstr>グラフ(退院阻害要因＿１) </vt:lpstr>
      <vt:lpstr>グラフ(退院阻害要因＿２）</vt:lpstr>
      <vt:lpstr>グラフ(退院阻害要因＿２(寛解・院内寛解)</vt:lpstr>
      <vt:lpstr>'2-Ⅰ'!Print_Area</vt:lpstr>
      <vt:lpstr>'２-Ⅱ'!Print_Area</vt:lpstr>
      <vt:lpstr>'２-Ⅲ'!Print_Area</vt:lpstr>
      <vt:lpstr>'２-Ⅳ'!Print_Area</vt:lpstr>
      <vt:lpstr>'２-Ⅴ'!Print_Area</vt:lpstr>
      <vt:lpstr>'２-Ⅵ'!Print_Area</vt:lpstr>
      <vt:lpstr>'３-Ⅰ'!Print_Area</vt:lpstr>
      <vt:lpstr>'３-Ⅱ'!Print_Area</vt:lpstr>
      <vt:lpstr>'３-Ⅲ'!Print_Area</vt:lpstr>
      <vt:lpstr>'３-Ⅳ'!Print_Area</vt:lpstr>
      <vt:lpstr>'３-Ⅴ'!Print_Area</vt:lpstr>
      <vt:lpstr>'４-Ⅰ'!Print_Area</vt:lpstr>
      <vt:lpstr>'４-Ⅱ'!Print_Area</vt:lpstr>
      <vt:lpstr>'４-Ⅲ'!Print_Area</vt:lpstr>
      <vt:lpstr>'４-Ⅳ'!Print_Area</vt:lpstr>
      <vt:lpstr>'４-Ⅴ'!Print_Area</vt:lpstr>
      <vt:lpstr>'４-Ⅵ'!Print_Area</vt:lpstr>
      <vt:lpstr>'5-Ⅰ①'!Print_Area</vt:lpstr>
      <vt:lpstr>'５-Ⅰ②'!Print_Area</vt:lpstr>
      <vt:lpstr>'５-Ⅰ③'!Print_Area</vt:lpstr>
      <vt:lpstr>'５-Ⅱ①'!Print_Area</vt:lpstr>
      <vt:lpstr>'５-Ⅱ②'!Print_Area</vt:lpstr>
      <vt:lpstr>'５-Ⅱ③'!Print_Area</vt:lpstr>
      <vt:lpstr>'５-Ⅱ④'!Print_Area</vt:lpstr>
      <vt:lpstr>'6-Ⅰ①'!Print_Area</vt:lpstr>
      <vt:lpstr>'6-Ⅰ②'!Print_Area</vt:lpstr>
      <vt:lpstr>'6-Ⅰ③'!Print_Area</vt:lpstr>
      <vt:lpstr>'6-Ⅰ④ '!Print_Area</vt:lpstr>
      <vt:lpstr>'6-Ⅰ⑤'!Print_Area</vt:lpstr>
      <vt:lpstr>'6-Ⅰ⑥ '!Print_Area</vt:lpstr>
      <vt:lpstr>'6-Ⅱ①'!Print_Area</vt:lpstr>
      <vt:lpstr>'6-Ⅱ②'!Print_Area</vt:lpstr>
      <vt:lpstr>'6-Ⅱ③'!Print_Area</vt:lpstr>
      <vt:lpstr>'6-Ⅱ④'!Print_Area</vt:lpstr>
      <vt:lpstr>'6-Ⅱ⑤'!Print_Area</vt:lpstr>
      <vt:lpstr>'6-Ⅱ⑥'!Print_Area</vt:lpstr>
      <vt:lpstr>'6-Ⅲ'!Print_Area</vt:lpstr>
      <vt:lpstr>'6-Ⅳ'!Print_Area</vt:lpstr>
      <vt:lpstr>'グラフ(在院期間) '!Print_Area</vt:lpstr>
      <vt:lpstr>'グラフ(在院期間)  (2)'!Print_Area</vt:lpstr>
      <vt:lpstr>'グラフ(疾患名)'!Print_Area</vt:lpstr>
      <vt:lpstr>'グラフ(退院阻害要因＿１) '!Print_Area</vt:lpstr>
      <vt:lpstr>'グラフ(退院阻害要因＿２(寛解・院内寛解)'!Print_Area</vt:lpstr>
      <vt:lpstr>'グラフ(退院阻害要因＿２）'!Print_Area</vt:lpstr>
      <vt:lpstr>'グラフ(年齢区分）'!Print_Area</vt:lpstr>
      <vt:lpstr>'一覧表 (病院所在地）'!Print_Area</vt:lpstr>
      <vt:lpstr>'一覧表(入院時住所地)'!Print_Area</vt:lpstr>
      <vt:lpstr>巻末資料表紙!Print_Area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2026-06-25T08:44:31Z</dcterms:created>
  <dcterms:modified xsi:type="dcterms:W3CDTF">2026-07-09T08:05:38Z</dcterms:modified>
</cp:coreProperties>
</file>