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2.xml" ContentType="application/vnd.openxmlformats-officedocument.drawing+xml"/>
  <Override PartName="/xl/ctrlProps/ctrlProp2.xml" ContentType="application/vnd.ms-excel.controlproperties+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drawings/drawing3.xml" ContentType="application/vnd.openxmlformats-officedocument.drawing+xml"/>
  <Override PartName="/xl/ctrlProps/ctrlProp3.xml" ContentType="application/vnd.ms-excel.controlproperties+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drawings/drawing4.xml" ContentType="application/vnd.openxmlformats-officedocument.drawing+xml"/>
  <Override PartName="/xl/ctrlProps/ctrlProp4.xml" ContentType="application/vnd.ms-excel.controlproperties+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drawings/drawing5.xml" ContentType="application/vnd.openxmlformats-officedocument.drawing+xml"/>
  <Override PartName="/xl/ctrlProps/ctrlProp5.xml" ContentType="application/vnd.ms-excel.controlproperties+xml"/>
  <Override PartName="/xl/drawings/drawing6.xml" ContentType="application/vnd.openxmlformats-officedocument.drawing+xml"/>
  <Override PartName="/xl/ctrlProps/ctrlProp6.xml" ContentType="application/vnd.ms-excel.controlproperties+xml"/>
  <Override PartName="/xl/drawings/drawing7.xml" ContentType="application/vnd.openxmlformats-officedocument.drawing+xml"/>
  <Override PartName="/xl/ctrlProps/ctrlProp7.xml" ContentType="application/vnd.ms-excel.controlproperties+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drawings/drawing8.xml" ContentType="application/vnd.openxmlformats-officedocument.drawing+xml"/>
  <Override PartName="/xl/ctrlProps/ctrlProp8.xml" ContentType="application/vnd.ms-excel.controlproperties+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drawings/drawing9.xml" ContentType="application/vnd.openxmlformats-officedocument.drawing+xml"/>
  <Override PartName="/xl/ctrlProps/ctrlProp9.xml" ContentType="application/vnd.ms-excel.controlproperties+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drawings/drawing10.xml" ContentType="application/vnd.openxmlformats-officedocument.drawing+xml"/>
  <Override PartName="/xl/ctrlProps/ctrlProp10.xml" ContentType="application/vnd.ms-excel.controlproperties+xml"/>
  <Override PartName="/xl/drawings/drawing11.xml" ContentType="application/vnd.openxmlformats-officedocument.drawing+xml"/>
  <Override PartName="/xl/ctrlProps/ctrlProp11.xml" ContentType="application/vnd.ms-excel.controlproperties+xml"/>
  <Override PartName="/xl/drawings/drawing12.xml" ContentType="application/vnd.openxmlformats-officedocument.drawing+xml"/>
  <Override PartName="/xl/ctrlProps/ctrlProp12.xml" ContentType="application/vnd.ms-excel.controlproperties+xml"/>
  <Override PartName="/xl/tables/table22.xml" ContentType="application/vnd.openxmlformats-officedocument.spreadsheetml.table+xml"/>
  <Override PartName="/xl/tables/table23.xml" ContentType="application/vnd.openxmlformats-officedocument.spreadsheetml.table+xml"/>
  <Override PartName="/xl/drawings/drawing13.xml" ContentType="application/vnd.openxmlformats-officedocument.drawing+xml"/>
  <Override PartName="/xl/ctrlProps/ctrlProp13.xml" ContentType="application/vnd.ms-excel.controlproperties+xml"/>
  <Override PartName="/xl/tables/table24.xml" ContentType="application/vnd.openxmlformats-officedocument.spreadsheetml.table+xml"/>
  <Override PartName="/xl/tables/table25.xml" ContentType="application/vnd.openxmlformats-officedocument.spreadsheetml.table+xml"/>
  <Override PartName="/xl/drawings/drawing14.xml" ContentType="application/vnd.openxmlformats-officedocument.drawing+xml"/>
  <Override PartName="/xl/ctrlProps/ctrlProp14.xml" ContentType="application/vnd.ms-excel.controlproperties+xml"/>
  <Override PartName="/xl/tables/table26.xml" ContentType="application/vnd.openxmlformats-officedocument.spreadsheetml.table+xml"/>
  <Override PartName="/xl/tables/table27.xml" ContentType="application/vnd.openxmlformats-officedocument.spreadsheetml.table+xml"/>
  <Override PartName="/xl/drawings/drawing15.xml" ContentType="application/vnd.openxmlformats-officedocument.drawing+xml"/>
  <Override PartName="/xl/ctrlProps/ctrlProp15.xml" ContentType="application/vnd.ms-excel.controlproperties+xml"/>
  <Override PartName="/xl/tables/table28.xml" ContentType="application/vnd.openxmlformats-officedocument.spreadsheetml.table+xml"/>
  <Override PartName="/xl/tables/table29.xml" ContentType="application/vnd.openxmlformats-officedocument.spreadsheetml.table+xml"/>
  <Override PartName="/xl/drawings/drawing16.xml" ContentType="application/vnd.openxmlformats-officedocument.drawing+xml"/>
  <Override PartName="/xl/ctrlProps/ctrlProp16.xml" ContentType="application/vnd.ms-excel.controlproperties+xml"/>
  <Override PartName="/xl/drawings/drawing17.xml" ContentType="application/vnd.openxmlformats-officedocument.drawing+xml"/>
  <Override PartName="/xl/ctrlProps/ctrlProp17.xml" ContentType="application/vnd.ms-excel.controlproperties+xml"/>
  <Override PartName="/xl/drawings/drawing18.xml" ContentType="application/vnd.openxmlformats-officedocument.drawing+xml"/>
  <Override PartName="/xl/ctrlProps/ctrlProp18.xml" ContentType="application/vnd.ms-excel.controlproperties+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drawings/drawing19.xml" ContentType="application/vnd.openxmlformats-officedocument.drawing+xml"/>
  <Override PartName="/xl/ctrlProps/ctrlProp19.xml" ContentType="application/vnd.ms-excel.controlproperties+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drawings/drawing20.xml" ContentType="application/vnd.openxmlformats-officedocument.drawing+xml"/>
  <Override PartName="/xl/ctrlProps/ctrlProp20.xml" ContentType="application/vnd.ms-excel.controlproperties+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drawings/drawing21.xml" ContentType="application/vnd.openxmlformats-officedocument.drawing+xml"/>
  <Override PartName="/xl/ctrlProps/ctrlProp21.xml" ContentType="application/vnd.ms-excel.controlproperties+xml"/>
  <Override PartName="/xl/tables/table48.xml" ContentType="application/vnd.openxmlformats-officedocument.spreadsheetml.table+xml"/>
  <Override PartName="/xl/tables/table49.xml" ContentType="application/vnd.openxmlformats-officedocument.spreadsheetml.table+xml"/>
  <Override PartName="/xl/tables/table50.xml" ContentType="application/vnd.openxmlformats-officedocument.spreadsheetml.table+xml"/>
  <Override PartName="/xl/tables/table51.xml" ContentType="application/vnd.openxmlformats-officedocument.spreadsheetml.table+xml"/>
  <Override PartName="/xl/drawings/drawing22.xml" ContentType="application/vnd.openxmlformats-officedocument.drawing+xml"/>
  <Override PartName="/xl/ctrlProps/ctrlProp22.xml" ContentType="application/vnd.ms-excel.controlproperties+xml"/>
  <Override PartName="/xl/tables/table52.xml" ContentType="application/vnd.openxmlformats-officedocument.spreadsheetml.table+xml"/>
  <Override PartName="/xl/tables/table53.xml" ContentType="application/vnd.openxmlformats-officedocument.spreadsheetml.table+xml"/>
  <Override PartName="/xl/tables/table54.xml" ContentType="application/vnd.openxmlformats-officedocument.spreadsheetml.table+xml"/>
  <Override PartName="/xl/tables/table55.xml" ContentType="application/vnd.openxmlformats-officedocument.spreadsheetml.table+xml"/>
  <Override PartName="/xl/drawings/drawing23.xml" ContentType="application/vnd.openxmlformats-officedocument.drawing+xml"/>
  <Override PartName="/xl/ctrlProps/ctrlProp23.xml" ContentType="application/vnd.ms-excel.controlproperties+xml"/>
  <Override PartName="/xl/tables/table56.xml" ContentType="application/vnd.openxmlformats-officedocument.spreadsheetml.table+xml"/>
  <Override PartName="/xl/tables/table57.xml" ContentType="application/vnd.openxmlformats-officedocument.spreadsheetml.table+xml"/>
  <Override PartName="/xl/tables/table58.xml" ContentType="application/vnd.openxmlformats-officedocument.spreadsheetml.table+xml"/>
  <Override PartName="/xl/tables/table59.xml" ContentType="application/vnd.openxmlformats-officedocument.spreadsheetml.table+xml"/>
  <Override PartName="/xl/drawings/drawing24.xml" ContentType="application/vnd.openxmlformats-officedocument.drawing+xml"/>
  <Override PartName="/xl/ctrlProps/ctrlProp24.xml" ContentType="application/vnd.ms-excel.controlproperties+xml"/>
  <Override PartName="/xl/tables/table60.xml" ContentType="application/vnd.openxmlformats-officedocument.spreadsheetml.table+xml"/>
  <Override PartName="/xl/tables/table61.xml" ContentType="application/vnd.openxmlformats-officedocument.spreadsheetml.table+xml"/>
  <Override PartName="/xl/tables/table62.xml" ContentType="application/vnd.openxmlformats-officedocument.spreadsheetml.table+xml"/>
  <Override PartName="/xl/tables/table63.xml" ContentType="application/vnd.openxmlformats-officedocument.spreadsheetml.table+xml"/>
  <Override PartName="/xl/drawings/drawing25.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26.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27.xml" ContentType="application/vnd.openxmlformats-officedocument.drawing+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28.xml" ContentType="application/vnd.openxmlformats-officedocument.drawing+xml"/>
  <Override PartName="/xl/charts/chart15.xml" ContentType="application/vnd.openxmlformats-officedocument.drawingml.chart+xml"/>
  <Override PartName="/xl/charts/chart16.xml" ContentType="application/vnd.openxmlformats-officedocument.drawingml.chart+xml"/>
  <Override PartName="/xl/charts/style15.xml" ContentType="application/vnd.ms-office.chartstyle+xml"/>
  <Override PartName="/xl/charts/colors15.xml" ContentType="application/vnd.ms-office.chartcolorstyle+xml"/>
  <Override PartName="/xl/charts/chart17.xml" ContentType="application/vnd.openxmlformats-officedocument.drawingml.chart+xml"/>
  <Override PartName="/xl/charts/style16.xml" ContentType="application/vnd.ms-office.chartstyle+xml"/>
  <Override PartName="/xl/charts/colors16.xml" ContentType="application/vnd.ms-office.chartcolorstyle+xml"/>
  <Override PartName="/xl/charts/chart18.xml" ContentType="application/vnd.openxmlformats-officedocument.drawingml.chart+xml"/>
  <Override PartName="/xl/charts/style17.xml" ContentType="application/vnd.ms-office.chartstyle+xml"/>
  <Override PartName="/xl/charts/colors17.xml" ContentType="application/vnd.ms-office.chartcolorstyle+xml"/>
  <Override PartName="/xl/drawings/drawing29.xml" ContentType="application/vnd.openxmlformats-officedocument.drawing+xml"/>
  <Override PartName="/xl/charts/chart19.xml" ContentType="application/vnd.openxmlformats-officedocument.drawingml.chart+xml"/>
  <Override PartName="/xl/charts/style18.xml" ContentType="application/vnd.ms-office.chartstyle+xml"/>
  <Override PartName="/xl/charts/colors18.xml" ContentType="application/vnd.ms-office.chartcolorstyle+xml"/>
  <Override PartName="/xl/charts/chart20.xml" ContentType="application/vnd.openxmlformats-officedocument.drawingml.chart+xml"/>
  <Override PartName="/xl/charts/style19.xml" ContentType="application/vnd.ms-office.chartstyle+xml"/>
  <Override PartName="/xl/charts/colors19.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Z:\104　精神科在院患者調査\R2 精神科在院患者調査\08データ提供\03 ホームページ掲載用\"/>
    </mc:Choice>
  </mc:AlternateContent>
  <bookViews>
    <workbookView xWindow="0" yWindow="0" windowWidth="10170" windowHeight="7500" tabRatio="831"/>
  </bookViews>
  <sheets>
    <sheet name="巻末資料表紙" sheetId="171" r:id="rId1"/>
    <sheet name="2-Ⅰ" sheetId="88" r:id="rId2"/>
    <sheet name="２-Ⅱ" sheetId="89" r:id="rId3"/>
    <sheet name="２-Ⅲ" sheetId="90" r:id="rId4"/>
    <sheet name="２-Ⅳ" sheetId="91" r:id="rId5"/>
    <sheet name="２-Ⅴ" sheetId="93" r:id="rId6"/>
    <sheet name="２-Ⅵ" sheetId="95" r:id="rId7"/>
    <sheet name="３-Ⅰ" sheetId="98" r:id="rId8"/>
    <sheet name="３-Ⅱ" sheetId="99" r:id="rId9"/>
    <sheet name="３-Ⅲ" sheetId="100" r:id="rId10"/>
    <sheet name="３-Ⅳ" sheetId="102" r:id="rId11"/>
    <sheet name="３-Ⅴ" sheetId="104" r:id="rId12"/>
    <sheet name="４-Ⅰ" sheetId="79" r:id="rId13"/>
    <sheet name="４-Ⅱ" sheetId="80" r:id="rId14"/>
    <sheet name="４-Ⅲ" sheetId="81" r:id="rId15"/>
    <sheet name="４-Ⅳ" sheetId="82" r:id="rId16"/>
    <sheet name="４-Ⅴ" sheetId="84" r:id="rId17"/>
    <sheet name="４-Ⅵ" sheetId="85" r:id="rId18"/>
    <sheet name="5-Ⅰ①" sheetId="150" r:id="rId19"/>
    <sheet name="５-Ⅰ②" sheetId="113" r:id="rId20"/>
    <sheet name="５-Ⅰ③" sheetId="114" r:id="rId21"/>
    <sheet name="５-Ⅱ①" sheetId="120" r:id="rId22"/>
    <sheet name="５-Ⅱ②" sheetId="121" r:id="rId23"/>
    <sheet name="５-Ⅱ③" sheetId="122" r:id="rId24"/>
    <sheet name="５-Ⅱ④" sheetId="123" r:id="rId25"/>
    <sheet name="6-Ⅰ①" sheetId="157" r:id="rId26"/>
    <sheet name="6-Ⅰ②" sheetId="158" r:id="rId27"/>
    <sheet name="6-Ⅰ③" sheetId="159" r:id="rId28"/>
    <sheet name="6-Ⅰ④ " sheetId="160" r:id="rId29"/>
    <sheet name="6-Ⅰ⑤" sheetId="161" r:id="rId30"/>
    <sheet name="6-Ⅰ⑥ " sheetId="162" r:id="rId31"/>
    <sheet name="6-Ⅱ①" sheetId="163" r:id="rId32"/>
    <sheet name="6-Ⅱ②" sheetId="164" r:id="rId33"/>
    <sheet name="6-Ⅱ③" sheetId="165" r:id="rId34"/>
    <sheet name="6-Ⅱ④" sheetId="166" r:id="rId35"/>
    <sheet name="6-Ⅱ⑤" sheetId="167" r:id="rId36"/>
    <sheet name="6-Ⅱ⑥" sheetId="168" r:id="rId37"/>
    <sheet name="6-Ⅲ" sheetId="169" r:id="rId38"/>
    <sheet name="6-Ⅳ" sheetId="170" r:id="rId39"/>
    <sheet name="グラフ(年齢区分）" sheetId="151" r:id="rId40"/>
    <sheet name="グラフ(疾患名)" sheetId="152" r:id="rId41"/>
    <sheet name="グラフ(在院期間) " sheetId="153" r:id="rId42"/>
    <sheet name="グラフ(退院阻害要因＿１) " sheetId="155" r:id="rId43"/>
    <sheet name="グラフ(退院阻害要因＿２）" sheetId="156" r:id="rId44"/>
  </sheets>
  <definedNames>
    <definedName name="_xlnm.Print_Area" localSheetId="1">'2-Ⅰ'!$A$1:$I$16</definedName>
    <definedName name="_xlnm.Print_Area" localSheetId="2">'２-Ⅱ'!$A$1:$E$21</definedName>
    <definedName name="_xlnm.Print_Area" localSheetId="3">'２-Ⅲ'!$A$1:$K$20</definedName>
    <definedName name="_xlnm.Print_Area" localSheetId="4">'２-Ⅳ'!$A$1:$I$25</definedName>
    <definedName name="_xlnm.Print_Area" localSheetId="5">'２-Ⅴ'!$A$1:$C$11</definedName>
    <definedName name="_xlnm.Print_Area" localSheetId="6">'２-Ⅵ'!$A$1:$I$40</definedName>
    <definedName name="_xlnm.Print_Area" localSheetId="7">'３-Ⅰ'!$A$1:$I$17</definedName>
    <definedName name="_xlnm.Print_Area" localSheetId="8">'３-Ⅱ'!$A$1:$E$21</definedName>
    <definedName name="_xlnm.Print_Area" localSheetId="9">'３-Ⅲ'!$A$1:$K$20</definedName>
    <definedName name="_xlnm.Print_Area" localSheetId="10">'３-Ⅳ'!$A$1:$C$11</definedName>
    <definedName name="_xlnm.Print_Area" localSheetId="11">'３-Ⅴ'!$A$1:$I$41</definedName>
    <definedName name="_xlnm.Print_Area" localSheetId="12">'４-Ⅰ'!$A$1:$G$13</definedName>
    <definedName name="_xlnm.Print_Area" localSheetId="13">'４-Ⅱ'!$A$1:$C$21</definedName>
    <definedName name="_xlnm.Print_Area" localSheetId="14">'４-Ⅲ'!$B$1:$H$41</definedName>
    <definedName name="_xlnm.Print_Area" localSheetId="15">'４-Ⅳ'!$A$1:$H$26</definedName>
    <definedName name="_xlnm.Print_Area" localSheetId="16">'４-Ⅴ'!$A$1:$F$23</definedName>
    <definedName name="_xlnm.Print_Area" localSheetId="17">'４-Ⅵ'!$A$1:$K$39</definedName>
    <definedName name="_xlnm.Print_Area" localSheetId="18">'5-Ⅰ①'!$B$1:$F$63</definedName>
    <definedName name="_xlnm.Print_Area" localSheetId="19">'５-Ⅰ②'!$B$1:$J$63</definedName>
    <definedName name="_xlnm.Print_Area" localSheetId="20">'５-Ⅰ③'!$A$1:$J$65</definedName>
    <definedName name="_xlnm.Print_Area" localSheetId="21">'５-Ⅱ①'!$B$1:$M$31</definedName>
    <definedName name="_xlnm.Print_Area" localSheetId="22">'５-Ⅱ②'!$B$1:$M$31</definedName>
    <definedName name="_xlnm.Print_Area" localSheetId="23">'５-Ⅱ③'!$B$1:$L$33</definedName>
    <definedName name="_xlnm.Print_Area" localSheetId="24">'５-Ⅱ④'!$B$1:$M$31</definedName>
    <definedName name="_xlnm.Print_Area" localSheetId="25">'6-Ⅰ①'!$A$1:$J$27</definedName>
    <definedName name="_xlnm.Print_Area" localSheetId="26">'6-Ⅰ②'!$A$1:$J$15</definedName>
    <definedName name="_xlnm.Print_Area" localSheetId="27">'6-Ⅰ③'!$A$1:$J$35</definedName>
    <definedName name="_xlnm.Print_Area" localSheetId="28">'6-Ⅰ④ '!$A$1:$J$45</definedName>
    <definedName name="_xlnm.Print_Area" localSheetId="29">'6-Ⅰ⑤'!$A$1:$J$17</definedName>
    <definedName name="_xlnm.Print_Area" localSheetId="30">'6-Ⅰ⑥ '!$A$1:$J$59</definedName>
    <definedName name="_xlnm.Print_Area" localSheetId="31">'6-Ⅱ①'!$A$1:$K$27</definedName>
    <definedName name="_xlnm.Print_Area" localSheetId="32">'6-Ⅱ②'!$A$1:$K$15</definedName>
    <definedName name="_xlnm.Print_Area" localSheetId="33">'6-Ⅱ③'!$A$1:$K$35</definedName>
    <definedName name="_xlnm.Print_Area" localSheetId="34">'6-Ⅱ④'!$A$1:$K$45</definedName>
    <definedName name="_xlnm.Print_Area" localSheetId="35">'6-Ⅱ⑤'!$A$1:$K$17</definedName>
    <definedName name="_xlnm.Print_Area" localSheetId="36">'6-Ⅱ⑥'!$A$1:$K$59</definedName>
    <definedName name="_xlnm.Print_Area" localSheetId="37">'6-Ⅲ'!$A$1:$K$45</definedName>
    <definedName name="_xlnm.Print_Area" localSheetId="38">'6-Ⅳ'!$B$1:$Q$89</definedName>
    <definedName name="_xlnm.Print_Area" localSheetId="41">'グラフ(在院期間) '!$A$1:$J$44</definedName>
    <definedName name="_xlnm.Print_Area" localSheetId="40">'グラフ(疾患名)'!$A$1:$K$61</definedName>
    <definedName name="_xlnm.Print_Area" localSheetId="42">'グラフ(退院阻害要因＿１) '!$A$1:$G$23</definedName>
    <definedName name="_xlnm.Print_Area" localSheetId="43">'グラフ(退院阻害要因＿２）'!$A$1:$I$88</definedName>
    <definedName name="_xlnm.Print_Area" localSheetId="39">'グラフ(年齢区分）'!$A$1:$K$62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11" i="113" l="1"/>
  <c r="E10" i="113"/>
  <c r="F10" i="79" l="1"/>
  <c r="F9" i="79"/>
  <c r="F8" i="79"/>
  <c r="F7" i="79"/>
  <c r="F6" i="79"/>
  <c r="E12" i="121" l="1"/>
  <c r="E11" i="121"/>
  <c r="E10" i="121"/>
  <c r="E9" i="121"/>
  <c r="E8" i="121"/>
  <c r="E7" i="121"/>
  <c r="E6" i="121"/>
  <c r="E5" i="121"/>
  <c r="E4" i="121"/>
  <c r="G12" i="121" l="1"/>
  <c r="G11" i="121"/>
  <c r="G10" i="121"/>
  <c r="G9" i="121"/>
  <c r="G8" i="121"/>
  <c r="G7" i="121"/>
  <c r="G6" i="121"/>
  <c r="G5" i="121"/>
  <c r="G4" i="121"/>
  <c r="E43" i="113" l="1"/>
  <c r="E42" i="113"/>
  <c r="F5" i="79" l="1"/>
  <c r="G28" i="120" l="1"/>
  <c r="G27" i="120"/>
  <c r="G26" i="120"/>
  <c r="G25" i="120"/>
  <c r="G24" i="120"/>
  <c r="G23" i="120"/>
  <c r="G22" i="120"/>
  <c r="G21" i="120"/>
  <c r="G20" i="120"/>
  <c r="C31" i="121" l="1"/>
  <c r="C33" i="122" l="1"/>
  <c r="E33" i="122"/>
  <c r="E32" i="122"/>
  <c r="C32" i="122"/>
  <c r="G31" i="121"/>
  <c r="G30" i="121"/>
  <c r="E31" i="121"/>
  <c r="E30" i="121"/>
  <c r="C30" i="121"/>
  <c r="O89" i="170" l="1"/>
  <c r="N89" i="170"/>
  <c r="M89" i="170"/>
  <c r="L89" i="170"/>
  <c r="K89" i="170"/>
  <c r="J89" i="170"/>
  <c r="H89" i="170"/>
  <c r="G89" i="170"/>
  <c r="F89" i="170"/>
  <c r="E89" i="170"/>
  <c r="D89" i="170"/>
  <c r="C89" i="170"/>
  <c r="Q88" i="170"/>
  <c r="P88" i="170"/>
  <c r="I88" i="170"/>
  <c r="P87" i="170"/>
  <c r="Q87" i="170" s="1"/>
  <c r="I87" i="170"/>
  <c r="P86" i="170"/>
  <c r="I86" i="170"/>
  <c r="Q86" i="170" s="1"/>
  <c r="P85" i="170"/>
  <c r="I85" i="170"/>
  <c r="Q85" i="170" s="1"/>
  <c r="Q84" i="170"/>
  <c r="P84" i="170"/>
  <c r="I84" i="170"/>
  <c r="P83" i="170"/>
  <c r="Q83" i="170" s="1"/>
  <c r="I83" i="170"/>
  <c r="P82" i="170"/>
  <c r="I82" i="170"/>
  <c r="O81" i="170"/>
  <c r="N81" i="170"/>
  <c r="M81" i="170"/>
  <c r="L81" i="170"/>
  <c r="K81" i="170"/>
  <c r="J81" i="170"/>
  <c r="H81" i="170"/>
  <c r="G81" i="170"/>
  <c r="F81" i="170"/>
  <c r="E81" i="170"/>
  <c r="D81" i="170"/>
  <c r="C81" i="170"/>
  <c r="Q80" i="170"/>
  <c r="P80" i="170"/>
  <c r="I80" i="170"/>
  <c r="P79" i="170"/>
  <c r="Q79" i="170" s="1"/>
  <c r="I79" i="170"/>
  <c r="P78" i="170"/>
  <c r="I78" i="170"/>
  <c r="Q78" i="170" s="1"/>
  <c r="P77" i="170"/>
  <c r="I77" i="170"/>
  <c r="Q77" i="170" s="1"/>
  <c r="Q76" i="170"/>
  <c r="P76" i="170"/>
  <c r="I76" i="170"/>
  <c r="P75" i="170"/>
  <c r="Q75" i="170" s="1"/>
  <c r="I75" i="170"/>
  <c r="P74" i="170"/>
  <c r="I74" i="170"/>
  <c r="Q74" i="170" s="1"/>
  <c r="O73" i="170"/>
  <c r="N73" i="170"/>
  <c r="M73" i="170"/>
  <c r="L73" i="170"/>
  <c r="K73" i="170"/>
  <c r="J73" i="170"/>
  <c r="P73" i="170" s="1"/>
  <c r="H73" i="170"/>
  <c r="G73" i="170"/>
  <c r="F73" i="170"/>
  <c r="E73" i="170"/>
  <c r="D73" i="170"/>
  <c r="C73" i="170"/>
  <c r="I73" i="170" s="1"/>
  <c r="Q73" i="170" s="1"/>
  <c r="Q72" i="170"/>
  <c r="P72" i="170"/>
  <c r="I72" i="170"/>
  <c r="P71" i="170"/>
  <c r="Q71" i="170" s="1"/>
  <c r="I71" i="170"/>
  <c r="P70" i="170"/>
  <c r="I70" i="170"/>
  <c r="Q70" i="170" s="1"/>
  <c r="P69" i="170"/>
  <c r="I69" i="170"/>
  <c r="Q69" i="170" s="1"/>
  <c r="Q68" i="170"/>
  <c r="P68" i="170"/>
  <c r="I68" i="170"/>
  <c r="P67" i="170"/>
  <c r="Q67" i="170" s="1"/>
  <c r="I67" i="170"/>
  <c r="P66" i="170"/>
  <c r="I66" i="170"/>
  <c r="Q66" i="170" s="1"/>
  <c r="P65" i="170"/>
  <c r="I65" i="170"/>
  <c r="Q65" i="170" s="1"/>
  <c r="Q64" i="170"/>
  <c r="P64" i="170"/>
  <c r="I64" i="170"/>
  <c r="P63" i="170"/>
  <c r="Q63" i="170" s="1"/>
  <c r="I63" i="170"/>
  <c r="P62" i="170"/>
  <c r="I62" i="170"/>
  <c r="Q62" i="170" s="1"/>
  <c r="P61" i="170"/>
  <c r="I61" i="170"/>
  <c r="Q61" i="170" s="1"/>
  <c r="Q60" i="170"/>
  <c r="P60" i="170"/>
  <c r="I60" i="170"/>
  <c r="P59" i="170"/>
  <c r="Q59" i="170" s="1"/>
  <c r="I59" i="170"/>
  <c r="P58" i="170"/>
  <c r="I58" i="170"/>
  <c r="Q58" i="170" s="1"/>
  <c r="P57" i="170"/>
  <c r="I57" i="170"/>
  <c r="Q57" i="170" s="1"/>
  <c r="Q56" i="170"/>
  <c r="P56" i="170"/>
  <c r="I56" i="170"/>
  <c r="P55" i="170"/>
  <c r="Q55" i="170" s="1"/>
  <c r="I55" i="170"/>
  <c r="P54" i="170"/>
  <c r="I54" i="170"/>
  <c r="Q54" i="170" s="1"/>
  <c r="P53" i="170"/>
  <c r="I53" i="170"/>
  <c r="Q53" i="170" s="1"/>
  <c r="Q52" i="170"/>
  <c r="P52" i="170"/>
  <c r="I52" i="170"/>
  <c r="P51" i="170"/>
  <c r="Q51" i="170" s="1"/>
  <c r="I51" i="170"/>
  <c r="P50" i="170"/>
  <c r="I50" i="170"/>
  <c r="P49" i="170"/>
  <c r="I49" i="170"/>
  <c r="Q49" i="170" s="1"/>
  <c r="O48" i="170"/>
  <c r="N48" i="170"/>
  <c r="M48" i="170"/>
  <c r="L48" i="170"/>
  <c r="K48" i="170"/>
  <c r="J48" i="170"/>
  <c r="H48" i="170"/>
  <c r="G48" i="170"/>
  <c r="F48" i="170"/>
  <c r="E48" i="170"/>
  <c r="D48" i="170"/>
  <c r="C48" i="170"/>
  <c r="P45" i="170"/>
  <c r="Q45" i="170" s="1"/>
  <c r="I45" i="170"/>
  <c r="P44" i="170"/>
  <c r="I44" i="170"/>
  <c r="Q44" i="170" s="1"/>
  <c r="P43" i="170"/>
  <c r="I43" i="170"/>
  <c r="Q43" i="170" s="1"/>
  <c r="Q42" i="170"/>
  <c r="P42" i="170"/>
  <c r="I42" i="170"/>
  <c r="P41" i="170"/>
  <c r="Q41" i="170" s="1"/>
  <c r="I41" i="170"/>
  <c r="P40" i="170"/>
  <c r="I40" i="170"/>
  <c r="Q40" i="170" s="1"/>
  <c r="P39" i="170"/>
  <c r="I39" i="170"/>
  <c r="Q39" i="170" s="1"/>
  <c r="Q38" i="170"/>
  <c r="P38" i="170"/>
  <c r="I38" i="170"/>
  <c r="P37" i="170"/>
  <c r="Q37" i="170" s="1"/>
  <c r="I37" i="170"/>
  <c r="P36" i="170"/>
  <c r="I36" i="170"/>
  <c r="Q36" i="170" s="1"/>
  <c r="P35" i="170"/>
  <c r="I35" i="170"/>
  <c r="Q35" i="170" s="1"/>
  <c r="Q34" i="170"/>
  <c r="P34" i="170"/>
  <c r="I34" i="170"/>
  <c r="P33" i="170"/>
  <c r="Q33" i="170" s="1"/>
  <c r="I33" i="170"/>
  <c r="P32" i="170"/>
  <c r="I32" i="170"/>
  <c r="Q32" i="170" s="1"/>
  <c r="P31" i="170"/>
  <c r="I31" i="170"/>
  <c r="Q31" i="170" s="1"/>
  <c r="Q30" i="170"/>
  <c r="P30" i="170"/>
  <c r="I30" i="170"/>
  <c r="P29" i="170"/>
  <c r="Q29" i="170" s="1"/>
  <c r="I29" i="170"/>
  <c r="P28" i="170"/>
  <c r="I28" i="170"/>
  <c r="Q28" i="170" s="1"/>
  <c r="P27" i="170"/>
  <c r="I27" i="170"/>
  <c r="Q27" i="170" s="1"/>
  <c r="Q26" i="170"/>
  <c r="P26" i="170"/>
  <c r="I26" i="170"/>
  <c r="P25" i="170"/>
  <c r="Q25" i="170" s="1"/>
  <c r="I25" i="170"/>
  <c r="P24" i="170"/>
  <c r="I24" i="170"/>
  <c r="Q24" i="170" s="1"/>
  <c r="P23" i="170"/>
  <c r="I23" i="170"/>
  <c r="Q23" i="170" s="1"/>
  <c r="Q22" i="170"/>
  <c r="P22" i="170"/>
  <c r="I22" i="170"/>
  <c r="P21" i="170"/>
  <c r="Q21" i="170" s="1"/>
  <c r="I21" i="170"/>
  <c r="P20" i="170"/>
  <c r="I20" i="170"/>
  <c r="Q20" i="170" s="1"/>
  <c r="P19" i="170"/>
  <c r="I19" i="170"/>
  <c r="Q19" i="170" s="1"/>
  <c r="Q18" i="170"/>
  <c r="P18" i="170"/>
  <c r="I18" i="170"/>
  <c r="P17" i="170"/>
  <c r="Q17" i="170" s="1"/>
  <c r="I17" i="170"/>
  <c r="P16" i="170"/>
  <c r="I16" i="170"/>
  <c r="Q16" i="170" s="1"/>
  <c r="P15" i="170"/>
  <c r="I15" i="170"/>
  <c r="Q15" i="170" s="1"/>
  <c r="Q14" i="170"/>
  <c r="P14" i="170"/>
  <c r="I14" i="170"/>
  <c r="P13" i="170"/>
  <c r="Q13" i="170" s="1"/>
  <c r="I13" i="170"/>
  <c r="P12" i="170"/>
  <c r="I12" i="170"/>
  <c r="Q12" i="170" s="1"/>
  <c r="P11" i="170"/>
  <c r="I11" i="170"/>
  <c r="Q11" i="170" s="1"/>
  <c r="Q10" i="170"/>
  <c r="P10" i="170"/>
  <c r="I10" i="170"/>
  <c r="P9" i="170"/>
  <c r="Q9" i="170" s="1"/>
  <c r="I9" i="170"/>
  <c r="P8" i="170"/>
  <c r="I8" i="170"/>
  <c r="Q8" i="170" s="1"/>
  <c r="P7" i="170"/>
  <c r="I7" i="170"/>
  <c r="Q7" i="170" s="1"/>
  <c r="Q6" i="170"/>
  <c r="P6" i="170"/>
  <c r="I6" i="170"/>
  <c r="P5" i="170"/>
  <c r="I5" i="170"/>
  <c r="AS45" i="169"/>
  <c r="AR45" i="169"/>
  <c r="AQ45" i="169"/>
  <c r="H42" i="169" s="1"/>
  <c r="AP45" i="169"/>
  <c r="AO45" i="169"/>
  <c r="AN45" i="169"/>
  <c r="AM45" i="169"/>
  <c r="D42" i="169" s="1"/>
  <c r="AL45" i="169"/>
  <c r="AK45" i="169"/>
  <c r="AS44" i="169"/>
  <c r="AR44" i="169"/>
  <c r="AQ44" i="169"/>
  <c r="AP44" i="169"/>
  <c r="G40" i="169" s="1"/>
  <c r="AO44" i="169"/>
  <c r="AN44" i="169"/>
  <c r="AM44" i="169"/>
  <c r="AL44" i="169"/>
  <c r="C40" i="169" s="1"/>
  <c r="AK44" i="169"/>
  <c r="AS43" i="169"/>
  <c r="AR43" i="169"/>
  <c r="AQ43" i="169"/>
  <c r="AP43" i="169"/>
  <c r="AO43" i="169"/>
  <c r="AN43" i="169"/>
  <c r="AM43" i="169"/>
  <c r="AL43" i="169"/>
  <c r="AK43" i="169"/>
  <c r="AS42" i="169"/>
  <c r="AR42" i="169"/>
  <c r="I38" i="169" s="1"/>
  <c r="AQ42" i="169"/>
  <c r="AP42" i="169"/>
  <c r="AO42" i="169"/>
  <c r="AN42" i="169"/>
  <c r="E38" i="169" s="1"/>
  <c r="AM42" i="169"/>
  <c r="AL42" i="169"/>
  <c r="AK42" i="169"/>
  <c r="K42" i="169"/>
  <c r="J42" i="169"/>
  <c r="I42" i="169"/>
  <c r="G42" i="169"/>
  <c r="F42" i="169"/>
  <c r="E42" i="169"/>
  <c r="C42" i="169"/>
  <c r="B42" i="169"/>
  <c r="AS41" i="169"/>
  <c r="J38" i="169" s="1"/>
  <c r="AR41" i="169"/>
  <c r="AQ41" i="169"/>
  <c r="H38" i="169" s="1"/>
  <c r="AP41" i="169"/>
  <c r="AO41" i="169"/>
  <c r="F38" i="169" s="1"/>
  <c r="AN41" i="169"/>
  <c r="AM41" i="169"/>
  <c r="D38" i="169" s="1"/>
  <c r="AL41" i="169"/>
  <c r="AK41" i="169"/>
  <c r="B38" i="169" s="1"/>
  <c r="AS40" i="169"/>
  <c r="AR40" i="169"/>
  <c r="AQ40" i="169"/>
  <c r="AP40" i="169"/>
  <c r="G36" i="169" s="1"/>
  <c r="AO40" i="169"/>
  <c r="AN40" i="169"/>
  <c r="AM40" i="169"/>
  <c r="AL40" i="169"/>
  <c r="C36" i="169" s="1"/>
  <c r="AK40" i="169"/>
  <c r="J40" i="169"/>
  <c r="I40" i="169"/>
  <c r="H40" i="169"/>
  <c r="F40" i="169"/>
  <c r="E40" i="169"/>
  <c r="D40" i="169"/>
  <c r="B40" i="169"/>
  <c r="AS39" i="169"/>
  <c r="J36" i="169" s="1"/>
  <c r="AR39" i="169"/>
  <c r="AQ39" i="169"/>
  <c r="H36" i="169" s="1"/>
  <c r="AP39" i="169"/>
  <c r="AO39" i="169"/>
  <c r="F36" i="169" s="1"/>
  <c r="AN39" i="169"/>
  <c r="AM39" i="169"/>
  <c r="D36" i="169" s="1"/>
  <c r="AL39" i="169"/>
  <c r="AK39" i="169"/>
  <c r="B36" i="169" s="1"/>
  <c r="AS38" i="169"/>
  <c r="AR38" i="169"/>
  <c r="I34" i="169" s="1"/>
  <c r="AQ38" i="169"/>
  <c r="AP38" i="169"/>
  <c r="AO38" i="169"/>
  <c r="AN38" i="169"/>
  <c r="E34" i="169" s="1"/>
  <c r="AM38" i="169"/>
  <c r="AL38" i="169"/>
  <c r="AK38" i="169"/>
  <c r="G38" i="169"/>
  <c r="C38" i="169"/>
  <c r="AS37" i="169"/>
  <c r="J34" i="169" s="1"/>
  <c r="AR37" i="169"/>
  <c r="AQ37" i="169"/>
  <c r="H34" i="169" s="1"/>
  <c r="AP37" i="169"/>
  <c r="AO37" i="169"/>
  <c r="F34" i="169" s="1"/>
  <c r="AN37" i="169"/>
  <c r="AM37" i="169"/>
  <c r="D34" i="169" s="1"/>
  <c r="AL37" i="169"/>
  <c r="AK37" i="169"/>
  <c r="B34" i="169" s="1"/>
  <c r="AS36" i="169"/>
  <c r="AR36" i="169"/>
  <c r="AQ36" i="169"/>
  <c r="AP36" i="169"/>
  <c r="G32" i="169" s="1"/>
  <c r="AO36" i="169"/>
  <c r="AN36" i="169"/>
  <c r="AM36" i="169"/>
  <c r="AL36" i="169"/>
  <c r="C32" i="169" s="1"/>
  <c r="AK36" i="169"/>
  <c r="I36" i="169"/>
  <c r="E36" i="169"/>
  <c r="AS35" i="169"/>
  <c r="AR35" i="169"/>
  <c r="AQ35" i="169"/>
  <c r="AP35" i="169"/>
  <c r="AO35" i="169"/>
  <c r="AN35" i="169"/>
  <c r="AM35" i="169"/>
  <c r="AL35" i="169"/>
  <c r="AK35" i="169"/>
  <c r="AS34" i="169"/>
  <c r="AR34" i="169"/>
  <c r="AQ34" i="169"/>
  <c r="AP34" i="169"/>
  <c r="AO34" i="169"/>
  <c r="AN34" i="169"/>
  <c r="E32" i="169" s="1"/>
  <c r="AM34" i="169"/>
  <c r="AL34" i="169"/>
  <c r="AK34" i="169"/>
  <c r="G34" i="169"/>
  <c r="C34" i="169"/>
  <c r="AS33" i="169"/>
  <c r="J32" i="169" s="1"/>
  <c r="AR33" i="169"/>
  <c r="AQ33" i="169"/>
  <c r="H32" i="169" s="1"/>
  <c r="AP33" i="169"/>
  <c r="AO33" i="169"/>
  <c r="F32" i="169" s="1"/>
  <c r="AN33" i="169"/>
  <c r="AM33" i="169"/>
  <c r="D32" i="169" s="1"/>
  <c r="AL33" i="169"/>
  <c r="AK33" i="169"/>
  <c r="B32" i="169" s="1"/>
  <c r="AS32" i="169"/>
  <c r="AR32" i="169"/>
  <c r="AQ32" i="169"/>
  <c r="AP32" i="169"/>
  <c r="G30" i="169" s="1"/>
  <c r="AO32" i="169"/>
  <c r="AN32" i="169"/>
  <c r="AM32" i="169"/>
  <c r="AL32" i="169"/>
  <c r="AK32" i="169"/>
  <c r="I32" i="169"/>
  <c r="AS31" i="169"/>
  <c r="J30" i="169" s="1"/>
  <c r="AR31" i="169"/>
  <c r="AQ31" i="169"/>
  <c r="H30" i="169" s="1"/>
  <c r="AP31" i="169"/>
  <c r="AO31" i="169"/>
  <c r="F30" i="169" s="1"/>
  <c r="AN31" i="169"/>
  <c r="AM31" i="169"/>
  <c r="D30" i="169" s="1"/>
  <c r="AL31" i="169"/>
  <c r="AK31" i="169"/>
  <c r="B30" i="169" s="1"/>
  <c r="AS30" i="169"/>
  <c r="AR30" i="169"/>
  <c r="I28" i="169" s="1"/>
  <c r="AQ30" i="169"/>
  <c r="AP30" i="169"/>
  <c r="AO30" i="169"/>
  <c r="AN30" i="169"/>
  <c r="E28" i="169" s="1"/>
  <c r="AM30" i="169"/>
  <c r="AL30" i="169"/>
  <c r="AK30" i="169"/>
  <c r="I30" i="169"/>
  <c r="E30" i="169"/>
  <c r="C30" i="169"/>
  <c r="AS29" i="169"/>
  <c r="J28" i="169" s="1"/>
  <c r="AR29" i="169"/>
  <c r="AQ29" i="169"/>
  <c r="H28" i="169" s="1"/>
  <c r="AP29" i="169"/>
  <c r="AO29" i="169"/>
  <c r="F28" i="169" s="1"/>
  <c r="AN29" i="169"/>
  <c r="AM29" i="169"/>
  <c r="D28" i="169" s="1"/>
  <c r="AL29" i="169"/>
  <c r="AK29" i="169"/>
  <c r="B28" i="169" s="1"/>
  <c r="AS28" i="169"/>
  <c r="AR28" i="169"/>
  <c r="AQ28" i="169"/>
  <c r="AP28" i="169"/>
  <c r="G28" i="169" s="1"/>
  <c r="AO28" i="169"/>
  <c r="AN28" i="169"/>
  <c r="AM28" i="169"/>
  <c r="AL28" i="169"/>
  <c r="C28" i="169" s="1"/>
  <c r="AK28" i="169"/>
  <c r="AS22" i="169"/>
  <c r="J19" i="169" s="1"/>
  <c r="AR22" i="169"/>
  <c r="AQ22" i="169"/>
  <c r="H19" i="169" s="1"/>
  <c r="AP22" i="169"/>
  <c r="AO22" i="169"/>
  <c r="F19" i="169" s="1"/>
  <c r="AN22" i="169"/>
  <c r="AM22" i="169"/>
  <c r="D19" i="169" s="1"/>
  <c r="AL22" i="169"/>
  <c r="AK22" i="169"/>
  <c r="B19" i="169" s="1"/>
  <c r="AS21" i="169"/>
  <c r="AR21" i="169"/>
  <c r="AQ21" i="169"/>
  <c r="AP21" i="169"/>
  <c r="AO21" i="169"/>
  <c r="AN21" i="169"/>
  <c r="AM21" i="169"/>
  <c r="AL21" i="169"/>
  <c r="AK21" i="169"/>
  <c r="AS20" i="169"/>
  <c r="AR20" i="169"/>
  <c r="AQ20" i="169"/>
  <c r="AP20" i="169"/>
  <c r="AO20" i="169"/>
  <c r="AN20" i="169"/>
  <c r="AM20" i="169"/>
  <c r="AL20" i="169"/>
  <c r="AK20" i="169"/>
  <c r="AS19" i="169"/>
  <c r="AR19" i="169"/>
  <c r="AQ19" i="169"/>
  <c r="AP19" i="169"/>
  <c r="G15" i="169" s="1"/>
  <c r="AO19" i="169"/>
  <c r="AN19" i="169"/>
  <c r="AM19" i="169"/>
  <c r="AL19" i="169"/>
  <c r="C15" i="169" s="1"/>
  <c r="AK19" i="169"/>
  <c r="I19" i="169"/>
  <c r="G19" i="169"/>
  <c r="E19" i="169"/>
  <c r="C19" i="169"/>
  <c r="AS18" i="169"/>
  <c r="J15" i="169" s="1"/>
  <c r="AR18" i="169"/>
  <c r="AQ18" i="169"/>
  <c r="H15" i="169" s="1"/>
  <c r="AP18" i="169"/>
  <c r="AO18" i="169"/>
  <c r="F15" i="169" s="1"/>
  <c r="AN18" i="169"/>
  <c r="AM18" i="169"/>
  <c r="D15" i="169" s="1"/>
  <c r="AL18" i="169"/>
  <c r="AK18" i="169"/>
  <c r="B15" i="169" s="1"/>
  <c r="AS17" i="169"/>
  <c r="AR17" i="169"/>
  <c r="AQ17" i="169"/>
  <c r="AP17" i="169"/>
  <c r="G13" i="169" s="1"/>
  <c r="AO17" i="169"/>
  <c r="AN17" i="169"/>
  <c r="AM17" i="169"/>
  <c r="AL17" i="169"/>
  <c r="C13" i="169" s="1"/>
  <c r="AK17" i="169"/>
  <c r="J17" i="169"/>
  <c r="I17" i="169"/>
  <c r="H17" i="169"/>
  <c r="G17" i="169"/>
  <c r="F17" i="169"/>
  <c r="E17" i="169"/>
  <c r="D17" i="169"/>
  <c r="C17" i="169"/>
  <c r="B17" i="169"/>
  <c r="AS16" i="169"/>
  <c r="J13" i="169" s="1"/>
  <c r="AR16" i="169"/>
  <c r="AQ16" i="169"/>
  <c r="H13" i="169" s="1"/>
  <c r="AP16" i="169"/>
  <c r="AO16" i="169"/>
  <c r="F13" i="169" s="1"/>
  <c r="AN16" i="169"/>
  <c r="AM16" i="169"/>
  <c r="AL16" i="169"/>
  <c r="AK16" i="169"/>
  <c r="B13" i="169" s="1"/>
  <c r="AS15" i="169"/>
  <c r="AR15" i="169"/>
  <c r="AQ15" i="169"/>
  <c r="AP15" i="169"/>
  <c r="AO15" i="169"/>
  <c r="AN15" i="169"/>
  <c r="AM15" i="169"/>
  <c r="AL15" i="169"/>
  <c r="AK15" i="169"/>
  <c r="I15" i="169"/>
  <c r="E15" i="169"/>
  <c r="AS14" i="169"/>
  <c r="J11" i="169" s="1"/>
  <c r="AR14" i="169"/>
  <c r="AQ14" i="169"/>
  <c r="AP14" i="169"/>
  <c r="AO14" i="169"/>
  <c r="F11" i="169" s="1"/>
  <c r="AN14" i="169"/>
  <c r="AM14" i="169"/>
  <c r="AL14" i="169"/>
  <c r="AK14" i="169"/>
  <c r="B11" i="169" s="1"/>
  <c r="AS13" i="169"/>
  <c r="AR13" i="169"/>
  <c r="AQ13" i="169"/>
  <c r="AP13" i="169"/>
  <c r="AO13" i="169"/>
  <c r="AN13" i="169"/>
  <c r="AM13" i="169"/>
  <c r="AL13" i="169"/>
  <c r="AK13" i="169"/>
  <c r="I13" i="169"/>
  <c r="E13" i="169"/>
  <c r="D13" i="169"/>
  <c r="AS12" i="169"/>
  <c r="AR12" i="169"/>
  <c r="AQ12" i="169"/>
  <c r="AP12" i="169"/>
  <c r="AO12" i="169"/>
  <c r="AN12" i="169"/>
  <c r="AM12" i="169"/>
  <c r="AL12" i="169"/>
  <c r="AK12" i="169"/>
  <c r="AS11" i="169"/>
  <c r="AR11" i="169"/>
  <c r="AQ11" i="169"/>
  <c r="AP11" i="169"/>
  <c r="AO11" i="169"/>
  <c r="AN11" i="169"/>
  <c r="AM11" i="169"/>
  <c r="D9" i="169" s="1"/>
  <c r="AL11" i="169"/>
  <c r="AK11" i="169"/>
  <c r="I11" i="169"/>
  <c r="H11" i="169"/>
  <c r="G11" i="169"/>
  <c r="E11" i="169"/>
  <c r="D11" i="169"/>
  <c r="C11" i="169"/>
  <c r="AS10" i="169"/>
  <c r="J9" i="169" s="1"/>
  <c r="AR10" i="169"/>
  <c r="AQ10" i="169"/>
  <c r="AP10" i="169"/>
  <c r="G9" i="169" s="1"/>
  <c r="AO10" i="169"/>
  <c r="F9" i="169" s="1"/>
  <c r="AN10" i="169"/>
  <c r="AM10" i="169"/>
  <c r="AL10" i="169"/>
  <c r="C9" i="169" s="1"/>
  <c r="AK10" i="169"/>
  <c r="B9" i="169" s="1"/>
  <c r="AS9" i="169"/>
  <c r="AR9" i="169"/>
  <c r="AQ9" i="169"/>
  <c r="AP9" i="169"/>
  <c r="AO9" i="169"/>
  <c r="F7" i="169" s="1"/>
  <c r="AN9" i="169"/>
  <c r="AM9" i="169"/>
  <c r="AL9" i="169"/>
  <c r="AK9" i="169"/>
  <c r="H9" i="169"/>
  <c r="AS8" i="169"/>
  <c r="AR8" i="169"/>
  <c r="I7" i="169" s="1"/>
  <c r="AQ8" i="169"/>
  <c r="H7" i="169" s="1"/>
  <c r="AP8" i="169"/>
  <c r="AO8" i="169"/>
  <c r="AN8" i="169"/>
  <c r="E7" i="169" s="1"/>
  <c r="AM8" i="169"/>
  <c r="D7" i="169" s="1"/>
  <c r="AL8" i="169"/>
  <c r="AK8" i="169"/>
  <c r="AS7" i="169"/>
  <c r="AR7" i="169"/>
  <c r="AQ7" i="169"/>
  <c r="AP7" i="169"/>
  <c r="AO7" i="169"/>
  <c r="AN7" i="169"/>
  <c r="AM7" i="169"/>
  <c r="D5" i="169" s="1"/>
  <c r="AL7" i="169"/>
  <c r="AK7" i="169"/>
  <c r="J7" i="169"/>
  <c r="G7" i="169"/>
  <c r="C7" i="169"/>
  <c r="B7" i="169"/>
  <c r="AS6" i="169"/>
  <c r="AR6" i="169"/>
  <c r="AQ6" i="169"/>
  <c r="AP6" i="169"/>
  <c r="G5" i="169" s="1"/>
  <c r="AO6" i="169"/>
  <c r="AN6" i="169"/>
  <c r="AM6" i="169"/>
  <c r="AL6" i="169"/>
  <c r="C5" i="169" s="1"/>
  <c r="AK6" i="169"/>
  <c r="AS5" i="169"/>
  <c r="J5" i="169" s="1"/>
  <c r="AR5" i="169"/>
  <c r="I5" i="169" s="1"/>
  <c r="AQ5" i="169"/>
  <c r="AP5" i="169"/>
  <c r="AO5" i="169"/>
  <c r="F5" i="169" s="1"/>
  <c r="AN5" i="169"/>
  <c r="E5" i="169" s="1"/>
  <c r="AM5" i="169"/>
  <c r="AL5" i="169"/>
  <c r="AK5" i="169"/>
  <c r="B5" i="169" s="1"/>
  <c r="H5" i="169"/>
  <c r="J58" i="168"/>
  <c r="J59" i="168" s="1"/>
  <c r="I58" i="168"/>
  <c r="H58" i="168"/>
  <c r="G58" i="168"/>
  <c r="F58" i="168"/>
  <c r="E58" i="168"/>
  <c r="D58" i="168"/>
  <c r="C58" i="168"/>
  <c r="B58" i="168"/>
  <c r="J57" i="168"/>
  <c r="J56" i="168"/>
  <c r="I56" i="168"/>
  <c r="H56" i="168"/>
  <c r="G56" i="168"/>
  <c r="F56" i="168"/>
  <c r="E56" i="168"/>
  <c r="D56" i="168"/>
  <c r="C56" i="168"/>
  <c r="K56" i="168" s="1"/>
  <c r="B56" i="168"/>
  <c r="J54" i="168"/>
  <c r="J55" i="168" s="1"/>
  <c r="I54" i="168"/>
  <c r="H54" i="168"/>
  <c r="G54" i="168"/>
  <c r="F54" i="168"/>
  <c r="E54" i="168"/>
  <c r="D54" i="168"/>
  <c r="C54" i="168"/>
  <c r="B54" i="168"/>
  <c r="J53" i="168"/>
  <c r="J52" i="168"/>
  <c r="I52" i="168"/>
  <c r="H52" i="168"/>
  <c r="G52" i="168"/>
  <c r="F52" i="168"/>
  <c r="E52" i="168"/>
  <c r="D52" i="168"/>
  <c r="C52" i="168"/>
  <c r="K52" i="168" s="1"/>
  <c r="B52" i="168"/>
  <c r="J50" i="168"/>
  <c r="J51" i="168" s="1"/>
  <c r="I50" i="168"/>
  <c r="H50" i="168"/>
  <c r="G50" i="168"/>
  <c r="F50" i="168"/>
  <c r="E50" i="168"/>
  <c r="D50" i="168"/>
  <c r="C50" i="168"/>
  <c r="B50" i="168"/>
  <c r="J49" i="168"/>
  <c r="J48" i="168"/>
  <c r="I48" i="168"/>
  <c r="H48" i="168"/>
  <c r="H49" i="168" s="1"/>
  <c r="G48" i="168"/>
  <c r="F48" i="168"/>
  <c r="E48" i="168"/>
  <c r="D48" i="168"/>
  <c r="D49" i="168" s="1"/>
  <c r="C48" i="168"/>
  <c r="K48" i="168" s="1"/>
  <c r="B48" i="168"/>
  <c r="J46" i="168"/>
  <c r="J47" i="168" s="1"/>
  <c r="I46" i="168"/>
  <c r="H46" i="168"/>
  <c r="H47" i="168" s="1"/>
  <c r="G46" i="168"/>
  <c r="F46" i="168"/>
  <c r="E46" i="168"/>
  <c r="D46" i="168"/>
  <c r="D47" i="168" s="1"/>
  <c r="C46" i="168"/>
  <c r="B46" i="168"/>
  <c r="J45" i="168"/>
  <c r="J44" i="168"/>
  <c r="I44" i="168"/>
  <c r="H44" i="168"/>
  <c r="H45" i="168" s="1"/>
  <c r="G44" i="168"/>
  <c r="F44" i="168"/>
  <c r="E44" i="168"/>
  <c r="D44" i="168"/>
  <c r="D45" i="168" s="1"/>
  <c r="C44" i="168"/>
  <c r="B44" i="168"/>
  <c r="J42" i="168"/>
  <c r="I42" i="168"/>
  <c r="H42" i="168"/>
  <c r="H43" i="168" s="1"/>
  <c r="G42" i="168"/>
  <c r="F42" i="168"/>
  <c r="E42" i="168"/>
  <c r="E43" i="168" s="1"/>
  <c r="D42" i="168"/>
  <c r="D43" i="168" s="1"/>
  <c r="C42" i="168"/>
  <c r="B42" i="168"/>
  <c r="J41" i="168"/>
  <c r="B41" i="168"/>
  <c r="J40" i="168"/>
  <c r="I40" i="168"/>
  <c r="H40" i="168"/>
  <c r="H41" i="168" s="1"/>
  <c r="G40" i="168"/>
  <c r="F40" i="168"/>
  <c r="E40" i="168"/>
  <c r="D40" i="168"/>
  <c r="D41" i="168" s="1"/>
  <c r="C40" i="168"/>
  <c r="B40" i="168"/>
  <c r="I39" i="168"/>
  <c r="J38" i="168"/>
  <c r="I38" i="168"/>
  <c r="H38" i="168"/>
  <c r="G38" i="168"/>
  <c r="F38" i="168"/>
  <c r="E38" i="168"/>
  <c r="D38" i="168"/>
  <c r="C38" i="168"/>
  <c r="B38" i="168"/>
  <c r="F37" i="168"/>
  <c r="J36" i="168"/>
  <c r="I36" i="168"/>
  <c r="H36" i="168"/>
  <c r="H37" i="168" s="1"/>
  <c r="G36" i="168"/>
  <c r="F36" i="168"/>
  <c r="E36" i="168"/>
  <c r="D36" i="168"/>
  <c r="D37" i="168" s="1"/>
  <c r="C36" i="168"/>
  <c r="B36" i="168"/>
  <c r="E35" i="168"/>
  <c r="J34" i="168"/>
  <c r="I34" i="168"/>
  <c r="H34" i="168"/>
  <c r="H35" i="168" s="1"/>
  <c r="G34" i="168"/>
  <c r="F34" i="168"/>
  <c r="E34" i="168"/>
  <c r="D34" i="168"/>
  <c r="D35" i="168" s="1"/>
  <c r="C34" i="168"/>
  <c r="B34" i="168"/>
  <c r="J32" i="168"/>
  <c r="J33" i="168" s="1"/>
  <c r="I32" i="168"/>
  <c r="H32" i="168"/>
  <c r="H33" i="168" s="1"/>
  <c r="G32" i="168"/>
  <c r="F32" i="168"/>
  <c r="E32" i="168"/>
  <c r="D32" i="168"/>
  <c r="D33" i="168" s="1"/>
  <c r="C32" i="168"/>
  <c r="B32" i="168"/>
  <c r="B33" i="168" s="1"/>
  <c r="I31" i="168"/>
  <c r="J30" i="168"/>
  <c r="I30" i="168"/>
  <c r="H30" i="168"/>
  <c r="G30" i="168"/>
  <c r="F30" i="168"/>
  <c r="E30" i="168"/>
  <c r="D30" i="168"/>
  <c r="C30" i="168"/>
  <c r="B30" i="168"/>
  <c r="D29" i="168"/>
  <c r="J28" i="168"/>
  <c r="J29" i="168" s="1"/>
  <c r="I28" i="168"/>
  <c r="I29" i="168" s="1"/>
  <c r="H28" i="168"/>
  <c r="G28" i="168"/>
  <c r="F28" i="168"/>
  <c r="F29" i="168" s="1"/>
  <c r="E28" i="168"/>
  <c r="E29" i="168" s="1"/>
  <c r="D28" i="168"/>
  <c r="C28" i="168"/>
  <c r="B28" i="168"/>
  <c r="B29" i="168" s="1"/>
  <c r="E27" i="168"/>
  <c r="D27" i="168"/>
  <c r="J26" i="168"/>
  <c r="J27" i="168" s="1"/>
  <c r="I26" i="168"/>
  <c r="I27" i="168" s="1"/>
  <c r="H26" i="168"/>
  <c r="H27" i="168" s="1"/>
  <c r="G26" i="168"/>
  <c r="G27" i="168" s="1"/>
  <c r="F26" i="168"/>
  <c r="F27" i="168" s="1"/>
  <c r="E26" i="168"/>
  <c r="D26" i="168"/>
  <c r="C26" i="168"/>
  <c r="C27" i="168" s="1"/>
  <c r="B26" i="168"/>
  <c r="B27" i="168" s="1"/>
  <c r="E25" i="168"/>
  <c r="J24" i="168"/>
  <c r="J25" i="168" s="1"/>
  <c r="I24" i="168"/>
  <c r="I25" i="168" s="1"/>
  <c r="H24" i="168"/>
  <c r="H25" i="168" s="1"/>
  <c r="G24" i="168"/>
  <c r="F24" i="168"/>
  <c r="F25" i="168" s="1"/>
  <c r="E24" i="168"/>
  <c r="D24" i="168"/>
  <c r="D25" i="168" s="1"/>
  <c r="C24" i="168"/>
  <c r="B24" i="168"/>
  <c r="B25" i="168" s="1"/>
  <c r="J16" i="168"/>
  <c r="I16" i="168"/>
  <c r="H16" i="168"/>
  <c r="G16" i="168"/>
  <c r="F16" i="168"/>
  <c r="E16" i="168"/>
  <c r="D16" i="168"/>
  <c r="C16" i="168"/>
  <c r="B16" i="168"/>
  <c r="J14" i="168"/>
  <c r="J43" i="168" s="1"/>
  <c r="I14" i="168"/>
  <c r="H14" i="168"/>
  <c r="H18" i="168" s="1"/>
  <c r="G14" i="168"/>
  <c r="F14" i="168"/>
  <c r="F59" i="168" s="1"/>
  <c r="E14" i="168"/>
  <c r="D14" i="168"/>
  <c r="D18" i="168" s="1"/>
  <c r="C14" i="168"/>
  <c r="B14" i="168"/>
  <c r="B43" i="168" s="1"/>
  <c r="E9" i="168"/>
  <c r="J8" i="168"/>
  <c r="I8" i="168"/>
  <c r="H8" i="168"/>
  <c r="G8" i="168"/>
  <c r="F8" i="168"/>
  <c r="E8" i="168"/>
  <c r="D8" i="168"/>
  <c r="C8" i="168"/>
  <c r="B8" i="168"/>
  <c r="E7" i="168"/>
  <c r="J6" i="168"/>
  <c r="I6" i="168"/>
  <c r="H6" i="168"/>
  <c r="G6" i="168"/>
  <c r="F6" i="168"/>
  <c r="E6" i="168"/>
  <c r="D6" i="168"/>
  <c r="C6" i="168"/>
  <c r="B6" i="168"/>
  <c r="E5" i="168"/>
  <c r="J4" i="168"/>
  <c r="J10" i="168" s="1"/>
  <c r="I4" i="168"/>
  <c r="I10" i="168" s="1"/>
  <c r="I9" i="168" s="1"/>
  <c r="H4" i="168"/>
  <c r="H10" i="168" s="1"/>
  <c r="G4" i="168"/>
  <c r="F4" i="168"/>
  <c r="F10" i="168" s="1"/>
  <c r="E4" i="168"/>
  <c r="E10" i="168" s="1"/>
  <c r="D4" i="168"/>
  <c r="D10" i="168" s="1"/>
  <c r="C4" i="168"/>
  <c r="B4" i="168"/>
  <c r="B10" i="168" s="1"/>
  <c r="J14" i="167"/>
  <c r="I14" i="167"/>
  <c r="H14" i="167"/>
  <c r="G14" i="167"/>
  <c r="F14" i="167"/>
  <c r="E14" i="167"/>
  <c r="D14" i="167"/>
  <c r="C14" i="167"/>
  <c r="B14" i="167"/>
  <c r="J12" i="167"/>
  <c r="I12" i="167"/>
  <c r="H12" i="167"/>
  <c r="G12" i="167"/>
  <c r="F12" i="167"/>
  <c r="E12" i="167"/>
  <c r="D12" i="167"/>
  <c r="C12" i="167"/>
  <c r="K12" i="167" s="1"/>
  <c r="B12" i="167"/>
  <c r="J10" i="167"/>
  <c r="I10" i="167"/>
  <c r="H10" i="167"/>
  <c r="G10" i="167"/>
  <c r="F10" i="167"/>
  <c r="E10" i="167"/>
  <c r="D10" i="167"/>
  <c r="C10" i="167"/>
  <c r="B10" i="167"/>
  <c r="J8" i="167"/>
  <c r="I8" i="167"/>
  <c r="H8" i="167"/>
  <c r="G8" i="167"/>
  <c r="F8" i="167"/>
  <c r="E8" i="167"/>
  <c r="D8" i="167"/>
  <c r="C8" i="167"/>
  <c r="B8" i="167"/>
  <c r="J6" i="167"/>
  <c r="I6" i="167"/>
  <c r="H6" i="167"/>
  <c r="G6" i="167"/>
  <c r="F6" i="167"/>
  <c r="E6" i="167"/>
  <c r="D6" i="167"/>
  <c r="C6" i="167"/>
  <c r="K6" i="167" s="1"/>
  <c r="B6" i="167"/>
  <c r="J4" i="167"/>
  <c r="J16" i="167" s="1"/>
  <c r="I4" i="167"/>
  <c r="H4" i="167"/>
  <c r="G4" i="167"/>
  <c r="F4" i="167"/>
  <c r="F16" i="167" s="1"/>
  <c r="E4" i="167"/>
  <c r="D4" i="167"/>
  <c r="C4" i="167"/>
  <c r="B4" i="167"/>
  <c r="B16" i="167" s="1"/>
  <c r="J34" i="166"/>
  <c r="J44" i="166" s="1"/>
  <c r="I34" i="166"/>
  <c r="H34" i="166"/>
  <c r="G34" i="166"/>
  <c r="F34" i="166"/>
  <c r="E34" i="166"/>
  <c r="D34" i="166"/>
  <c r="C34" i="166"/>
  <c r="B34" i="166"/>
  <c r="J32" i="166"/>
  <c r="I32" i="166"/>
  <c r="I44" i="166" s="1"/>
  <c r="H32" i="166"/>
  <c r="G32" i="166"/>
  <c r="G44" i="166" s="1"/>
  <c r="F32" i="166"/>
  <c r="E32" i="166"/>
  <c r="E44" i="166" s="1"/>
  <c r="D32" i="166"/>
  <c r="C32" i="166"/>
  <c r="B32" i="166"/>
  <c r="B44" i="166" s="1"/>
  <c r="J30" i="166"/>
  <c r="I30" i="166"/>
  <c r="H30" i="166"/>
  <c r="G30" i="166"/>
  <c r="F30" i="166"/>
  <c r="E30" i="166"/>
  <c r="D30" i="166"/>
  <c r="C30" i="166"/>
  <c r="B30" i="166"/>
  <c r="J28" i="166"/>
  <c r="I28" i="166"/>
  <c r="H28" i="166"/>
  <c r="G28" i="166"/>
  <c r="F28" i="166"/>
  <c r="E28" i="166"/>
  <c r="D28" i="166"/>
  <c r="C28" i="166"/>
  <c r="B28" i="166"/>
  <c r="J26" i="166"/>
  <c r="I26" i="166"/>
  <c r="H26" i="166"/>
  <c r="G26" i="166"/>
  <c r="F26" i="166"/>
  <c r="E26" i="166"/>
  <c r="D26" i="166"/>
  <c r="C26" i="166"/>
  <c r="B26" i="166"/>
  <c r="J24" i="166"/>
  <c r="I24" i="166"/>
  <c r="H24" i="166"/>
  <c r="G24" i="166"/>
  <c r="F24" i="166"/>
  <c r="E24" i="166"/>
  <c r="D24" i="166"/>
  <c r="C24" i="166"/>
  <c r="B24" i="166"/>
  <c r="J22" i="166"/>
  <c r="I22" i="166"/>
  <c r="I42" i="166" s="1"/>
  <c r="H22" i="166"/>
  <c r="G22" i="166"/>
  <c r="F22" i="166"/>
  <c r="E22" i="166"/>
  <c r="E42" i="166" s="1"/>
  <c r="D22" i="166"/>
  <c r="C22" i="166"/>
  <c r="B22" i="166"/>
  <c r="J20" i="166"/>
  <c r="I20" i="166"/>
  <c r="H20" i="166"/>
  <c r="G20" i="166"/>
  <c r="F20" i="166"/>
  <c r="E20" i="166"/>
  <c r="D20" i="166"/>
  <c r="C20" i="166"/>
  <c r="B20" i="166"/>
  <c r="J18" i="166"/>
  <c r="I18" i="166"/>
  <c r="H18" i="166"/>
  <c r="G18" i="166"/>
  <c r="F18" i="166"/>
  <c r="E18" i="166"/>
  <c r="D18" i="166"/>
  <c r="C18" i="166"/>
  <c r="B18" i="166"/>
  <c r="J16" i="166"/>
  <c r="I16" i="166"/>
  <c r="H16" i="166"/>
  <c r="G16" i="166"/>
  <c r="F16" i="166"/>
  <c r="E16" i="166"/>
  <c r="D16" i="166"/>
  <c r="C16" i="166"/>
  <c r="B16" i="166"/>
  <c r="J14" i="166"/>
  <c r="I14" i="166"/>
  <c r="H14" i="166"/>
  <c r="G14" i="166"/>
  <c r="F14" i="166"/>
  <c r="E14" i="166"/>
  <c r="D14" i="166"/>
  <c r="C14" i="166"/>
  <c r="B14" i="166"/>
  <c r="J12" i="166"/>
  <c r="I12" i="166"/>
  <c r="H12" i="166"/>
  <c r="G12" i="166"/>
  <c r="F12" i="166"/>
  <c r="E12" i="166"/>
  <c r="D12" i="166"/>
  <c r="C12" i="166"/>
  <c r="B12" i="166"/>
  <c r="J10" i="166"/>
  <c r="I10" i="166"/>
  <c r="H10" i="166"/>
  <c r="G10" i="166"/>
  <c r="F10" i="166"/>
  <c r="E10" i="166"/>
  <c r="D10" i="166"/>
  <c r="C10" i="166"/>
  <c r="B10" i="166"/>
  <c r="J8" i="166"/>
  <c r="I8" i="166"/>
  <c r="H8" i="166"/>
  <c r="G8" i="166"/>
  <c r="F8" i="166"/>
  <c r="E8" i="166"/>
  <c r="D8" i="166"/>
  <c r="C8" i="166"/>
  <c r="B8" i="166"/>
  <c r="J6" i="166"/>
  <c r="I6" i="166"/>
  <c r="H6" i="166"/>
  <c r="G6" i="166"/>
  <c r="F6" i="166"/>
  <c r="E6" i="166"/>
  <c r="D6" i="166"/>
  <c r="C6" i="166"/>
  <c r="B6" i="166"/>
  <c r="J4" i="166"/>
  <c r="I4" i="166"/>
  <c r="H4" i="166"/>
  <c r="G4" i="166"/>
  <c r="F4" i="166"/>
  <c r="F38" i="166" s="1"/>
  <c r="E4" i="166"/>
  <c r="D4" i="166"/>
  <c r="C4" i="166"/>
  <c r="B4" i="166"/>
  <c r="J32" i="165"/>
  <c r="I32" i="165"/>
  <c r="H32" i="165"/>
  <c r="G32" i="165"/>
  <c r="F32" i="165"/>
  <c r="E32" i="165"/>
  <c r="D32" i="165"/>
  <c r="C32" i="165"/>
  <c r="B32" i="165"/>
  <c r="J30" i="165"/>
  <c r="I30" i="165"/>
  <c r="H30" i="165"/>
  <c r="G30" i="165"/>
  <c r="F30" i="165"/>
  <c r="E30" i="165"/>
  <c r="D30" i="165"/>
  <c r="C30" i="165"/>
  <c r="B30" i="165"/>
  <c r="J28" i="165"/>
  <c r="I28" i="165"/>
  <c r="H28" i="165"/>
  <c r="G28" i="165"/>
  <c r="F28" i="165"/>
  <c r="E28" i="165"/>
  <c r="D28" i="165"/>
  <c r="C28" i="165"/>
  <c r="B28" i="165"/>
  <c r="J26" i="165"/>
  <c r="I26" i="165"/>
  <c r="H26" i="165"/>
  <c r="G26" i="165"/>
  <c r="F26" i="165"/>
  <c r="E26" i="165"/>
  <c r="D26" i="165"/>
  <c r="C26" i="165"/>
  <c r="B26" i="165"/>
  <c r="J24" i="165"/>
  <c r="I24" i="165"/>
  <c r="H24" i="165"/>
  <c r="G24" i="165"/>
  <c r="F24" i="165"/>
  <c r="E24" i="165"/>
  <c r="D24" i="165"/>
  <c r="C24" i="165"/>
  <c r="B24" i="165"/>
  <c r="J22" i="165"/>
  <c r="I22" i="165"/>
  <c r="H22" i="165"/>
  <c r="G22" i="165"/>
  <c r="F22" i="165"/>
  <c r="E22" i="165"/>
  <c r="D22" i="165"/>
  <c r="C22" i="165"/>
  <c r="B22" i="165"/>
  <c r="J20" i="165"/>
  <c r="I20" i="165"/>
  <c r="H20" i="165"/>
  <c r="G20" i="165"/>
  <c r="F20" i="165"/>
  <c r="E20" i="165"/>
  <c r="D20" i="165"/>
  <c r="C20" i="165"/>
  <c r="B20" i="165"/>
  <c r="J18" i="165"/>
  <c r="I18" i="165"/>
  <c r="H18" i="165"/>
  <c r="G18" i="165"/>
  <c r="F18" i="165"/>
  <c r="E18" i="165"/>
  <c r="D18" i="165"/>
  <c r="C18" i="165"/>
  <c r="B18" i="165"/>
  <c r="J16" i="165"/>
  <c r="I16" i="165"/>
  <c r="H16" i="165"/>
  <c r="G16" i="165"/>
  <c r="F16" i="165"/>
  <c r="E16" i="165"/>
  <c r="D16" i="165"/>
  <c r="C16" i="165"/>
  <c r="B16" i="165"/>
  <c r="J14" i="165"/>
  <c r="I14" i="165"/>
  <c r="H14" i="165"/>
  <c r="G14" i="165"/>
  <c r="F14" i="165"/>
  <c r="E14" i="165"/>
  <c r="D14" i="165"/>
  <c r="C14" i="165"/>
  <c r="B14" i="165"/>
  <c r="J12" i="165"/>
  <c r="I12" i="165"/>
  <c r="H12" i="165"/>
  <c r="G12" i="165"/>
  <c r="F12" i="165"/>
  <c r="E12" i="165"/>
  <c r="D12" i="165"/>
  <c r="C12" i="165"/>
  <c r="B12" i="165"/>
  <c r="J10" i="165"/>
  <c r="I10" i="165"/>
  <c r="H10" i="165"/>
  <c r="G10" i="165"/>
  <c r="F10" i="165"/>
  <c r="E10" i="165"/>
  <c r="D10" i="165"/>
  <c r="C10" i="165"/>
  <c r="B10" i="165"/>
  <c r="J8" i="165"/>
  <c r="I8" i="165"/>
  <c r="H8" i="165"/>
  <c r="G8" i="165"/>
  <c r="F8" i="165"/>
  <c r="E8" i="165"/>
  <c r="D8" i="165"/>
  <c r="C8" i="165"/>
  <c r="B8" i="165"/>
  <c r="J6" i="165"/>
  <c r="I6" i="165"/>
  <c r="H6" i="165"/>
  <c r="G6" i="165"/>
  <c r="G34" i="165" s="1"/>
  <c r="F6" i="165"/>
  <c r="E6" i="165"/>
  <c r="D6" i="165"/>
  <c r="C6" i="165"/>
  <c r="C34" i="165" s="1"/>
  <c r="B6" i="165"/>
  <c r="D4" i="165"/>
  <c r="C4" i="165"/>
  <c r="J12" i="164"/>
  <c r="I12" i="164"/>
  <c r="H12" i="164"/>
  <c r="G12" i="164"/>
  <c r="F12" i="164"/>
  <c r="E12" i="164"/>
  <c r="D12" i="164"/>
  <c r="C12" i="164"/>
  <c r="K12" i="164" s="1"/>
  <c r="B12" i="164"/>
  <c r="J10" i="164"/>
  <c r="I10" i="164"/>
  <c r="H10" i="164"/>
  <c r="G10" i="164"/>
  <c r="F10" i="164"/>
  <c r="E10" i="164"/>
  <c r="D10" i="164"/>
  <c r="C10" i="164"/>
  <c r="B10" i="164"/>
  <c r="J8" i="164"/>
  <c r="I8" i="164"/>
  <c r="H8" i="164"/>
  <c r="G8" i="164"/>
  <c r="F8" i="164"/>
  <c r="E8" i="164"/>
  <c r="D8" i="164"/>
  <c r="C8" i="164"/>
  <c r="B8" i="164"/>
  <c r="J6" i="164"/>
  <c r="I6" i="164"/>
  <c r="H6" i="164"/>
  <c r="G6" i="164"/>
  <c r="F6" i="164"/>
  <c r="E6" i="164"/>
  <c r="D6" i="164"/>
  <c r="C6" i="164"/>
  <c r="B6" i="164"/>
  <c r="J4" i="164"/>
  <c r="I4" i="164"/>
  <c r="H4" i="164"/>
  <c r="H14" i="164" s="1"/>
  <c r="G4" i="164"/>
  <c r="F4" i="164"/>
  <c r="E4" i="164"/>
  <c r="D4" i="164"/>
  <c r="C4" i="164"/>
  <c r="B4" i="164"/>
  <c r="J26" i="163"/>
  <c r="I26" i="163"/>
  <c r="H26" i="163"/>
  <c r="G26" i="163"/>
  <c r="F26" i="163"/>
  <c r="E26" i="163"/>
  <c r="D26" i="163"/>
  <c r="C26" i="163"/>
  <c r="K26" i="163" s="1"/>
  <c r="B26" i="163"/>
  <c r="J20" i="163"/>
  <c r="I20" i="163"/>
  <c r="H20" i="163"/>
  <c r="G20" i="163"/>
  <c r="F20" i="163"/>
  <c r="E20" i="163"/>
  <c r="D20" i="163"/>
  <c r="C20" i="163"/>
  <c r="B20" i="163"/>
  <c r="J18" i="163"/>
  <c r="I18" i="163"/>
  <c r="H18" i="163"/>
  <c r="G18" i="163"/>
  <c r="F18" i="163"/>
  <c r="E18" i="163"/>
  <c r="D18" i="163"/>
  <c r="C18" i="163"/>
  <c r="B18" i="163"/>
  <c r="J16" i="163"/>
  <c r="I16" i="163"/>
  <c r="H16" i="163"/>
  <c r="G16" i="163"/>
  <c r="F16" i="163"/>
  <c r="E16" i="163"/>
  <c r="D16" i="163"/>
  <c r="C16" i="163"/>
  <c r="B16" i="163"/>
  <c r="J14" i="163"/>
  <c r="I14" i="163"/>
  <c r="H14" i="163"/>
  <c r="G14" i="163"/>
  <c r="F14" i="163"/>
  <c r="E14" i="163"/>
  <c r="D14" i="163"/>
  <c r="C14" i="163"/>
  <c r="B14" i="163"/>
  <c r="J12" i="163"/>
  <c r="I12" i="163"/>
  <c r="H12" i="163"/>
  <c r="G12" i="163"/>
  <c r="F12" i="163"/>
  <c r="E12" i="163"/>
  <c r="D12" i="163"/>
  <c r="C12" i="163"/>
  <c r="B12" i="163"/>
  <c r="J10" i="163"/>
  <c r="I10" i="163"/>
  <c r="H10" i="163"/>
  <c r="G10" i="163"/>
  <c r="F10" i="163"/>
  <c r="E10" i="163"/>
  <c r="D10" i="163"/>
  <c r="C10" i="163"/>
  <c r="B10" i="163"/>
  <c r="J8" i="163"/>
  <c r="I8" i="163"/>
  <c r="H8" i="163"/>
  <c r="G8" i="163"/>
  <c r="F8" i="163"/>
  <c r="E8" i="163"/>
  <c r="D8" i="163"/>
  <c r="C8" i="163"/>
  <c r="B8" i="163"/>
  <c r="J6" i="163"/>
  <c r="I6" i="163"/>
  <c r="H6" i="163"/>
  <c r="G6" i="163"/>
  <c r="F6" i="163"/>
  <c r="E6" i="163"/>
  <c r="D6" i="163"/>
  <c r="C6" i="163"/>
  <c r="B6" i="163"/>
  <c r="J4" i="163"/>
  <c r="I4" i="163"/>
  <c r="H4" i="163"/>
  <c r="G4" i="163"/>
  <c r="F4" i="163"/>
  <c r="E4" i="163"/>
  <c r="D4" i="163"/>
  <c r="C4" i="163"/>
  <c r="B4" i="163"/>
  <c r="I59" i="162"/>
  <c r="H59" i="162"/>
  <c r="I58" i="162"/>
  <c r="H58" i="162"/>
  <c r="G58" i="162"/>
  <c r="F58" i="162"/>
  <c r="F59" i="162" s="1"/>
  <c r="E58" i="162"/>
  <c r="E59" i="162" s="1"/>
  <c r="D58" i="162"/>
  <c r="D59" i="162" s="1"/>
  <c r="C58" i="162"/>
  <c r="B58" i="162"/>
  <c r="B59" i="162" s="1"/>
  <c r="I56" i="162"/>
  <c r="H56" i="162"/>
  <c r="H57" i="162" s="1"/>
  <c r="G56" i="162"/>
  <c r="G57" i="162" s="1"/>
  <c r="F56" i="162"/>
  <c r="E56" i="162"/>
  <c r="D56" i="162"/>
  <c r="D57" i="162" s="1"/>
  <c r="C56" i="162"/>
  <c r="C57" i="162" s="1"/>
  <c r="B56" i="162"/>
  <c r="D55" i="162"/>
  <c r="I54" i="162"/>
  <c r="I55" i="162" s="1"/>
  <c r="H54" i="162"/>
  <c r="H55" i="162" s="1"/>
  <c r="G54" i="162"/>
  <c r="G55" i="162" s="1"/>
  <c r="F54" i="162"/>
  <c r="F55" i="162" s="1"/>
  <c r="E54" i="162"/>
  <c r="E55" i="162" s="1"/>
  <c r="D54" i="162"/>
  <c r="C54" i="162"/>
  <c r="C55" i="162" s="1"/>
  <c r="B54" i="162"/>
  <c r="I52" i="162"/>
  <c r="H52" i="162"/>
  <c r="H53" i="162" s="1"/>
  <c r="G52" i="162"/>
  <c r="G53" i="162" s="1"/>
  <c r="F52" i="162"/>
  <c r="E52" i="162"/>
  <c r="D52" i="162"/>
  <c r="D53" i="162" s="1"/>
  <c r="C52" i="162"/>
  <c r="C53" i="162" s="1"/>
  <c r="B52" i="162"/>
  <c r="H51" i="162"/>
  <c r="I50" i="162"/>
  <c r="H50" i="162"/>
  <c r="G50" i="162"/>
  <c r="F50" i="162"/>
  <c r="F51" i="162" s="1"/>
  <c r="E50" i="162"/>
  <c r="E51" i="162" s="1"/>
  <c r="D50" i="162"/>
  <c r="D51" i="162" s="1"/>
  <c r="C50" i="162"/>
  <c r="B50" i="162"/>
  <c r="I48" i="162"/>
  <c r="I49" i="162" s="1"/>
  <c r="H48" i="162"/>
  <c r="H49" i="162" s="1"/>
  <c r="G48" i="162"/>
  <c r="G49" i="162" s="1"/>
  <c r="F48" i="162"/>
  <c r="F49" i="162" s="1"/>
  <c r="E48" i="162"/>
  <c r="E49" i="162" s="1"/>
  <c r="D48" i="162"/>
  <c r="D49" i="162" s="1"/>
  <c r="C48" i="162"/>
  <c r="C49" i="162" s="1"/>
  <c r="B48" i="162"/>
  <c r="H47" i="162"/>
  <c r="I46" i="162"/>
  <c r="I47" i="162" s="1"/>
  <c r="H46" i="162"/>
  <c r="G46" i="162"/>
  <c r="F46" i="162"/>
  <c r="F47" i="162" s="1"/>
  <c r="E46" i="162"/>
  <c r="E47" i="162" s="1"/>
  <c r="D46" i="162"/>
  <c r="D47" i="162" s="1"/>
  <c r="C46" i="162"/>
  <c r="B46" i="162"/>
  <c r="B47" i="162" s="1"/>
  <c r="I44" i="162"/>
  <c r="H44" i="162"/>
  <c r="H45" i="162" s="1"/>
  <c r="G44" i="162"/>
  <c r="F44" i="162"/>
  <c r="E44" i="162"/>
  <c r="D44" i="162"/>
  <c r="D45" i="162" s="1"/>
  <c r="C44" i="162"/>
  <c r="C45" i="162" s="1"/>
  <c r="B44" i="162"/>
  <c r="H43" i="162"/>
  <c r="D43" i="162"/>
  <c r="I42" i="162"/>
  <c r="I43" i="162" s="1"/>
  <c r="H42" i="162"/>
  <c r="G42" i="162"/>
  <c r="F42" i="162"/>
  <c r="F43" i="162" s="1"/>
  <c r="E42" i="162"/>
  <c r="E43" i="162" s="1"/>
  <c r="D42" i="162"/>
  <c r="C42" i="162"/>
  <c r="B42" i="162"/>
  <c r="B43" i="162" s="1"/>
  <c r="I40" i="162"/>
  <c r="H40" i="162"/>
  <c r="H41" i="162" s="1"/>
  <c r="G40" i="162"/>
  <c r="G41" i="162" s="1"/>
  <c r="F40" i="162"/>
  <c r="E40" i="162"/>
  <c r="D40" i="162"/>
  <c r="D41" i="162" s="1"/>
  <c r="C40" i="162"/>
  <c r="C41" i="162" s="1"/>
  <c r="B40" i="162"/>
  <c r="D39" i="162"/>
  <c r="I38" i="162"/>
  <c r="I39" i="162" s="1"/>
  <c r="H38" i="162"/>
  <c r="H39" i="162" s="1"/>
  <c r="G38" i="162"/>
  <c r="G39" i="162" s="1"/>
  <c r="F38" i="162"/>
  <c r="F39" i="162" s="1"/>
  <c r="E38" i="162"/>
  <c r="E39" i="162" s="1"/>
  <c r="D38" i="162"/>
  <c r="C38" i="162"/>
  <c r="C39" i="162" s="1"/>
  <c r="B38" i="162"/>
  <c r="J38" i="162" s="1"/>
  <c r="I36" i="162"/>
  <c r="H36" i="162"/>
  <c r="H37" i="162" s="1"/>
  <c r="G36" i="162"/>
  <c r="G37" i="162" s="1"/>
  <c r="F36" i="162"/>
  <c r="E36" i="162"/>
  <c r="D36" i="162"/>
  <c r="D37" i="162" s="1"/>
  <c r="C36" i="162"/>
  <c r="C37" i="162" s="1"/>
  <c r="B36" i="162"/>
  <c r="H35" i="162"/>
  <c r="D35" i="162"/>
  <c r="I34" i="162"/>
  <c r="H34" i="162"/>
  <c r="G34" i="162"/>
  <c r="G35" i="162" s="1"/>
  <c r="F34" i="162"/>
  <c r="F35" i="162" s="1"/>
  <c r="E34" i="162"/>
  <c r="E35" i="162" s="1"/>
  <c r="D34" i="162"/>
  <c r="C34" i="162"/>
  <c r="C35" i="162" s="1"/>
  <c r="B34" i="162"/>
  <c r="B35" i="162" s="1"/>
  <c r="I32" i="162"/>
  <c r="I33" i="162" s="1"/>
  <c r="H32" i="162"/>
  <c r="H33" i="162" s="1"/>
  <c r="G32" i="162"/>
  <c r="G33" i="162" s="1"/>
  <c r="F32" i="162"/>
  <c r="F33" i="162" s="1"/>
  <c r="E32" i="162"/>
  <c r="E33" i="162" s="1"/>
  <c r="D32" i="162"/>
  <c r="D33" i="162" s="1"/>
  <c r="C32" i="162"/>
  <c r="C33" i="162" s="1"/>
  <c r="B32" i="162"/>
  <c r="H31" i="162"/>
  <c r="I30" i="162"/>
  <c r="I31" i="162" s="1"/>
  <c r="H30" i="162"/>
  <c r="G30" i="162"/>
  <c r="G31" i="162" s="1"/>
  <c r="F30" i="162"/>
  <c r="F31" i="162" s="1"/>
  <c r="E30" i="162"/>
  <c r="E31" i="162" s="1"/>
  <c r="D30" i="162"/>
  <c r="D31" i="162" s="1"/>
  <c r="C30" i="162"/>
  <c r="C31" i="162" s="1"/>
  <c r="B30" i="162"/>
  <c r="B31" i="162" s="1"/>
  <c r="I28" i="162"/>
  <c r="H28" i="162"/>
  <c r="H29" i="162" s="1"/>
  <c r="G28" i="162"/>
  <c r="G29" i="162" s="1"/>
  <c r="F28" i="162"/>
  <c r="E28" i="162"/>
  <c r="D28" i="162"/>
  <c r="D29" i="162" s="1"/>
  <c r="C28" i="162"/>
  <c r="C29" i="162" s="1"/>
  <c r="B28" i="162"/>
  <c r="I27" i="162"/>
  <c r="H27" i="162"/>
  <c r="I26" i="162"/>
  <c r="H26" i="162"/>
  <c r="G26" i="162"/>
  <c r="F26" i="162"/>
  <c r="F27" i="162" s="1"/>
  <c r="E26" i="162"/>
  <c r="E27" i="162" s="1"/>
  <c r="D26" i="162"/>
  <c r="D27" i="162" s="1"/>
  <c r="C26" i="162"/>
  <c r="B26" i="162"/>
  <c r="B27" i="162" s="1"/>
  <c r="I24" i="162"/>
  <c r="H24" i="162"/>
  <c r="H25" i="162" s="1"/>
  <c r="G24" i="162"/>
  <c r="G25" i="162" s="1"/>
  <c r="F24" i="162"/>
  <c r="E24" i="162"/>
  <c r="D24" i="162"/>
  <c r="D25" i="162" s="1"/>
  <c r="C24" i="162"/>
  <c r="C25" i="162" s="1"/>
  <c r="B24" i="162"/>
  <c r="G18" i="162"/>
  <c r="F18" i="162"/>
  <c r="F17" i="162" s="1"/>
  <c r="C18" i="162"/>
  <c r="G17" i="162"/>
  <c r="I16" i="162"/>
  <c r="H16" i="162"/>
  <c r="H17" i="162" s="1"/>
  <c r="G16" i="162"/>
  <c r="F16" i="162"/>
  <c r="E16" i="162"/>
  <c r="D16" i="162"/>
  <c r="D17" i="162" s="1"/>
  <c r="C16" i="162"/>
  <c r="C17" i="162" s="1"/>
  <c r="B16" i="162"/>
  <c r="I14" i="162"/>
  <c r="I51" i="162" s="1"/>
  <c r="H14" i="162"/>
  <c r="H18" i="162" s="1"/>
  <c r="H15" i="162" s="1"/>
  <c r="H19" i="162" s="1"/>
  <c r="G14" i="162"/>
  <c r="F14" i="162"/>
  <c r="E14" i="162"/>
  <c r="E18" i="162" s="1"/>
  <c r="D14" i="162"/>
  <c r="D18" i="162" s="1"/>
  <c r="D15" i="162" s="1"/>
  <c r="D19" i="162" s="1"/>
  <c r="C14" i="162"/>
  <c r="B14" i="162"/>
  <c r="B57" i="162" s="1"/>
  <c r="I8" i="162"/>
  <c r="H8" i="162"/>
  <c r="G8" i="162"/>
  <c r="F8" i="162"/>
  <c r="E8" i="162"/>
  <c r="D8" i="162"/>
  <c r="C8" i="162"/>
  <c r="B8" i="162"/>
  <c r="J8" i="162" s="1"/>
  <c r="I6" i="162"/>
  <c r="I10" i="162" s="1"/>
  <c r="H6" i="162"/>
  <c r="G6" i="162"/>
  <c r="F6" i="162"/>
  <c r="E6" i="162"/>
  <c r="E10" i="162" s="1"/>
  <c r="D6" i="162"/>
  <c r="C6" i="162"/>
  <c r="B6" i="162"/>
  <c r="I4" i="162"/>
  <c r="I5" i="162" s="1"/>
  <c r="H4" i="162"/>
  <c r="H10" i="162" s="1"/>
  <c r="H7" i="162" s="1"/>
  <c r="G4" i="162"/>
  <c r="G10" i="162" s="1"/>
  <c r="F4" i="162"/>
  <c r="E4" i="162"/>
  <c r="E5" i="162" s="1"/>
  <c r="D4" i="162"/>
  <c r="D10" i="162" s="1"/>
  <c r="D7" i="162" s="1"/>
  <c r="C4" i="162"/>
  <c r="C10" i="162" s="1"/>
  <c r="B4" i="162"/>
  <c r="J4" i="162" s="1"/>
  <c r="I14" i="161"/>
  <c r="H14" i="161"/>
  <c r="G14" i="161"/>
  <c r="F14" i="161"/>
  <c r="E14" i="161"/>
  <c r="D14" i="161"/>
  <c r="C14" i="161"/>
  <c r="B14" i="161"/>
  <c r="I12" i="161"/>
  <c r="H12" i="161"/>
  <c r="G12" i="161"/>
  <c r="F12" i="161"/>
  <c r="E12" i="161"/>
  <c r="D12" i="161"/>
  <c r="C12" i="161"/>
  <c r="B12" i="161"/>
  <c r="I10" i="161"/>
  <c r="H10" i="161"/>
  <c r="G10" i="161"/>
  <c r="F10" i="161"/>
  <c r="E10" i="161"/>
  <c r="D10" i="161"/>
  <c r="C10" i="161"/>
  <c r="B10" i="161"/>
  <c r="I8" i="161"/>
  <c r="H8" i="161"/>
  <c r="G8" i="161"/>
  <c r="F8" i="161"/>
  <c r="E8" i="161"/>
  <c r="D8" i="161"/>
  <c r="C8" i="161"/>
  <c r="B8" i="161"/>
  <c r="I6" i="161"/>
  <c r="H6" i="161"/>
  <c r="G6" i="161"/>
  <c r="F6" i="161"/>
  <c r="E6" i="161"/>
  <c r="D6" i="161"/>
  <c r="C6" i="161"/>
  <c r="B6" i="161"/>
  <c r="I4" i="161"/>
  <c r="I16" i="161" s="1"/>
  <c r="H4" i="161"/>
  <c r="H16" i="161" s="1"/>
  <c r="G4" i="161"/>
  <c r="F4" i="161"/>
  <c r="E4" i="161"/>
  <c r="D4" i="161"/>
  <c r="D16" i="161" s="1"/>
  <c r="C4" i="161"/>
  <c r="B4" i="161"/>
  <c r="I34" i="160"/>
  <c r="H34" i="160"/>
  <c r="G34" i="160"/>
  <c r="F34" i="160"/>
  <c r="E34" i="160"/>
  <c r="D34" i="160"/>
  <c r="C34" i="160"/>
  <c r="B34" i="160"/>
  <c r="I32" i="160"/>
  <c r="H32" i="160"/>
  <c r="G32" i="160"/>
  <c r="G44" i="160" s="1"/>
  <c r="F32" i="160"/>
  <c r="F44" i="160" s="1"/>
  <c r="E32" i="160"/>
  <c r="D32" i="160"/>
  <c r="C32" i="160"/>
  <c r="C44" i="160" s="1"/>
  <c r="B32" i="160"/>
  <c r="B44" i="160" s="1"/>
  <c r="I30" i="160"/>
  <c r="H30" i="160"/>
  <c r="G30" i="160"/>
  <c r="F30" i="160"/>
  <c r="E30" i="160"/>
  <c r="D30" i="160"/>
  <c r="C30" i="160"/>
  <c r="B30" i="160"/>
  <c r="I28" i="160"/>
  <c r="H28" i="160"/>
  <c r="G28" i="160"/>
  <c r="F28" i="160"/>
  <c r="E28" i="160"/>
  <c r="D28" i="160"/>
  <c r="C28" i="160"/>
  <c r="B28" i="160"/>
  <c r="I26" i="160"/>
  <c r="H26" i="160"/>
  <c r="G26" i="160"/>
  <c r="F26" i="160"/>
  <c r="E26" i="160"/>
  <c r="D26" i="160"/>
  <c r="C26" i="160"/>
  <c r="B26" i="160"/>
  <c r="I24" i="160"/>
  <c r="H24" i="160"/>
  <c r="G24" i="160"/>
  <c r="F24" i="160"/>
  <c r="E24" i="160"/>
  <c r="D24" i="160"/>
  <c r="C24" i="160"/>
  <c r="B24" i="160"/>
  <c r="I22" i="160"/>
  <c r="H22" i="160"/>
  <c r="H42" i="160" s="1"/>
  <c r="G22" i="160"/>
  <c r="F22" i="160"/>
  <c r="E22" i="160"/>
  <c r="D22" i="160"/>
  <c r="D42" i="160" s="1"/>
  <c r="C22" i="160"/>
  <c r="B22" i="160"/>
  <c r="I20" i="160"/>
  <c r="H20" i="160"/>
  <c r="G20" i="160"/>
  <c r="F20" i="160"/>
  <c r="E20" i="160"/>
  <c r="D20" i="160"/>
  <c r="C20" i="160"/>
  <c r="B20" i="160"/>
  <c r="I18" i="160"/>
  <c r="H18" i="160"/>
  <c r="G18" i="160"/>
  <c r="F18" i="160"/>
  <c r="E18" i="160"/>
  <c r="D18" i="160"/>
  <c r="C18" i="160"/>
  <c r="B18" i="160"/>
  <c r="I16" i="160"/>
  <c r="H16" i="160"/>
  <c r="G16" i="160"/>
  <c r="F16" i="160"/>
  <c r="E16" i="160"/>
  <c r="D16" i="160"/>
  <c r="C16" i="160"/>
  <c r="B16" i="160"/>
  <c r="I14" i="160"/>
  <c r="H14" i="160"/>
  <c r="G14" i="160"/>
  <c r="F14" i="160"/>
  <c r="E14" i="160"/>
  <c r="D14" i="160"/>
  <c r="C14" i="160"/>
  <c r="B14" i="160"/>
  <c r="I12" i="160"/>
  <c r="I40" i="160" s="1"/>
  <c r="H12" i="160"/>
  <c r="G12" i="160"/>
  <c r="F12" i="160"/>
  <c r="F40" i="160" s="1"/>
  <c r="E12" i="160"/>
  <c r="E40" i="160" s="1"/>
  <c r="D12" i="160"/>
  <c r="C12" i="160"/>
  <c r="C40" i="160" s="1"/>
  <c r="B12" i="160"/>
  <c r="B40" i="160" s="1"/>
  <c r="I10" i="160"/>
  <c r="H10" i="160"/>
  <c r="G10" i="160"/>
  <c r="F10" i="160"/>
  <c r="E10" i="160"/>
  <c r="D10" i="160"/>
  <c r="C10" i="160"/>
  <c r="B10" i="160"/>
  <c r="I8" i="160"/>
  <c r="H8" i="160"/>
  <c r="G8" i="160"/>
  <c r="F8" i="160"/>
  <c r="E8" i="160"/>
  <c r="D8" i="160"/>
  <c r="C8" i="160"/>
  <c r="B8" i="160"/>
  <c r="I6" i="160"/>
  <c r="H6" i="160"/>
  <c r="G6" i="160"/>
  <c r="F6" i="160"/>
  <c r="E6" i="160"/>
  <c r="D6" i="160"/>
  <c r="C6" i="160"/>
  <c r="B6" i="160"/>
  <c r="I4" i="160"/>
  <c r="I36" i="160" s="1"/>
  <c r="H4" i="160"/>
  <c r="H38" i="160" s="1"/>
  <c r="G4" i="160"/>
  <c r="G38" i="160" s="1"/>
  <c r="F4" i="160"/>
  <c r="F36" i="160" s="1"/>
  <c r="E4" i="160"/>
  <c r="E36" i="160" s="1"/>
  <c r="D4" i="160"/>
  <c r="D38" i="160" s="1"/>
  <c r="C4" i="160"/>
  <c r="C38" i="160" s="1"/>
  <c r="B4" i="160"/>
  <c r="B36" i="160" s="1"/>
  <c r="I32" i="159"/>
  <c r="H32" i="159"/>
  <c r="G32" i="159"/>
  <c r="F32" i="159"/>
  <c r="E32" i="159"/>
  <c r="D32" i="159"/>
  <c r="C32" i="159"/>
  <c r="B32" i="159"/>
  <c r="J32" i="159" s="1"/>
  <c r="I30" i="159"/>
  <c r="H30" i="159"/>
  <c r="G30" i="159"/>
  <c r="F30" i="159"/>
  <c r="F31" i="159" s="1"/>
  <c r="E30" i="159"/>
  <c r="D30" i="159"/>
  <c r="C30" i="159"/>
  <c r="B30" i="159"/>
  <c r="I28" i="159"/>
  <c r="H28" i="159"/>
  <c r="G28" i="159"/>
  <c r="F28" i="159"/>
  <c r="E28" i="159"/>
  <c r="D28" i="159"/>
  <c r="C28" i="159"/>
  <c r="B28" i="159"/>
  <c r="J28" i="159" s="1"/>
  <c r="I26" i="159"/>
  <c r="I34" i="159" s="1"/>
  <c r="H26" i="159"/>
  <c r="G26" i="159"/>
  <c r="F26" i="159"/>
  <c r="F27" i="159" s="1"/>
  <c r="E26" i="159"/>
  <c r="D26" i="159"/>
  <c r="C26" i="159"/>
  <c r="B26" i="159"/>
  <c r="I24" i="159"/>
  <c r="I25" i="159" s="1"/>
  <c r="H24" i="159"/>
  <c r="G24" i="159"/>
  <c r="F24" i="159"/>
  <c r="E24" i="159"/>
  <c r="D24" i="159"/>
  <c r="C24" i="159"/>
  <c r="B24" i="159"/>
  <c r="J24" i="159" s="1"/>
  <c r="AD22" i="159"/>
  <c r="AC22" i="159"/>
  <c r="AB22" i="159"/>
  <c r="AA22" i="159"/>
  <c r="Z22" i="159"/>
  <c r="Y22" i="159"/>
  <c r="X22" i="159"/>
  <c r="W22" i="159"/>
  <c r="V22" i="159"/>
  <c r="U22" i="159"/>
  <c r="T22" i="159"/>
  <c r="S22" i="159"/>
  <c r="R22" i="159"/>
  <c r="Q22" i="159"/>
  <c r="P22" i="159"/>
  <c r="O22" i="159"/>
  <c r="N22" i="159"/>
  <c r="M22" i="159"/>
  <c r="I22" i="159"/>
  <c r="H22" i="159"/>
  <c r="G22" i="159"/>
  <c r="F22" i="159"/>
  <c r="E22" i="159"/>
  <c r="D22" i="159"/>
  <c r="C22" i="159"/>
  <c r="B22" i="159"/>
  <c r="AE21" i="159"/>
  <c r="AE20" i="159"/>
  <c r="I20" i="159"/>
  <c r="H20" i="159"/>
  <c r="G20" i="159"/>
  <c r="F20" i="159"/>
  <c r="E20" i="159"/>
  <c r="D20" i="159"/>
  <c r="C20" i="159"/>
  <c r="B20" i="159"/>
  <c r="J20" i="159" s="1"/>
  <c r="AE19" i="159"/>
  <c r="AE18" i="159"/>
  <c r="I18" i="159"/>
  <c r="H18" i="159"/>
  <c r="G18" i="159"/>
  <c r="F18" i="159"/>
  <c r="E18" i="159"/>
  <c r="D18" i="159"/>
  <c r="C18" i="159"/>
  <c r="B18" i="159"/>
  <c r="J18" i="159" s="1"/>
  <c r="AE17" i="159"/>
  <c r="AE16" i="159"/>
  <c r="I16" i="159"/>
  <c r="H16" i="159"/>
  <c r="G16" i="159"/>
  <c r="F16" i="159"/>
  <c r="E16" i="159"/>
  <c r="D16" i="159"/>
  <c r="C16" i="159"/>
  <c r="B16" i="159"/>
  <c r="J16" i="159" s="1"/>
  <c r="AE15" i="159"/>
  <c r="AE14" i="159"/>
  <c r="I14" i="159"/>
  <c r="H14" i="159"/>
  <c r="G14" i="159"/>
  <c r="F14" i="159"/>
  <c r="E14" i="159"/>
  <c r="D14" i="159"/>
  <c r="C14" i="159"/>
  <c r="B14" i="159"/>
  <c r="AE13" i="159"/>
  <c r="AE12" i="159"/>
  <c r="I12" i="159"/>
  <c r="H12" i="159"/>
  <c r="G12" i="159"/>
  <c r="F12" i="159"/>
  <c r="E12" i="159"/>
  <c r="D12" i="159"/>
  <c r="C12" i="159"/>
  <c r="B12" i="159"/>
  <c r="AE11" i="159"/>
  <c r="AE10" i="159"/>
  <c r="I10" i="159"/>
  <c r="H10" i="159"/>
  <c r="G10" i="159"/>
  <c r="F10" i="159"/>
  <c r="E10" i="159"/>
  <c r="D10" i="159"/>
  <c r="C10" i="159"/>
  <c r="B10" i="159"/>
  <c r="AE9" i="159"/>
  <c r="AE8" i="159"/>
  <c r="I8" i="159"/>
  <c r="H8" i="159"/>
  <c r="G8" i="159"/>
  <c r="F8" i="159"/>
  <c r="E8" i="159"/>
  <c r="D8" i="159"/>
  <c r="C8" i="159"/>
  <c r="B8" i="159"/>
  <c r="J8" i="159" s="1"/>
  <c r="AE7" i="159"/>
  <c r="AE6" i="159"/>
  <c r="I6" i="159"/>
  <c r="H6" i="159"/>
  <c r="G6" i="159"/>
  <c r="F6" i="159"/>
  <c r="E6" i="159"/>
  <c r="D6" i="159"/>
  <c r="C6" i="159"/>
  <c r="B6" i="159"/>
  <c r="AE5" i="159"/>
  <c r="AE22" i="159" s="1"/>
  <c r="F5" i="159"/>
  <c r="I4" i="159"/>
  <c r="G4" i="159"/>
  <c r="F4" i="159"/>
  <c r="F34" i="159" s="1"/>
  <c r="F13" i="159" s="1"/>
  <c r="E4" i="159"/>
  <c r="C4" i="159"/>
  <c r="B4" i="159"/>
  <c r="H15" i="158"/>
  <c r="D15" i="158"/>
  <c r="I14" i="158"/>
  <c r="I13" i="158" s="1"/>
  <c r="H14" i="158"/>
  <c r="G14" i="158"/>
  <c r="F14" i="158"/>
  <c r="E14" i="158"/>
  <c r="E13" i="158" s="1"/>
  <c r="D14" i="158"/>
  <c r="C14" i="158"/>
  <c r="B14" i="158"/>
  <c r="J14" i="158" s="1"/>
  <c r="F13" i="158"/>
  <c r="B13" i="158"/>
  <c r="I12" i="158"/>
  <c r="H12" i="158"/>
  <c r="H13" i="158" s="1"/>
  <c r="G12" i="158"/>
  <c r="G13" i="158" s="1"/>
  <c r="F12" i="158"/>
  <c r="E12" i="158"/>
  <c r="D12" i="158"/>
  <c r="D13" i="158" s="1"/>
  <c r="C12" i="158"/>
  <c r="C13" i="158" s="1"/>
  <c r="B12" i="158"/>
  <c r="J12" i="158" s="1"/>
  <c r="J13" i="158" s="1"/>
  <c r="I11" i="158"/>
  <c r="H11" i="158"/>
  <c r="E11" i="158"/>
  <c r="D11" i="158"/>
  <c r="AE10" i="158"/>
  <c r="I10" i="158"/>
  <c r="H10" i="158"/>
  <c r="G10" i="158"/>
  <c r="G11" i="158" s="1"/>
  <c r="F10" i="158"/>
  <c r="F11" i="158" s="1"/>
  <c r="E10" i="158"/>
  <c r="D10" i="158"/>
  <c r="C10" i="158"/>
  <c r="C11" i="158" s="1"/>
  <c r="B10" i="158"/>
  <c r="AE9" i="158"/>
  <c r="I9" i="158"/>
  <c r="H9" i="158"/>
  <c r="E9" i="158"/>
  <c r="D9" i="158"/>
  <c r="AE8" i="158"/>
  <c r="I8" i="158"/>
  <c r="H8" i="158"/>
  <c r="G8" i="158"/>
  <c r="G9" i="158" s="1"/>
  <c r="F8" i="158"/>
  <c r="F9" i="158" s="1"/>
  <c r="E8" i="158"/>
  <c r="D8" i="158"/>
  <c r="C8" i="158"/>
  <c r="C9" i="158" s="1"/>
  <c r="B8" i="158"/>
  <c r="J8" i="158" s="1"/>
  <c r="J9" i="158" s="1"/>
  <c r="AE7" i="158"/>
  <c r="I7" i="158"/>
  <c r="H7" i="158"/>
  <c r="E7" i="158"/>
  <c r="D7" i="158"/>
  <c r="AE6" i="158"/>
  <c r="I6" i="158"/>
  <c r="H6" i="158"/>
  <c r="G6" i="158"/>
  <c r="G7" i="158" s="1"/>
  <c r="F6" i="158"/>
  <c r="F7" i="158" s="1"/>
  <c r="E6" i="158"/>
  <c r="D6" i="158"/>
  <c r="C6" i="158"/>
  <c r="C7" i="158" s="1"/>
  <c r="B6" i="158"/>
  <c r="AE5" i="158"/>
  <c r="I5" i="158"/>
  <c r="I15" i="158" s="1"/>
  <c r="H5" i="158"/>
  <c r="E5" i="158"/>
  <c r="D5" i="158"/>
  <c r="AE4" i="158"/>
  <c r="AE11" i="158" s="1"/>
  <c r="I4" i="158"/>
  <c r="H4" i="158"/>
  <c r="G4" i="158"/>
  <c r="G5" i="158" s="1"/>
  <c r="F4" i="158"/>
  <c r="F5" i="158" s="1"/>
  <c r="F15" i="158" s="1"/>
  <c r="E4" i="158"/>
  <c r="D4" i="158"/>
  <c r="C4" i="158"/>
  <c r="C5" i="158" s="1"/>
  <c r="B4" i="158"/>
  <c r="J4" i="158" s="1"/>
  <c r="J5" i="158" s="1"/>
  <c r="H27" i="157"/>
  <c r="I26" i="157"/>
  <c r="H26" i="157"/>
  <c r="G26" i="157"/>
  <c r="F26" i="157"/>
  <c r="E26" i="157"/>
  <c r="D26" i="157"/>
  <c r="C26" i="157"/>
  <c r="B26" i="157"/>
  <c r="F25" i="157"/>
  <c r="I24" i="157"/>
  <c r="H24" i="157"/>
  <c r="G24" i="157"/>
  <c r="F24" i="157"/>
  <c r="E24" i="157"/>
  <c r="D24" i="157"/>
  <c r="C24" i="157"/>
  <c r="C25" i="157" s="1"/>
  <c r="B24" i="157"/>
  <c r="J24" i="157" s="1"/>
  <c r="I22" i="157"/>
  <c r="I13" i="157" s="1"/>
  <c r="E22" i="157"/>
  <c r="I20" i="157"/>
  <c r="H20" i="157"/>
  <c r="G20" i="157"/>
  <c r="F20" i="157"/>
  <c r="E20" i="157"/>
  <c r="D20" i="157"/>
  <c r="C20" i="157"/>
  <c r="B20" i="157"/>
  <c r="J20" i="157" s="1"/>
  <c r="H19" i="157"/>
  <c r="I18" i="157"/>
  <c r="H18" i="157"/>
  <c r="G18" i="157"/>
  <c r="F18" i="157"/>
  <c r="E18" i="157"/>
  <c r="D18" i="157"/>
  <c r="C18" i="157"/>
  <c r="B18" i="157"/>
  <c r="F17" i="157"/>
  <c r="I16" i="157"/>
  <c r="H16" i="157"/>
  <c r="G16" i="157"/>
  <c r="F16" i="157"/>
  <c r="E16" i="157"/>
  <c r="D16" i="157"/>
  <c r="C16" i="157"/>
  <c r="C17" i="157" s="1"/>
  <c r="B16" i="157"/>
  <c r="J16" i="157" s="1"/>
  <c r="I14" i="157"/>
  <c r="I15" i="157" s="1"/>
  <c r="H14" i="157"/>
  <c r="G14" i="157"/>
  <c r="F14" i="157"/>
  <c r="E14" i="157"/>
  <c r="D14" i="157"/>
  <c r="C14" i="157"/>
  <c r="B14" i="157"/>
  <c r="AD13" i="157"/>
  <c r="AC13" i="157"/>
  <c r="H22" i="157" s="1"/>
  <c r="AB13" i="157"/>
  <c r="AA13" i="157"/>
  <c r="Z13" i="157"/>
  <c r="G22" i="157" s="1"/>
  <c r="Y13" i="157"/>
  <c r="X13" i="157"/>
  <c r="F22" i="157" s="1"/>
  <c r="F21" i="157" s="1"/>
  <c r="W13" i="157"/>
  <c r="V13" i="157"/>
  <c r="U13" i="157"/>
  <c r="T13" i="157"/>
  <c r="S13" i="157"/>
  <c r="R13" i="157"/>
  <c r="D22" i="157" s="1"/>
  <c r="Q13" i="157"/>
  <c r="P13" i="157"/>
  <c r="C22" i="157" s="1"/>
  <c r="O13" i="157"/>
  <c r="N13" i="157"/>
  <c r="M13" i="157"/>
  <c r="AE12" i="157"/>
  <c r="I12" i="157"/>
  <c r="H12" i="157"/>
  <c r="G12" i="157"/>
  <c r="F12" i="157"/>
  <c r="F13" i="157" s="1"/>
  <c r="E12" i="157"/>
  <c r="D12" i="157"/>
  <c r="C12" i="157"/>
  <c r="C13" i="157" s="1"/>
  <c r="B12" i="157"/>
  <c r="J12" i="157" s="1"/>
  <c r="AE11" i="157"/>
  <c r="AE10" i="157"/>
  <c r="I10" i="157"/>
  <c r="H10" i="157"/>
  <c r="G10" i="157"/>
  <c r="F10" i="157"/>
  <c r="F11" i="157" s="1"/>
  <c r="E10" i="157"/>
  <c r="D10" i="157"/>
  <c r="C10" i="157"/>
  <c r="C11" i="157" s="1"/>
  <c r="B10" i="157"/>
  <c r="J10" i="157" s="1"/>
  <c r="AE9" i="157"/>
  <c r="AE8" i="157"/>
  <c r="I8" i="157"/>
  <c r="H8" i="157"/>
  <c r="G8" i="157"/>
  <c r="F8" i="157"/>
  <c r="F9" i="157" s="1"/>
  <c r="E8" i="157"/>
  <c r="D8" i="157"/>
  <c r="C8" i="157"/>
  <c r="C9" i="157" s="1"/>
  <c r="B8" i="157"/>
  <c r="J8" i="157" s="1"/>
  <c r="AE7" i="157"/>
  <c r="AE6" i="157"/>
  <c r="I6" i="157"/>
  <c r="H6" i="157"/>
  <c r="G6" i="157"/>
  <c r="F6" i="157"/>
  <c r="F7" i="157" s="1"/>
  <c r="E6" i="157"/>
  <c r="D6" i="157"/>
  <c r="C6" i="157"/>
  <c r="C7" i="157" s="1"/>
  <c r="B6" i="157"/>
  <c r="J6" i="157" s="1"/>
  <c r="AE5" i="157"/>
  <c r="AE4" i="157"/>
  <c r="I4" i="157"/>
  <c r="H4" i="157"/>
  <c r="G4" i="157"/>
  <c r="F4" i="157"/>
  <c r="F5" i="157" s="1"/>
  <c r="E4" i="157"/>
  <c r="D4" i="157"/>
  <c r="C4" i="157"/>
  <c r="C5" i="157" s="1"/>
  <c r="B4" i="157"/>
  <c r="J4" i="157" s="1"/>
  <c r="K50" i="168" l="1"/>
  <c r="K54" i="168"/>
  <c r="K58" i="168"/>
  <c r="K59" i="168" s="1"/>
  <c r="E41" i="168"/>
  <c r="I37" i="168"/>
  <c r="B9" i="167"/>
  <c r="J9" i="167"/>
  <c r="C16" i="167"/>
  <c r="C9" i="167" s="1"/>
  <c r="K8" i="167"/>
  <c r="B11" i="167"/>
  <c r="F11" i="167"/>
  <c r="J11" i="167"/>
  <c r="F9" i="167"/>
  <c r="D16" i="167"/>
  <c r="D15" i="167" s="1"/>
  <c r="H16" i="167"/>
  <c r="J36" i="166"/>
  <c r="J27" i="166" s="1"/>
  <c r="E40" i="166"/>
  <c r="E41" i="166" s="1"/>
  <c r="I40" i="166"/>
  <c r="I41" i="166" s="1"/>
  <c r="J40" i="166"/>
  <c r="J25" i="166"/>
  <c r="D44" i="166"/>
  <c r="D45" i="166" s="1"/>
  <c r="H34" i="165"/>
  <c r="G4" i="165"/>
  <c r="G5" i="165" s="1"/>
  <c r="I4" i="165"/>
  <c r="D34" i="165"/>
  <c r="H4" i="165"/>
  <c r="H5" i="165" s="1"/>
  <c r="B4" i="165"/>
  <c r="F34" i="165"/>
  <c r="J4" i="165"/>
  <c r="B5" i="164"/>
  <c r="J13" i="164"/>
  <c r="F14" i="164"/>
  <c r="B14" i="164"/>
  <c r="B13" i="164" s="1"/>
  <c r="J14" i="164"/>
  <c r="F5" i="164"/>
  <c r="K8" i="164"/>
  <c r="F15" i="163"/>
  <c r="J15" i="163"/>
  <c r="B11" i="163"/>
  <c r="B13" i="163"/>
  <c r="J13" i="163"/>
  <c r="E22" i="163"/>
  <c r="I22" i="163"/>
  <c r="K8" i="163"/>
  <c r="K16" i="163"/>
  <c r="G22" i="163"/>
  <c r="B22" i="163"/>
  <c r="F22" i="163"/>
  <c r="J22" i="163"/>
  <c r="J24" i="163" s="1"/>
  <c r="J25" i="163" s="1"/>
  <c r="J5" i="163"/>
  <c r="J21" i="163"/>
  <c r="K4" i="163"/>
  <c r="B5" i="163"/>
  <c r="K12" i="163"/>
  <c r="K20" i="163"/>
  <c r="J52" i="162"/>
  <c r="B53" i="162"/>
  <c r="F53" i="162"/>
  <c r="J36" i="162"/>
  <c r="B37" i="162"/>
  <c r="B39" i="162"/>
  <c r="G45" i="162"/>
  <c r="J50" i="162"/>
  <c r="J54" i="162"/>
  <c r="B55" i="162"/>
  <c r="J6" i="161"/>
  <c r="J10" i="161"/>
  <c r="J14" i="161"/>
  <c r="I38" i="160"/>
  <c r="J8" i="160"/>
  <c r="J16" i="160"/>
  <c r="J20" i="160"/>
  <c r="J28" i="160"/>
  <c r="J24" i="160"/>
  <c r="G27" i="157"/>
  <c r="G19" i="157"/>
  <c r="G15" i="157"/>
  <c r="E25" i="157"/>
  <c r="E21" i="157"/>
  <c r="E17" i="157"/>
  <c r="E11" i="157"/>
  <c r="E9" i="157"/>
  <c r="E7" i="157"/>
  <c r="E5" i="157"/>
  <c r="E13" i="157"/>
  <c r="D13" i="157"/>
  <c r="D11" i="157"/>
  <c r="D9" i="157"/>
  <c r="D7" i="157"/>
  <c r="D5" i="157"/>
  <c r="D27" i="157"/>
  <c r="D19" i="157"/>
  <c r="D15" i="157"/>
  <c r="B33" i="160"/>
  <c r="B25" i="160"/>
  <c r="B21" i="160"/>
  <c r="B13" i="160"/>
  <c r="B5" i="160"/>
  <c r="B29" i="160"/>
  <c r="B17" i="160"/>
  <c r="B9" i="160"/>
  <c r="F17" i="160"/>
  <c r="F33" i="160"/>
  <c r="F21" i="160"/>
  <c r="F9" i="160"/>
  <c r="F29" i="160"/>
  <c r="F25" i="160"/>
  <c r="F13" i="160"/>
  <c r="F5" i="160"/>
  <c r="B7" i="160"/>
  <c r="F7" i="160"/>
  <c r="B11" i="160"/>
  <c r="F11" i="160"/>
  <c r="B41" i="160"/>
  <c r="F41" i="160"/>
  <c r="B15" i="160"/>
  <c r="F15" i="160"/>
  <c r="B19" i="160"/>
  <c r="F19" i="160"/>
  <c r="B23" i="160"/>
  <c r="F23" i="160"/>
  <c r="AE13" i="157"/>
  <c r="G5" i="157"/>
  <c r="F33" i="159"/>
  <c r="F17" i="159"/>
  <c r="F29" i="159"/>
  <c r="F21" i="159"/>
  <c r="F25" i="159"/>
  <c r="F19" i="159"/>
  <c r="F15" i="159"/>
  <c r="F7" i="159"/>
  <c r="F11" i="159"/>
  <c r="F9" i="159"/>
  <c r="G7" i="157"/>
  <c r="G9" i="157"/>
  <c r="G11" i="157"/>
  <c r="G13" i="157"/>
  <c r="E15" i="157"/>
  <c r="G17" i="157"/>
  <c r="G25" i="157"/>
  <c r="I7" i="157"/>
  <c r="I9" i="157"/>
  <c r="C27" i="157"/>
  <c r="C19" i="157"/>
  <c r="C15" i="157"/>
  <c r="C23" i="157" s="1"/>
  <c r="F15" i="157"/>
  <c r="F23" i="157" s="1"/>
  <c r="D17" i="157"/>
  <c r="H17" i="157"/>
  <c r="E19" i="157"/>
  <c r="I19" i="157"/>
  <c r="C21" i="157"/>
  <c r="G21" i="157"/>
  <c r="D25" i="157"/>
  <c r="H25" i="157"/>
  <c r="E27" i="157"/>
  <c r="I27" i="157"/>
  <c r="C15" i="158"/>
  <c r="G15" i="158"/>
  <c r="C34" i="159"/>
  <c r="C7" i="159" s="1"/>
  <c r="C11" i="159"/>
  <c r="J12" i="159"/>
  <c r="F23" i="159"/>
  <c r="D9" i="161"/>
  <c r="D13" i="161"/>
  <c r="D5" i="161"/>
  <c r="H13" i="161"/>
  <c r="H5" i="161"/>
  <c r="H9" i="161"/>
  <c r="D7" i="161"/>
  <c r="H7" i="161"/>
  <c r="D11" i="161"/>
  <c r="H11" i="161"/>
  <c r="D15" i="161"/>
  <c r="H15" i="161"/>
  <c r="D9" i="162"/>
  <c r="H9" i="162"/>
  <c r="I11" i="163"/>
  <c r="I19" i="163"/>
  <c r="I5" i="157"/>
  <c r="I11" i="157"/>
  <c r="B22" i="157"/>
  <c r="B19" i="157" s="1"/>
  <c r="H13" i="157"/>
  <c r="H11" i="157"/>
  <c r="H9" i="157"/>
  <c r="H7" i="157"/>
  <c r="H5" i="157"/>
  <c r="H15" i="157"/>
  <c r="F19" i="157"/>
  <c r="D21" i="157"/>
  <c r="H21" i="157"/>
  <c r="F27" i="157"/>
  <c r="E15" i="158"/>
  <c r="J6" i="158"/>
  <c r="J7" i="158" s="1"/>
  <c r="J10" i="158"/>
  <c r="J11" i="158" s="1"/>
  <c r="J6" i="159"/>
  <c r="C13" i="159"/>
  <c r="J14" i="159"/>
  <c r="C19" i="159"/>
  <c r="C23" i="159"/>
  <c r="I21" i="159"/>
  <c r="I19" i="159"/>
  <c r="I17" i="159"/>
  <c r="I15" i="159"/>
  <c r="I13" i="159"/>
  <c r="I11" i="159"/>
  <c r="I9" i="159"/>
  <c r="I7" i="159"/>
  <c r="I5" i="159"/>
  <c r="I29" i="159"/>
  <c r="I31" i="159"/>
  <c r="I33" i="159"/>
  <c r="E13" i="160"/>
  <c r="E9" i="160"/>
  <c r="E5" i="160"/>
  <c r="I13" i="160"/>
  <c r="I9" i="160"/>
  <c r="I5" i="160"/>
  <c r="E7" i="160"/>
  <c r="I39" i="160"/>
  <c r="E11" i="160"/>
  <c r="I11" i="160"/>
  <c r="E41" i="160"/>
  <c r="I41" i="160"/>
  <c r="E15" i="160"/>
  <c r="I15" i="160"/>
  <c r="E17" i="160"/>
  <c r="I17" i="160"/>
  <c r="E19" i="160"/>
  <c r="I19" i="160"/>
  <c r="E21" i="160"/>
  <c r="I21" i="160"/>
  <c r="E23" i="160"/>
  <c r="I23" i="160"/>
  <c r="E25" i="160"/>
  <c r="I25" i="160"/>
  <c r="E27" i="160"/>
  <c r="I27" i="160"/>
  <c r="E29" i="160"/>
  <c r="I29" i="160"/>
  <c r="E31" i="160"/>
  <c r="I31" i="160"/>
  <c r="E33" i="160"/>
  <c r="I33" i="160"/>
  <c r="E35" i="160"/>
  <c r="I35" i="160"/>
  <c r="I7" i="161"/>
  <c r="I9" i="161"/>
  <c r="I11" i="161"/>
  <c r="I13" i="161"/>
  <c r="I15" i="161"/>
  <c r="E9" i="162"/>
  <c r="I9" i="162"/>
  <c r="I24" i="163"/>
  <c r="I25" i="163" s="1"/>
  <c r="I27" i="163"/>
  <c r="I21" i="163"/>
  <c r="I13" i="163"/>
  <c r="B27" i="160"/>
  <c r="F27" i="160"/>
  <c r="B31" i="160"/>
  <c r="F31" i="160"/>
  <c r="B45" i="160"/>
  <c r="F45" i="160"/>
  <c r="B35" i="160"/>
  <c r="F35" i="160"/>
  <c r="I7" i="163"/>
  <c r="I15" i="163"/>
  <c r="I25" i="157"/>
  <c r="I21" i="157"/>
  <c r="I17" i="157"/>
  <c r="J15" i="158"/>
  <c r="G34" i="159"/>
  <c r="G15" i="159" s="1"/>
  <c r="D4" i="159"/>
  <c r="H4" i="159"/>
  <c r="C9" i="159"/>
  <c r="J10" i="159"/>
  <c r="C17" i="159"/>
  <c r="G17" i="159"/>
  <c r="C21" i="159"/>
  <c r="I23" i="159"/>
  <c r="C25" i="159"/>
  <c r="C27" i="159"/>
  <c r="G27" i="159"/>
  <c r="C29" i="159"/>
  <c r="C31" i="159"/>
  <c r="G31" i="159"/>
  <c r="C33" i="159"/>
  <c r="C41" i="160"/>
  <c r="C19" i="160"/>
  <c r="C27" i="160"/>
  <c r="G29" i="160"/>
  <c r="C35" i="160"/>
  <c r="C7" i="162"/>
  <c r="G7" i="162"/>
  <c r="C9" i="162"/>
  <c r="G9" i="162"/>
  <c r="I9" i="163"/>
  <c r="I17" i="163"/>
  <c r="C36" i="160"/>
  <c r="C23" i="160" s="1"/>
  <c r="E42" i="160"/>
  <c r="E43" i="160" s="1"/>
  <c r="C33" i="165"/>
  <c r="C29" i="165"/>
  <c r="G31" i="165"/>
  <c r="G27" i="165"/>
  <c r="C7" i="165"/>
  <c r="C15" i="165"/>
  <c r="G29" i="165"/>
  <c r="E38" i="166"/>
  <c r="E36" i="166"/>
  <c r="E5" i="166" s="1"/>
  <c r="I38" i="166"/>
  <c r="I36" i="166"/>
  <c r="I43" i="166" s="1"/>
  <c r="K6" i="168"/>
  <c r="K38" i="169"/>
  <c r="K40" i="169"/>
  <c r="Q50" i="170"/>
  <c r="I48" i="170"/>
  <c r="I81" i="170"/>
  <c r="Q82" i="170"/>
  <c r="E34" i="159"/>
  <c r="E27" i="159" s="1"/>
  <c r="G36" i="160"/>
  <c r="G5" i="160" s="1"/>
  <c r="E38" i="160"/>
  <c r="G40" i="160"/>
  <c r="G41" i="160" s="1"/>
  <c r="I42" i="160"/>
  <c r="I43" i="160" s="1"/>
  <c r="E16" i="161"/>
  <c r="E9" i="161" s="1"/>
  <c r="J34" i="162"/>
  <c r="B5" i="157"/>
  <c r="B7" i="157"/>
  <c r="B9" i="157"/>
  <c r="B11" i="157"/>
  <c r="B13" i="157"/>
  <c r="J14" i="157"/>
  <c r="J18" i="157"/>
  <c r="J26" i="157"/>
  <c r="B5" i="158"/>
  <c r="B7" i="158"/>
  <c r="B9" i="158"/>
  <c r="B11" i="158"/>
  <c r="J26" i="159"/>
  <c r="I27" i="159"/>
  <c r="J30" i="159"/>
  <c r="B34" i="159"/>
  <c r="B31" i="159" s="1"/>
  <c r="C5" i="160"/>
  <c r="J6" i="160"/>
  <c r="I7" i="160"/>
  <c r="J10" i="160"/>
  <c r="C13" i="160"/>
  <c r="J14" i="160"/>
  <c r="J18" i="160"/>
  <c r="J22" i="160"/>
  <c r="J26" i="160"/>
  <c r="J30" i="160"/>
  <c r="C33" i="160"/>
  <c r="G33" i="160"/>
  <c r="J34" i="160"/>
  <c r="D36" i="160"/>
  <c r="D9" i="160" s="1"/>
  <c r="H36" i="160"/>
  <c r="H9" i="160" s="1"/>
  <c r="B38" i="160"/>
  <c r="F38" i="160"/>
  <c r="D40" i="160"/>
  <c r="D41" i="160" s="1"/>
  <c r="H40" i="160"/>
  <c r="B42" i="160"/>
  <c r="F42" i="160"/>
  <c r="F43" i="160" s="1"/>
  <c r="D44" i="160"/>
  <c r="D45" i="160" s="1"/>
  <c r="H44" i="160"/>
  <c r="J4" i="161"/>
  <c r="I5" i="161"/>
  <c r="J8" i="161"/>
  <c r="J12" i="161"/>
  <c r="B16" i="161"/>
  <c r="B9" i="161" s="1"/>
  <c r="F16" i="161"/>
  <c r="C5" i="162"/>
  <c r="C11" i="162" s="1"/>
  <c r="G5" i="162"/>
  <c r="G11" i="162" s="1"/>
  <c r="J6" i="162"/>
  <c r="E7" i="162"/>
  <c r="E11" i="162" s="1"/>
  <c r="I7" i="162"/>
  <c r="I11" i="162" s="1"/>
  <c r="B10" i="162"/>
  <c r="B7" i="162" s="1"/>
  <c r="F10" i="162"/>
  <c r="E15" i="162"/>
  <c r="E19" i="162" s="1"/>
  <c r="E17" i="162"/>
  <c r="B18" i="162"/>
  <c r="B17" i="162" s="1"/>
  <c r="E29" i="162"/>
  <c r="I29" i="162"/>
  <c r="F29" i="162"/>
  <c r="J30" i="162"/>
  <c r="J32" i="162"/>
  <c r="B33" i="162"/>
  <c r="E45" i="162"/>
  <c r="I45" i="162"/>
  <c r="F45" i="162"/>
  <c r="J46" i="162"/>
  <c r="J48" i="162"/>
  <c r="B49" i="162"/>
  <c r="C51" i="162"/>
  <c r="G51" i="162"/>
  <c r="B51" i="162"/>
  <c r="I5" i="163"/>
  <c r="I23" i="163" s="1"/>
  <c r="K6" i="163"/>
  <c r="K10" i="163"/>
  <c r="K14" i="163"/>
  <c r="K18" i="163"/>
  <c r="H22" i="163"/>
  <c r="H24" i="163" s="1"/>
  <c r="H25" i="163" s="1"/>
  <c r="G27" i="163"/>
  <c r="E14" i="164"/>
  <c r="E7" i="164" s="1"/>
  <c r="E5" i="164"/>
  <c r="I14" i="164"/>
  <c r="I7" i="164" s="1"/>
  <c r="H11" i="164"/>
  <c r="G7" i="165"/>
  <c r="C9" i="165"/>
  <c r="G13" i="165"/>
  <c r="G15" i="165"/>
  <c r="C17" i="165"/>
  <c r="C19" i="165"/>
  <c r="C21" i="165"/>
  <c r="C23" i="165"/>
  <c r="C25" i="165"/>
  <c r="C27" i="165"/>
  <c r="G33" i="165"/>
  <c r="D36" i="166"/>
  <c r="D31" i="166" s="1"/>
  <c r="H38" i="166"/>
  <c r="D42" i="166"/>
  <c r="H42" i="166"/>
  <c r="J33" i="166"/>
  <c r="C18" i="168"/>
  <c r="C15" i="168" s="1"/>
  <c r="C19" i="168" s="1"/>
  <c r="K14" i="168"/>
  <c r="J22" i="159"/>
  <c r="D5" i="160"/>
  <c r="C42" i="160"/>
  <c r="C43" i="160" s="1"/>
  <c r="G42" i="160"/>
  <c r="G43" i="160" s="1"/>
  <c r="E44" i="160"/>
  <c r="E45" i="160" s="1"/>
  <c r="I44" i="160"/>
  <c r="I45" i="160" s="1"/>
  <c r="C16" i="161"/>
  <c r="C5" i="161" s="1"/>
  <c r="G16" i="161"/>
  <c r="G5" i="161" s="1"/>
  <c r="D5" i="162"/>
  <c r="D11" i="162" s="1"/>
  <c r="H5" i="162"/>
  <c r="H11" i="162" s="1"/>
  <c r="J14" i="162"/>
  <c r="F15" i="162"/>
  <c r="F19" i="162" s="1"/>
  <c r="J16" i="162"/>
  <c r="I18" i="162"/>
  <c r="I15" i="162" s="1"/>
  <c r="E25" i="162"/>
  <c r="I25" i="162"/>
  <c r="F25" i="162"/>
  <c r="J26" i="162"/>
  <c r="J28" i="162"/>
  <c r="J29" i="162" s="1"/>
  <c r="B29" i="162"/>
  <c r="I35" i="162"/>
  <c r="E41" i="162"/>
  <c r="I41" i="162"/>
  <c r="F41" i="162"/>
  <c r="J42" i="162"/>
  <c r="J44" i="162"/>
  <c r="B45" i="162"/>
  <c r="C47" i="162"/>
  <c r="G47" i="162"/>
  <c r="E57" i="162"/>
  <c r="I57" i="162"/>
  <c r="F57" i="162"/>
  <c r="J58" i="162"/>
  <c r="D7" i="163"/>
  <c r="H7" i="163"/>
  <c r="D15" i="163"/>
  <c r="H15" i="163"/>
  <c r="C22" i="163"/>
  <c r="C15" i="163" s="1"/>
  <c r="K6" i="164"/>
  <c r="E9" i="164"/>
  <c r="E13" i="164"/>
  <c r="I13" i="164"/>
  <c r="E4" i="165"/>
  <c r="C5" i="165"/>
  <c r="I34" i="165"/>
  <c r="I11" i="165" s="1"/>
  <c r="C11" i="165"/>
  <c r="I15" i="165"/>
  <c r="G17" i="165"/>
  <c r="G19" i="165"/>
  <c r="G21" i="165"/>
  <c r="G23" i="165"/>
  <c r="G25" i="165"/>
  <c r="C31" i="165"/>
  <c r="E34" i="165"/>
  <c r="E13" i="165" s="1"/>
  <c r="K8" i="166"/>
  <c r="K16" i="166"/>
  <c r="K24" i="166"/>
  <c r="C44" i="166"/>
  <c r="K26" i="168"/>
  <c r="K27" i="168" s="1"/>
  <c r="J4" i="160"/>
  <c r="J12" i="160"/>
  <c r="J32" i="160"/>
  <c r="C15" i="162"/>
  <c r="C19" i="162" s="1"/>
  <c r="G15" i="162"/>
  <c r="G19" i="162" s="1"/>
  <c r="B15" i="162"/>
  <c r="B19" i="162" s="1"/>
  <c r="J24" i="162"/>
  <c r="J25" i="162" s="1"/>
  <c r="B25" i="162"/>
  <c r="C27" i="162"/>
  <c r="G27" i="162"/>
  <c r="E37" i="162"/>
  <c r="I37" i="162"/>
  <c r="F37" i="162"/>
  <c r="J40" i="162"/>
  <c r="J41" i="162" s="1"/>
  <c r="B41" i="162"/>
  <c r="C43" i="162"/>
  <c r="G43" i="162"/>
  <c r="E53" i="162"/>
  <c r="I53" i="162"/>
  <c r="J56" i="162"/>
  <c r="J57" i="162" s="1"/>
  <c r="C59" i="162"/>
  <c r="G59" i="162"/>
  <c r="D22" i="163"/>
  <c r="D24" i="163" s="1"/>
  <c r="D25" i="163" s="1"/>
  <c r="C14" i="164"/>
  <c r="G14" i="164"/>
  <c r="G5" i="164" s="1"/>
  <c r="K4" i="164"/>
  <c r="I5" i="164"/>
  <c r="D14" i="164"/>
  <c r="D11" i="164" s="1"/>
  <c r="I9" i="165"/>
  <c r="G9" i="165"/>
  <c r="G11" i="165"/>
  <c r="C13" i="165"/>
  <c r="I17" i="165"/>
  <c r="I19" i="165"/>
  <c r="I21" i="165"/>
  <c r="I23" i="165"/>
  <c r="I25" i="165"/>
  <c r="I33" i="165"/>
  <c r="K10" i="166"/>
  <c r="B36" i="166"/>
  <c r="B45" i="166" s="1"/>
  <c r="D13" i="166"/>
  <c r="K18" i="166"/>
  <c r="J41" i="166"/>
  <c r="D21" i="166"/>
  <c r="K26" i="166"/>
  <c r="F42" i="166"/>
  <c r="D29" i="166"/>
  <c r="B40" i="166"/>
  <c r="D9" i="167"/>
  <c r="H15" i="167"/>
  <c r="H13" i="167"/>
  <c r="H11" i="167"/>
  <c r="H9" i="167"/>
  <c r="H7" i="167"/>
  <c r="H5" i="167"/>
  <c r="G18" i="168"/>
  <c r="G17" i="168" s="1"/>
  <c r="D27" i="163"/>
  <c r="B27" i="163"/>
  <c r="K14" i="164"/>
  <c r="K9" i="164" s="1"/>
  <c r="H7" i="164"/>
  <c r="B7" i="164"/>
  <c r="J7" i="164"/>
  <c r="H9" i="164"/>
  <c r="E11" i="164"/>
  <c r="F4" i="165"/>
  <c r="F5" i="165" s="1"/>
  <c r="D7" i="165"/>
  <c r="K8" i="165"/>
  <c r="F9" i="165"/>
  <c r="H9" i="165"/>
  <c r="D11" i="165"/>
  <c r="K12" i="165"/>
  <c r="F13" i="165"/>
  <c r="H13" i="165"/>
  <c r="D15" i="165"/>
  <c r="K16" i="165"/>
  <c r="F17" i="165"/>
  <c r="H17" i="165"/>
  <c r="D19" i="165"/>
  <c r="K20" i="165"/>
  <c r="F21" i="165"/>
  <c r="H21" i="165"/>
  <c r="D23" i="165"/>
  <c r="K24" i="165"/>
  <c r="F25" i="165"/>
  <c r="H25" i="165"/>
  <c r="D27" i="165"/>
  <c r="K28" i="165"/>
  <c r="F29" i="165"/>
  <c r="H29" i="165"/>
  <c r="D31" i="165"/>
  <c r="K32" i="165"/>
  <c r="F33" i="165"/>
  <c r="H33" i="165"/>
  <c r="B38" i="166"/>
  <c r="K4" i="166"/>
  <c r="F36" i="166"/>
  <c r="F11" i="166" s="1"/>
  <c r="J38" i="166"/>
  <c r="F40" i="166"/>
  <c r="J13" i="166"/>
  <c r="J21" i="166"/>
  <c r="D33" i="166"/>
  <c r="H44" i="166"/>
  <c r="D40" i="166"/>
  <c r="D41" i="166" s="1"/>
  <c r="C5" i="168"/>
  <c r="C10" i="168"/>
  <c r="C7" i="168" s="1"/>
  <c r="K4" i="168"/>
  <c r="G10" i="168"/>
  <c r="G5" i="168" s="1"/>
  <c r="I27" i="165"/>
  <c r="E31" i="165"/>
  <c r="I31" i="165"/>
  <c r="J7" i="166"/>
  <c r="B42" i="166"/>
  <c r="J23" i="166"/>
  <c r="J31" i="166"/>
  <c r="D9" i="168"/>
  <c r="D7" i="168"/>
  <c r="D5" i="168"/>
  <c r="D11" i="168" s="1"/>
  <c r="H9" i="168"/>
  <c r="H7" i="168"/>
  <c r="H5" i="168"/>
  <c r="H11" i="168" s="1"/>
  <c r="E11" i="168"/>
  <c r="C17" i="168"/>
  <c r="K16" i="168"/>
  <c r="C39" i="168"/>
  <c r="G39" i="168"/>
  <c r="K38" i="168"/>
  <c r="K39" i="168" s="1"/>
  <c r="D10" i="169"/>
  <c r="D14" i="169"/>
  <c r="K11" i="169"/>
  <c r="K22" i="163"/>
  <c r="K13" i="163" s="1"/>
  <c r="D5" i="164"/>
  <c r="H5" i="164"/>
  <c r="K10" i="164"/>
  <c r="K11" i="164" s="1"/>
  <c r="B11" i="164"/>
  <c r="D13" i="164"/>
  <c r="H13" i="164"/>
  <c r="K6" i="165"/>
  <c r="F7" i="165"/>
  <c r="K10" i="165"/>
  <c r="F11" i="165"/>
  <c r="K14" i="165"/>
  <c r="F15" i="165"/>
  <c r="D17" i="165"/>
  <c r="K18" i="165"/>
  <c r="F19" i="165"/>
  <c r="H19" i="165"/>
  <c r="D21" i="165"/>
  <c r="K22" i="165"/>
  <c r="F23" i="165"/>
  <c r="D25" i="165"/>
  <c r="K26" i="165"/>
  <c r="F27" i="165"/>
  <c r="D29" i="165"/>
  <c r="K30" i="165"/>
  <c r="F31" i="165"/>
  <c r="B34" i="165"/>
  <c r="J34" i="165"/>
  <c r="J9" i="165" s="1"/>
  <c r="D38" i="166"/>
  <c r="H36" i="166"/>
  <c r="H15" i="166" s="1"/>
  <c r="K6" i="166"/>
  <c r="H40" i="166"/>
  <c r="H41" i="166" s="1"/>
  <c r="K14" i="166"/>
  <c r="B17" i="166"/>
  <c r="C42" i="166"/>
  <c r="G42" i="166"/>
  <c r="K22" i="166"/>
  <c r="B25" i="166"/>
  <c r="K30" i="166"/>
  <c r="K32" i="166"/>
  <c r="F33" i="166"/>
  <c r="F44" i="166"/>
  <c r="G16" i="167"/>
  <c r="K4" i="167"/>
  <c r="K10" i="167"/>
  <c r="C9" i="168"/>
  <c r="G9" i="168"/>
  <c r="K8" i="168"/>
  <c r="D21" i="169"/>
  <c r="D6" i="169"/>
  <c r="C38" i="166"/>
  <c r="C36" i="166"/>
  <c r="C5" i="166" s="1"/>
  <c r="G38" i="166"/>
  <c r="G36" i="166"/>
  <c r="G15" i="166" s="1"/>
  <c r="E43" i="166"/>
  <c r="K34" i="166"/>
  <c r="J42" i="166"/>
  <c r="J43" i="166" s="1"/>
  <c r="E16" i="167"/>
  <c r="E5" i="167" s="1"/>
  <c r="I16" i="167"/>
  <c r="I9" i="167" s="1"/>
  <c r="B7" i="167"/>
  <c r="F7" i="167"/>
  <c r="J7" i="167"/>
  <c r="B15" i="167"/>
  <c r="F15" i="167"/>
  <c r="J15" i="167"/>
  <c r="I5" i="168"/>
  <c r="I11" i="168" s="1"/>
  <c r="I7" i="168"/>
  <c r="D17" i="168"/>
  <c r="D15" i="168"/>
  <c r="D19" i="168" s="1"/>
  <c r="H17" i="168"/>
  <c r="H15" i="168"/>
  <c r="C25" i="168"/>
  <c r="G25" i="168"/>
  <c r="K24" i="168"/>
  <c r="K25" i="168" s="1"/>
  <c r="C29" i="168"/>
  <c r="G29" i="168"/>
  <c r="K28" i="168"/>
  <c r="K29" i="168" s="1"/>
  <c r="C31" i="168"/>
  <c r="G31" i="168"/>
  <c r="K30" i="168"/>
  <c r="K31" i="168" s="1"/>
  <c r="C40" i="166"/>
  <c r="G40" i="166"/>
  <c r="G41" i="166" s="1"/>
  <c r="G13" i="166"/>
  <c r="K12" i="166"/>
  <c r="G21" i="166"/>
  <c r="K20" i="166"/>
  <c r="K28" i="166"/>
  <c r="E45" i="166"/>
  <c r="I45" i="166"/>
  <c r="G35" i="166"/>
  <c r="B13" i="167"/>
  <c r="F13" i="167"/>
  <c r="J13" i="167"/>
  <c r="G15" i="167"/>
  <c r="K14" i="167"/>
  <c r="B7" i="168"/>
  <c r="F7" i="168"/>
  <c r="J7" i="168"/>
  <c r="B9" i="168"/>
  <c r="F9" i="168"/>
  <c r="J9" i="168"/>
  <c r="K30" i="169"/>
  <c r="B5" i="167"/>
  <c r="B17" i="167" s="1"/>
  <c r="F5" i="167"/>
  <c r="F17" i="167" s="1"/>
  <c r="J5" i="167"/>
  <c r="B5" i="168"/>
  <c r="F5" i="168"/>
  <c r="F11" i="168" s="1"/>
  <c r="J5" i="168"/>
  <c r="J11" i="168" s="1"/>
  <c r="J15" i="168"/>
  <c r="H29" i="168"/>
  <c r="D31" i="168"/>
  <c r="H31" i="168"/>
  <c r="B31" i="168"/>
  <c r="J31" i="168"/>
  <c r="E33" i="168"/>
  <c r="F35" i="168"/>
  <c r="C37" i="168"/>
  <c r="G37" i="168"/>
  <c r="K36" i="168"/>
  <c r="K37" i="168" s="1"/>
  <c r="D39" i="168"/>
  <c r="H39" i="168"/>
  <c r="B39" i="168"/>
  <c r="J39" i="168"/>
  <c r="F43" i="168"/>
  <c r="C45" i="168"/>
  <c r="G45" i="168"/>
  <c r="K44" i="168"/>
  <c r="K45" i="168" s="1"/>
  <c r="E9" i="169"/>
  <c r="I9" i="169"/>
  <c r="D12" i="169"/>
  <c r="D20" i="169"/>
  <c r="C44" i="169"/>
  <c r="C41" i="169" s="1"/>
  <c r="G44" i="169"/>
  <c r="G29" i="169" s="1"/>
  <c r="C35" i="169"/>
  <c r="K34" i="169"/>
  <c r="E59" i="168"/>
  <c r="E57" i="168"/>
  <c r="E55" i="168"/>
  <c r="E53" i="168"/>
  <c r="E51" i="168"/>
  <c r="E49" i="168"/>
  <c r="E47" i="168"/>
  <c r="E45" i="168"/>
  <c r="I59" i="168"/>
  <c r="I57" i="168"/>
  <c r="I55" i="168"/>
  <c r="I53" i="168"/>
  <c r="I51" i="168"/>
  <c r="I49" i="168"/>
  <c r="I47" i="168"/>
  <c r="I45" i="168"/>
  <c r="E18" i="168"/>
  <c r="I18" i="168"/>
  <c r="E31" i="168"/>
  <c r="F33" i="168"/>
  <c r="C35" i="168"/>
  <c r="G35" i="168"/>
  <c r="K34" i="168"/>
  <c r="K35" i="168" s="1"/>
  <c r="I35" i="168"/>
  <c r="B37" i="168"/>
  <c r="J37" i="168"/>
  <c r="E39" i="168"/>
  <c r="F41" i="168"/>
  <c r="C43" i="168"/>
  <c r="G43" i="168"/>
  <c r="K42" i="168"/>
  <c r="K43" i="168" s="1"/>
  <c r="I43" i="168"/>
  <c r="B45" i="168"/>
  <c r="K46" i="168"/>
  <c r="K47" i="168" s="1"/>
  <c r="G47" i="168"/>
  <c r="B47" i="168"/>
  <c r="K49" i="168"/>
  <c r="G49" i="168"/>
  <c r="B49" i="168"/>
  <c r="K51" i="168"/>
  <c r="G51" i="168"/>
  <c r="B51" i="168"/>
  <c r="K53" i="168"/>
  <c r="G53" i="168"/>
  <c r="B53" i="168"/>
  <c r="K55" i="168"/>
  <c r="G55" i="168"/>
  <c r="B55" i="168"/>
  <c r="K57" i="168"/>
  <c r="G57" i="168"/>
  <c r="B57" i="168"/>
  <c r="G59" i="168"/>
  <c r="B59" i="168"/>
  <c r="H21" i="169"/>
  <c r="E21" i="169"/>
  <c r="E6" i="169" s="1"/>
  <c r="I21" i="169"/>
  <c r="I14" i="169" s="1"/>
  <c r="D8" i="169"/>
  <c r="H10" i="169"/>
  <c r="K9" i="169"/>
  <c r="J10" i="169"/>
  <c r="E12" i="169"/>
  <c r="G14" i="169"/>
  <c r="K15" i="169"/>
  <c r="E29" i="169"/>
  <c r="E44" i="169"/>
  <c r="E39" i="169" s="1"/>
  <c r="I44" i="169"/>
  <c r="I35" i="169" s="1"/>
  <c r="H31" i="169"/>
  <c r="E33" i="169"/>
  <c r="I89" i="170"/>
  <c r="B18" i="168"/>
  <c r="B17" i="168" s="1"/>
  <c r="F18" i="168"/>
  <c r="F17" i="168" s="1"/>
  <c r="J18" i="168"/>
  <c r="J17" i="168" s="1"/>
  <c r="F31" i="168"/>
  <c r="C33" i="168"/>
  <c r="G33" i="168"/>
  <c r="K32" i="168"/>
  <c r="K33" i="168" s="1"/>
  <c r="I33" i="168"/>
  <c r="B35" i="168"/>
  <c r="J35" i="168"/>
  <c r="E37" i="168"/>
  <c r="F39" i="168"/>
  <c r="C41" i="168"/>
  <c r="G41" i="168"/>
  <c r="K40" i="168"/>
  <c r="K41" i="168" s="1"/>
  <c r="I41" i="168"/>
  <c r="F45" i="168"/>
  <c r="F47" i="168"/>
  <c r="F49" i="168"/>
  <c r="D51" i="168"/>
  <c r="H51" i="168"/>
  <c r="F51" i="168"/>
  <c r="D53" i="168"/>
  <c r="H53" i="168"/>
  <c r="F53" i="168"/>
  <c r="D55" i="168"/>
  <c r="H55" i="168"/>
  <c r="F55" i="168"/>
  <c r="D57" i="168"/>
  <c r="H57" i="168"/>
  <c r="F57" i="168"/>
  <c r="D59" i="168"/>
  <c r="H59" i="168"/>
  <c r="B21" i="169"/>
  <c r="B12" i="169" s="1"/>
  <c r="K5" i="169"/>
  <c r="F21" i="169"/>
  <c r="F6" i="169" s="1"/>
  <c r="J21" i="169"/>
  <c r="C21" i="169"/>
  <c r="C16" i="169" s="1"/>
  <c r="G21" i="169"/>
  <c r="B8" i="169"/>
  <c r="K7" i="169"/>
  <c r="J8" i="169"/>
  <c r="I8" i="169"/>
  <c r="C10" i="169"/>
  <c r="G10" i="169"/>
  <c r="B14" i="169"/>
  <c r="K13" i="169"/>
  <c r="E18" i="169"/>
  <c r="I18" i="169"/>
  <c r="G20" i="169"/>
  <c r="K19" i="169"/>
  <c r="F20" i="169"/>
  <c r="C31" i="169"/>
  <c r="G31" i="169"/>
  <c r="K36" i="169"/>
  <c r="C47" i="168"/>
  <c r="C49" i="168"/>
  <c r="C51" i="168"/>
  <c r="C53" i="168"/>
  <c r="C55" i="168"/>
  <c r="C57" i="168"/>
  <c r="C59" i="168"/>
  <c r="D44" i="169"/>
  <c r="D29" i="169" s="1"/>
  <c r="H44" i="169"/>
  <c r="E31" i="169"/>
  <c r="H33" i="169"/>
  <c r="G35" i="169"/>
  <c r="F35" i="169"/>
  <c r="J35" i="169"/>
  <c r="G37" i="169"/>
  <c r="G43" i="169"/>
  <c r="P89" i="170"/>
  <c r="Q5" i="170"/>
  <c r="Q89" i="170" s="1"/>
  <c r="P81" i="170"/>
  <c r="E16" i="169"/>
  <c r="G18" i="169"/>
  <c r="K17" i="169"/>
  <c r="C20" i="169"/>
  <c r="C33" i="169"/>
  <c r="G33" i="169"/>
  <c r="C39" i="169"/>
  <c r="I41" i="169"/>
  <c r="C43" i="169"/>
  <c r="K28" i="169"/>
  <c r="B44" i="169"/>
  <c r="F44" i="169"/>
  <c r="J44" i="169"/>
  <c r="J39" i="169" s="1"/>
  <c r="I31" i="169"/>
  <c r="K32" i="169"/>
  <c r="E37" i="169"/>
  <c r="G39" i="169"/>
  <c r="E41" i="169"/>
  <c r="E43" i="169"/>
  <c r="P48" i="170"/>
  <c r="C11" i="167" l="1"/>
  <c r="D11" i="167"/>
  <c r="D5" i="167"/>
  <c r="D13" i="167"/>
  <c r="C7" i="167"/>
  <c r="C15" i="167"/>
  <c r="D7" i="167"/>
  <c r="C5" i="167"/>
  <c r="C13" i="167"/>
  <c r="C27" i="166"/>
  <c r="C11" i="166"/>
  <c r="C7" i="166"/>
  <c r="C21" i="166"/>
  <c r="C13" i="166"/>
  <c r="J15" i="166"/>
  <c r="J29" i="166"/>
  <c r="J5" i="166"/>
  <c r="J45" i="166"/>
  <c r="J35" i="166"/>
  <c r="J19" i="166"/>
  <c r="J9" i="166"/>
  <c r="C19" i="166"/>
  <c r="C35" i="166"/>
  <c r="C29" i="166"/>
  <c r="C41" i="166"/>
  <c r="F45" i="166"/>
  <c r="C31" i="166"/>
  <c r="B9" i="166"/>
  <c r="B5" i="166"/>
  <c r="B27" i="166"/>
  <c r="J17" i="166"/>
  <c r="J11" i="166"/>
  <c r="K34" i="165"/>
  <c r="K23" i="165" s="1"/>
  <c r="J7" i="165"/>
  <c r="H31" i="165"/>
  <c r="H7" i="165"/>
  <c r="H35" i="165" s="1"/>
  <c r="H15" i="165"/>
  <c r="H11" i="165"/>
  <c r="E19" i="165"/>
  <c r="J31" i="165"/>
  <c r="H27" i="165"/>
  <c r="H23" i="165"/>
  <c r="J11" i="165"/>
  <c r="E33" i="165"/>
  <c r="E23" i="165"/>
  <c r="D33" i="165"/>
  <c r="D5" i="165"/>
  <c r="D9" i="165"/>
  <c r="J23" i="165"/>
  <c r="J15" i="165"/>
  <c r="E27" i="165"/>
  <c r="E9" i="165"/>
  <c r="D13" i="165"/>
  <c r="I9" i="164"/>
  <c r="B9" i="164"/>
  <c r="I11" i="164"/>
  <c r="I15" i="164" s="1"/>
  <c r="J11" i="164"/>
  <c r="J9" i="164"/>
  <c r="J5" i="164"/>
  <c r="F11" i="164"/>
  <c r="F13" i="164"/>
  <c r="F9" i="164"/>
  <c r="F7" i="164"/>
  <c r="F15" i="164" s="1"/>
  <c r="G24" i="163"/>
  <c r="G25" i="163" s="1"/>
  <c r="G13" i="163"/>
  <c r="G5" i="163"/>
  <c r="E17" i="163"/>
  <c r="E15" i="163"/>
  <c r="E7" i="163"/>
  <c r="G17" i="163"/>
  <c r="E19" i="163"/>
  <c r="E11" i="163"/>
  <c r="E24" i="163"/>
  <c r="E25" i="163" s="1"/>
  <c r="G15" i="163"/>
  <c r="J11" i="163"/>
  <c r="J17" i="163"/>
  <c r="J9" i="163"/>
  <c r="E27" i="163"/>
  <c r="E13" i="163"/>
  <c r="E5" i="163"/>
  <c r="E23" i="163" s="1"/>
  <c r="E9" i="163"/>
  <c r="G19" i="163"/>
  <c r="F24" i="163"/>
  <c r="F25" i="163" s="1"/>
  <c r="F27" i="163"/>
  <c r="F21" i="163"/>
  <c r="F19" i="163"/>
  <c r="F13" i="163"/>
  <c r="F11" i="163"/>
  <c r="F5" i="163"/>
  <c r="G7" i="163"/>
  <c r="J19" i="163"/>
  <c r="F17" i="163"/>
  <c r="F9" i="163"/>
  <c r="J7" i="163"/>
  <c r="J23" i="163" s="1"/>
  <c r="J27" i="163"/>
  <c r="H27" i="163"/>
  <c r="D9" i="163"/>
  <c r="H19" i="163"/>
  <c r="H11" i="163"/>
  <c r="E21" i="163"/>
  <c r="G21" i="163"/>
  <c r="G11" i="163"/>
  <c r="B24" i="163"/>
  <c r="B25" i="163" s="1"/>
  <c r="B15" i="163"/>
  <c r="B7" i="163"/>
  <c r="B23" i="163" s="1"/>
  <c r="B21" i="163"/>
  <c r="B19" i="163"/>
  <c r="G9" i="163"/>
  <c r="B17" i="163"/>
  <c r="B9" i="163"/>
  <c r="F7" i="163"/>
  <c r="J37" i="162"/>
  <c r="I17" i="161"/>
  <c r="H17" i="161"/>
  <c r="H45" i="160"/>
  <c r="H41" i="160"/>
  <c r="H5" i="160"/>
  <c r="G45" i="160"/>
  <c r="G25" i="160"/>
  <c r="C31" i="160"/>
  <c r="F43" i="169"/>
  <c r="F41" i="169"/>
  <c r="I43" i="169"/>
  <c r="D37" i="169"/>
  <c r="I33" i="169"/>
  <c r="C18" i="169"/>
  <c r="H41" i="169"/>
  <c r="H43" i="169"/>
  <c r="H39" i="169"/>
  <c r="H35" i="169"/>
  <c r="E14" i="169"/>
  <c r="F37" i="169"/>
  <c r="F14" i="169"/>
  <c r="G12" i="169"/>
  <c r="G8" i="169"/>
  <c r="J16" i="169"/>
  <c r="J20" i="169"/>
  <c r="J18" i="169"/>
  <c r="K6" i="169"/>
  <c r="K21" i="169"/>
  <c r="K16" i="169"/>
  <c r="I12" i="169"/>
  <c r="B10" i="169"/>
  <c r="H20" i="169"/>
  <c r="H18" i="169"/>
  <c r="H16" i="169"/>
  <c r="H14" i="169"/>
  <c r="E35" i="169"/>
  <c r="H12" i="169"/>
  <c r="B15" i="168"/>
  <c r="B19" i="168" s="1"/>
  <c r="J17" i="167"/>
  <c r="J31" i="169"/>
  <c r="I16" i="169"/>
  <c r="H19" i="168"/>
  <c r="G9" i="167"/>
  <c r="G11" i="167"/>
  <c r="C43" i="166"/>
  <c r="C15" i="166"/>
  <c r="G7" i="166"/>
  <c r="K31" i="165"/>
  <c r="J27" i="165"/>
  <c r="J19" i="165"/>
  <c r="B15" i="165"/>
  <c r="B11" i="165"/>
  <c r="B7" i="165"/>
  <c r="H27" i="166"/>
  <c r="J39" i="166"/>
  <c r="J46" i="166"/>
  <c r="K38" i="166"/>
  <c r="B39" i="166"/>
  <c r="B46" i="166"/>
  <c r="B29" i="165"/>
  <c r="B21" i="165"/>
  <c r="B13" i="165"/>
  <c r="D9" i="164"/>
  <c r="D15" i="164" s="1"/>
  <c r="D7" i="164"/>
  <c r="K40" i="166"/>
  <c r="B41" i="166"/>
  <c r="F19" i="166"/>
  <c r="E25" i="165"/>
  <c r="E21" i="165"/>
  <c r="E17" i="165"/>
  <c r="B5" i="165"/>
  <c r="D13" i="163"/>
  <c r="C45" i="166"/>
  <c r="G9" i="166"/>
  <c r="I29" i="165"/>
  <c r="E15" i="165"/>
  <c r="I7" i="165"/>
  <c r="K7" i="164"/>
  <c r="D11" i="163"/>
  <c r="J59" i="162"/>
  <c r="J43" i="162"/>
  <c r="K15" i="168"/>
  <c r="K18" i="168"/>
  <c r="D43" i="166"/>
  <c r="H7" i="166"/>
  <c r="I13" i="165"/>
  <c r="K7" i="163"/>
  <c r="J33" i="162"/>
  <c r="F15" i="161"/>
  <c r="F11" i="161"/>
  <c r="F7" i="161"/>
  <c r="F39" i="160"/>
  <c r="F46" i="160"/>
  <c r="D17" i="163"/>
  <c r="G15" i="160"/>
  <c r="G11" i="160"/>
  <c r="G7" i="160"/>
  <c r="Q48" i="170"/>
  <c r="I35" i="166"/>
  <c r="I33" i="166"/>
  <c r="I25" i="166"/>
  <c r="I17" i="166"/>
  <c r="I9" i="166"/>
  <c r="I31" i="166"/>
  <c r="I23" i="166"/>
  <c r="I15" i="166"/>
  <c r="I7" i="166"/>
  <c r="I27" i="166"/>
  <c r="I19" i="166"/>
  <c r="I11" i="166"/>
  <c r="I29" i="166"/>
  <c r="I21" i="166"/>
  <c r="I13" i="166"/>
  <c r="E39" i="166"/>
  <c r="E46" i="166"/>
  <c r="E11" i="165"/>
  <c r="H17" i="163"/>
  <c r="C15" i="160"/>
  <c r="C11" i="160"/>
  <c r="C7" i="160"/>
  <c r="G15" i="161"/>
  <c r="G11" i="161"/>
  <c r="G7" i="161"/>
  <c r="G35" i="160"/>
  <c r="G31" i="160"/>
  <c r="G27" i="160"/>
  <c r="G23" i="160"/>
  <c r="G19" i="160"/>
  <c r="G13" i="160"/>
  <c r="G46" i="160"/>
  <c r="G33" i="159"/>
  <c r="G29" i="159"/>
  <c r="G25" i="159"/>
  <c r="G21" i="159"/>
  <c r="I5" i="165"/>
  <c r="F13" i="161"/>
  <c r="J44" i="160"/>
  <c r="K17" i="163"/>
  <c r="E15" i="161"/>
  <c r="E11" i="161"/>
  <c r="E7" i="161"/>
  <c r="E31" i="159"/>
  <c r="I35" i="159"/>
  <c r="G19" i="159"/>
  <c r="B27" i="157"/>
  <c r="H29" i="160"/>
  <c r="H43" i="160"/>
  <c r="H17" i="160"/>
  <c r="D39" i="160"/>
  <c r="G11" i="159"/>
  <c r="C5" i="159"/>
  <c r="F37" i="160"/>
  <c r="G7" i="159"/>
  <c r="C15" i="159"/>
  <c r="C35" i="159" s="1"/>
  <c r="B43" i="169"/>
  <c r="B41" i="169"/>
  <c r="B33" i="169"/>
  <c r="B29" i="169"/>
  <c r="D33" i="169"/>
  <c r="B37" i="169"/>
  <c r="K14" i="169"/>
  <c r="K8" i="169"/>
  <c r="C6" i="169"/>
  <c r="B16" i="169"/>
  <c r="B20" i="169"/>
  <c r="B18" i="169"/>
  <c r="E45" i="169"/>
  <c r="K10" i="169"/>
  <c r="I17" i="168"/>
  <c r="I15" i="168"/>
  <c r="I19" i="168" s="1"/>
  <c r="C29" i="169"/>
  <c r="F31" i="169"/>
  <c r="I6" i="169"/>
  <c r="F33" i="169"/>
  <c r="I13" i="167"/>
  <c r="I11" i="167"/>
  <c r="I5" i="167"/>
  <c r="G27" i="166"/>
  <c r="G19" i="166"/>
  <c r="G5" i="166"/>
  <c r="C46" i="166"/>
  <c r="C39" i="166"/>
  <c r="G31" i="166"/>
  <c r="G23" i="166"/>
  <c r="B31" i="165"/>
  <c r="B23" i="165"/>
  <c r="H15" i="164"/>
  <c r="J12" i="169"/>
  <c r="I7" i="167"/>
  <c r="H11" i="166"/>
  <c r="C11" i="168"/>
  <c r="H35" i="166"/>
  <c r="H25" i="166"/>
  <c r="F41" i="166"/>
  <c r="F46" i="166"/>
  <c r="F29" i="166"/>
  <c r="F21" i="166"/>
  <c r="F13" i="166"/>
  <c r="F25" i="166"/>
  <c r="F17" i="166"/>
  <c r="F9" i="166"/>
  <c r="F35" i="166"/>
  <c r="F31" i="166"/>
  <c r="F23" i="166"/>
  <c r="F15" i="166"/>
  <c r="F7" i="166"/>
  <c r="K33" i="165"/>
  <c r="J29" i="165"/>
  <c r="J21" i="165"/>
  <c r="K17" i="165"/>
  <c r="J13" i="165"/>
  <c r="K36" i="166"/>
  <c r="K23" i="166" s="1"/>
  <c r="B35" i="166"/>
  <c r="B29" i="166"/>
  <c r="B21" i="166"/>
  <c r="B13" i="166"/>
  <c r="B33" i="166"/>
  <c r="B31" i="166"/>
  <c r="B23" i="166"/>
  <c r="B15" i="166"/>
  <c r="B7" i="166"/>
  <c r="G9" i="164"/>
  <c r="G13" i="164"/>
  <c r="G11" i="164"/>
  <c r="F39" i="166"/>
  <c r="G17" i="166"/>
  <c r="C9" i="166"/>
  <c r="E29" i="165"/>
  <c r="E7" i="165"/>
  <c r="C27" i="163"/>
  <c r="C24" i="163"/>
  <c r="C21" i="163"/>
  <c r="C17" i="163"/>
  <c r="C13" i="163"/>
  <c r="C9" i="163"/>
  <c r="C5" i="163"/>
  <c r="G15" i="168"/>
  <c r="G19" i="168" s="1"/>
  <c r="H23" i="166"/>
  <c r="D25" i="166"/>
  <c r="D17" i="166"/>
  <c r="D9" i="166"/>
  <c r="D5" i="166"/>
  <c r="D27" i="166"/>
  <c r="D19" i="166"/>
  <c r="D11" i="166"/>
  <c r="D35" i="166"/>
  <c r="K19" i="163"/>
  <c r="J31" i="162"/>
  <c r="F5" i="162"/>
  <c r="F9" i="162"/>
  <c r="B11" i="161"/>
  <c r="B7" i="161"/>
  <c r="B15" i="161"/>
  <c r="J16" i="161"/>
  <c r="J13" i="161" s="1"/>
  <c r="B43" i="160"/>
  <c r="J42" i="160"/>
  <c r="B39" i="160"/>
  <c r="B46" i="160"/>
  <c r="J38" i="160"/>
  <c r="B15" i="158"/>
  <c r="H9" i="163"/>
  <c r="E21" i="159"/>
  <c r="E19" i="159"/>
  <c r="E17" i="159"/>
  <c r="E15" i="159"/>
  <c r="E13" i="159"/>
  <c r="E11" i="159"/>
  <c r="E9" i="159"/>
  <c r="E7" i="159"/>
  <c r="E5" i="159"/>
  <c r="I39" i="169"/>
  <c r="F39" i="169"/>
  <c r="G7" i="168"/>
  <c r="G11" i="168" s="1"/>
  <c r="I39" i="166"/>
  <c r="I46" i="166"/>
  <c r="C35" i="165"/>
  <c r="H13" i="163"/>
  <c r="K21" i="163"/>
  <c r="K5" i="163"/>
  <c r="C15" i="161"/>
  <c r="C11" i="161"/>
  <c r="C7" i="161"/>
  <c r="G39" i="160"/>
  <c r="H34" i="159"/>
  <c r="H5" i="159"/>
  <c r="G5" i="159"/>
  <c r="C19" i="163"/>
  <c r="B13" i="161"/>
  <c r="E5" i="161"/>
  <c r="I46" i="160"/>
  <c r="E25" i="159"/>
  <c r="I23" i="157"/>
  <c r="D29" i="160"/>
  <c r="D43" i="160"/>
  <c r="D17" i="160"/>
  <c r="D46" i="160"/>
  <c r="B23" i="159"/>
  <c r="B27" i="159"/>
  <c r="K44" i="169"/>
  <c r="K43" i="169" s="1"/>
  <c r="K18" i="169"/>
  <c r="B35" i="169"/>
  <c r="D41" i="169"/>
  <c r="D43" i="169"/>
  <c r="D39" i="169"/>
  <c r="D31" i="169"/>
  <c r="D45" i="169" s="1"/>
  <c r="D35" i="169"/>
  <c r="C12" i="169"/>
  <c r="C8" i="169"/>
  <c r="F18" i="169"/>
  <c r="F16" i="169"/>
  <c r="F29" i="169"/>
  <c r="F45" i="169" s="1"/>
  <c r="E17" i="168"/>
  <c r="E15" i="168"/>
  <c r="I10" i="169"/>
  <c r="J19" i="168"/>
  <c r="K31" i="169"/>
  <c r="F8" i="169"/>
  <c r="F22" i="169" s="1"/>
  <c r="E9" i="167"/>
  <c r="E15" i="167"/>
  <c r="K16" i="167"/>
  <c r="K5" i="167" s="1"/>
  <c r="G43" i="166"/>
  <c r="K15" i="166"/>
  <c r="H33" i="166"/>
  <c r="H29" i="166"/>
  <c r="H21" i="166"/>
  <c r="H13" i="166"/>
  <c r="H5" i="166"/>
  <c r="F35" i="165"/>
  <c r="F12" i="169"/>
  <c r="K17" i="168"/>
  <c r="K44" i="166"/>
  <c r="K45" i="166" s="1"/>
  <c r="K42" i="166"/>
  <c r="B43" i="166"/>
  <c r="K10" i="168"/>
  <c r="K5" i="168" s="1"/>
  <c r="E13" i="167"/>
  <c r="H45" i="166"/>
  <c r="H9" i="166"/>
  <c r="F5" i="166"/>
  <c r="B33" i="165"/>
  <c r="B25" i="165"/>
  <c r="B17" i="165"/>
  <c r="B9" i="165"/>
  <c r="B15" i="164"/>
  <c r="F43" i="166"/>
  <c r="B19" i="166"/>
  <c r="K11" i="166"/>
  <c r="J5" i="165"/>
  <c r="C13" i="164"/>
  <c r="C9" i="164"/>
  <c r="C5" i="164"/>
  <c r="C11" i="164"/>
  <c r="E7" i="167"/>
  <c r="G45" i="166"/>
  <c r="G25" i="166"/>
  <c r="C17" i="166"/>
  <c r="J18" i="162"/>
  <c r="J17" i="162" s="1"/>
  <c r="J15" i="162"/>
  <c r="K13" i="164"/>
  <c r="H43" i="166"/>
  <c r="D15" i="166"/>
  <c r="D7" i="166"/>
  <c r="K15" i="163"/>
  <c r="J49" i="162"/>
  <c r="I17" i="162"/>
  <c r="B9" i="162"/>
  <c r="B5" i="162"/>
  <c r="H35" i="160"/>
  <c r="H31" i="160"/>
  <c r="H15" i="160"/>
  <c r="H7" i="160"/>
  <c r="H19" i="160"/>
  <c r="H37" i="160" s="1"/>
  <c r="H23" i="160"/>
  <c r="H27" i="160"/>
  <c r="H11" i="160"/>
  <c r="B33" i="159"/>
  <c r="B21" i="159"/>
  <c r="B19" i="159"/>
  <c r="B25" i="159"/>
  <c r="B17" i="159"/>
  <c r="B29" i="159"/>
  <c r="B9" i="159"/>
  <c r="B13" i="159"/>
  <c r="B5" i="159"/>
  <c r="B11" i="159"/>
  <c r="B7" i="159"/>
  <c r="B15" i="159"/>
  <c r="D5" i="163"/>
  <c r="G41" i="169"/>
  <c r="G45" i="169" s="1"/>
  <c r="K39" i="169"/>
  <c r="H5" i="163"/>
  <c r="J55" i="162"/>
  <c r="G13" i="161"/>
  <c r="G9" i="161"/>
  <c r="G21" i="160"/>
  <c r="G17" i="160"/>
  <c r="G9" i="160"/>
  <c r="C46" i="160"/>
  <c r="J10" i="162"/>
  <c r="J7" i="162" s="1"/>
  <c r="F5" i="161"/>
  <c r="G7" i="164"/>
  <c r="K9" i="163"/>
  <c r="J53" i="162"/>
  <c r="E13" i="161"/>
  <c r="E37" i="160"/>
  <c r="E33" i="159"/>
  <c r="E29" i="159"/>
  <c r="G23" i="159"/>
  <c r="H23" i="157"/>
  <c r="K27" i="163"/>
  <c r="C7" i="163"/>
  <c r="H33" i="160"/>
  <c r="H25" i="160"/>
  <c r="H21" i="160"/>
  <c r="H13" i="160"/>
  <c r="H39" i="160"/>
  <c r="J40" i="160"/>
  <c r="D23" i="157"/>
  <c r="E23" i="157"/>
  <c r="J43" i="169"/>
  <c r="J41" i="169"/>
  <c r="J33" i="169"/>
  <c r="J29" i="169"/>
  <c r="J37" i="169"/>
  <c r="E20" i="169"/>
  <c r="H37" i="169"/>
  <c r="C37" i="169"/>
  <c r="H29" i="169"/>
  <c r="H45" i="169" s="1"/>
  <c r="I20" i="169"/>
  <c r="I37" i="169"/>
  <c r="K20" i="169"/>
  <c r="J14" i="169"/>
  <c r="E8" i="169"/>
  <c r="E22" i="169" s="1"/>
  <c r="G6" i="169"/>
  <c r="J6" i="169"/>
  <c r="B6" i="169"/>
  <c r="B22" i="169" s="1"/>
  <c r="I29" i="169"/>
  <c r="I45" i="169" s="1"/>
  <c r="G16" i="169"/>
  <c r="C14" i="169"/>
  <c r="F10" i="169"/>
  <c r="H8" i="169"/>
  <c r="H6" i="169"/>
  <c r="E10" i="169"/>
  <c r="F15" i="168"/>
  <c r="F19" i="168" s="1"/>
  <c r="B11" i="168"/>
  <c r="G33" i="166"/>
  <c r="B31" i="169"/>
  <c r="G29" i="166"/>
  <c r="G11" i="166"/>
  <c r="G46" i="166"/>
  <c r="G39" i="166"/>
  <c r="D18" i="169"/>
  <c r="D16" i="169"/>
  <c r="D22" i="169" s="1"/>
  <c r="G13" i="167"/>
  <c r="G5" i="167"/>
  <c r="K33" i="166"/>
  <c r="C23" i="166"/>
  <c r="D46" i="166"/>
  <c r="D39" i="166"/>
  <c r="B27" i="165"/>
  <c r="B19" i="165"/>
  <c r="K7" i="165"/>
  <c r="K12" i="169"/>
  <c r="H19" i="166"/>
  <c r="E11" i="167"/>
  <c r="H17" i="166"/>
  <c r="J37" i="166"/>
  <c r="J33" i="165"/>
  <c r="K29" i="165"/>
  <c r="J25" i="165"/>
  <c r="J17" i="165"/>
  <c r="K13" i="165"/>
  <c r="D35" i="165"/>
  <c r="H17" i="167"/>
  <c r="F27" i="166"/>
  <c r="B11" i="166"/>
  <c r="K4" i="165"/>
  <c r="K5" i="165" s="1"/>
  <c r="K5" i="164"/>
  <c r="K15" i="164" s="1"/>
  <c r="J36" i="160"/>
  <c r="J35" i="160" s="1"/>
  <c r="I15" i="167"/>
  <c r="C33" i="166"/>
  <c r="C25" i="166"/>
  <c r="E5" i="165"/>
  <c r="D19" i="163"/>
  <c r="J45" i="162"/>
  <c r="J27" i="162"/>
  <c r="I19" i="162"/>
  <c r="H31" i="166"/>
  <c r="D23" i="166"/>
  <c r="H39" i="166"/>
  <c r="H46" i="166"/>
  <c r="G35" i="165"/>
  <c r="E15" i="164"/>
  <c r="K11" i="163"/>
  <c r="J47" i="162"/>
  <c r="D23" i="160"/>
  <c r="D19" i="160"/>
  <c r="D35" i="160"/>
  <c r="D11" i="160"/>
  <c r="D27" i="160"/>
  <c r="D31" i="160"/>
  <c r="D15" i="160"/>
  <c r="D7" i="160"/>
  <c r="D21" i="163"/>
  <c r="J35" i="162"/>
  <c r="E46" i="160"/>
  <c r="E39" i="160"/>
  <c r="Q81" i="170"/>
  <c r="B39" i="169"/>
  <c r="G7" i="167"/>
  <c r="I5" i="166"/>
  <c r="E35" i="166"/>
  <c r="E33" i="166"/>
  <c r="E31" i="166"/>
  <c r="E23" i="166"/>
  <c r="E15" i="166"/>
  <c r="E7" i="166"/>
  <c r="E37" i="166" s="1"/>
  <c r="E29" i="166"/>
  <c r="E21" i="166"/>
  <c r="E13" i="166"/>
  <c r="E27" i="166"/>
  <c r="E19" i="166"/>
  <c r="E11" i="166"/>
  <c r="E25" i="166"/>
  <c r="E17" i="166"/>
  <c r="E9" i="166"/>
  <c r="H21" i="163"/>
  <c r="J51" i="162"/>
  <c r="C13" i="161"/>
  <c r="C9" i="161"/>
  <c r="C45" i="160"/>
  <c r="C29" i="160"/>
  <c r="C25" i="160"/>
  <c r="C21" i="160"/>
  <c r="C17" i="160"/>
  <c r="C9" i="160"/>
  <c r="C39" i="160"/>
  <c r="E23" i="159"/>
  <c r="G9" i="159"/>
  <c r="D34" i="159"/>
  <c r="D5" i="159"/>
  <c r="J4" i="159"/>
  <c r="C11" i="163"/>
  <c r="F7" i="162"/>
  <c r="F9" i="161"/>
  <c r="B5" i="161"/>
  <c r="C7" i="164"/>
  <c r="I37" i="160"/>
  <c r="G13" i="159"/>
  <c r="J22" i="157"/>
  <c r="J15" i="157" s="1"/>
  <c r="B21" i="157"/>
  <c r="B25" i="157"/>
  <c r="B17" i="157"/>
  <c r="J39" i="162"/>
  <c r="D17" i="161"/>
  <c r="D33" i="160"/>
  <c r="D25" i="160"/>
  <c r="D21" i="160"/>
  <c r="D13" i="160"/>
  <c r="H46" i="160"/>
  <c r="B15" i="157"/>
  <c r="B23" i="157" s="1"/>
  <c r="F35" i="159"/>
  <c r="G23" i="157"/>
  <c r="B37" i="160"/>
  <c r="D17" i="167" l="1"/>
  <c r="E17" i="167"/>
  <c r="C17" i="167"/>
  <c r="C37" i="166"/>
  <c r="I37" i="166"/>
  <c r="B37" i="166"/>
  <c r="K7" i="166"/>
  <c r="K19" i="166"/>
  <c r="K9" i="166"/>
  <c r="K5" i="166"/>
  <c r="K43" i="166"/>
  <c r="K29" i="166"/>
  <c r="K25" i="166"/>
  <c r="K11" i="165"/>
  <c r="K35" i="165" s="1"/>
  <c r="K19" i="165"/>
  <c r="K21" i="165"/>
  <c r="K15" i="165"/>
  <c r="K27" i="165"/>
  <c r="E35" i="165"/>
  <c r="K9" i="165"/>
  <c r="K25" i="165"/>
  <c r="J35" i="165"/>
  <c r="G15" i="164"/>
  <c r="G23" i="163"/>
  <c r="F23" i="163"/>
  <c r="C17" i="161"/>
  <c r="J9" i="161"/>
  <c r="B17" i="161"/>
  <c r="G17" i="161"/>
  <c r="D37" i="160"/>
  <c r="C37" i="160"/>
  <c r="G37" i="160"/>
  <c r="J7" i="160"/>
  <c r="J34" i="159"/>
  <c r="J5" i="159" s="1"/>
  <c r="J5" i="160"/>
  <c r="J41" i="160"/>
  <c r="H23" i="163"/>
  <c r="D23" i="163"/>
  <c r="B11" i="162"/>
  <c r="J39" i="160"/>
  <c r="F11" i="162"/>
  <c r="I17" i="167"/>
  <c r="K21" i="166"/>
  <c r="K35" i="169"/>
  <c r="C22" i="169"/>
  <c r="K19" i="168"/>
  <c r="K31" i="166"/>
  <c r="K9" i="168"/>
  <c r="K13" i="166"/>
  <c r="K22" i="169"/>
  <c r="J25" i="160"/>
  <c r="J29" i="160"/>
  <c r="J21" i="160"/>
  <c r="J9" i="160"/>
  <c r="J17" i="160"/>
  <c r="J27" i="157"/>
  <c r="J19" i="162"/>
  <c r="C15" i="164"/>
  <c r="H37" i="166"/>
  <c r="K9" i="167"/>
  <c r="K7" i="167"/>
  <c r="K13" i="167"/>
  <c r="E17" i="161"/>
  <c r="E35" i="159"/>
  <c r="J15" i="161"/>
  <c r="J11" i="161"/>
  <c r="J7" i="161"/>
  <c r="G37" i="166"/>
  <c r="I22" i="169"/>
  <c r="B45" i="169"/>
  <c r="K33" i="169"/>
  <c r="K41" i="166"/>
  <c r="K39" i="166"/>
  <c r="B35" i="165"/>
  <c r="K15" i="167"/>
  <c r="D31" i="159"/>
  <c r="D27" i="159"/>
  <c r="D9" i="159"/>
  <c r="D21" i="159"/>
  <c r="D25" i="159"/>
  <c r="D33" i="159"/>
  <c r="D19" i="159"/>
  <c r="D17" i="159"/>
  <c r="D11" i="159"/>
  <c r="D13" i="159"/>
  <c r="D29" i="159"/>
  <c r="D15" i="159"/>
  <c r="D23" i="159"/>
  <c r="D7" i="159"/>
  <c r="J15" i="160"/>
  <c r="G17" i="167"/>
  <c r="J22" i="169"/>
  <c r="J45" i="169"/>
  <c r="F17" i="161"/>
  <c r="J19" i="160"/>
  <c r="F37" i="166"/>
  <c r="E19" i="168"/>
  <c r="K37" i="169"/>
  <c r="K29" i="169"/>
  <c r="H31" i="159"/>
  <c r="H27" i="159"/>
  <c r="H13" i="159"/>
  <c r="H23" i="159"/>
  <c r="H9" i="159"/>
  <c r="H21" i="159"/>
  <c r="H25" i="159"/>
  <c r="H33" i="159"/>
  <c r="H7" i="159"/>
  <c r="H19" i="159"/>
  <c r="H17" i="159"/>
  <c r="H11" i="159"/>
  <c r="H29" i="159"/>
  <c r="H15" i="159"/>
  <c r="J11" i="160"/>
  <c r="J5" i="161"/>
  <c r="C23" i="163"/>
  <c r="K7" i="168"/>
  <c r="K11" i="168" s="1"/>
  <c r="K35" i="166"/>
  <c r="J11" i="157"/>
  <c r="J13" i="157"/>
  <c r="J17" i="157"/>
  <c r="J21" i="157"/>
  <c r="J7" i="157"/>
  <c r="J25" i="157"/>
  <c r="J5" i="157"/>
  <c r="J23" i="157" s="1"/>
  <c r="J9" i="157"/>
  <c r="J19" i="157"/>
  <c r="J31" i="160"/>
  <c r="H22" i="169"/>
  <c r="G22" i="169"/>
  <c r="J9" i="162"/>
  <c r="J5" i="162"/>
  <c r="J11" i="162" s="1"/>
  <c r="B35" i="159"/>
  <c r="J13" i="160"/>
  <c r="K23" i="163"/>
  <c r="J23" i="160"/>
  <c r="J43" i="160"/>
  <c r="D37" i="166"/>
  <c r="K24" i="163"/>
  <c r="K25" i="163" s="1"/>
  <c r="C25" i="163"/>
  <c r="J33" i="160"/>
  <c r="C45" i="169"/>
  <c r="G35" i="159"/>
  <c r="J45" i="160"/>
  <c r="K41" i="169"/>
  <c r="J27" i="160"/>
  <c r="I35" i="165"/>
  <c r="K17" i="166"/>
  <c r="K27" i="166"/>
  <c r="K11" i="167"/>
  <c r="K17" i="167" l="1"/>
  <c r="K37" i="166"/>
  <c r="J17" i="161"/>
  <c r="H35" i="159"/>
  <c r="D35" i="159"/>
  <c r="K45" i="169"/>
  <c r="J25" i="159"/>
  <c r="J21" i="159"/>
  <c r="J29" i="159"/>
  <c r="J33" i="159"/>
  <c r="J17" i="159"/>
  <c r="J9" i="159"/>
  <c r="J19" i="159"/>
  <c r="J23" i="159"/>
  <c r="J15" i="159"/>
  <c r="J27" i="159"/>
  <c r="J11" i="159"/>
  <c r="J31" i="159"/>
  <c r="J7" i="159"/>
  <c r="J35" i="159" s="1"/>
  <c r="J13" i="159"/>
  <c r="J37" i="160"/>
  <c r="E63" i="150" l="1"/>
  <c r="E62" i="150"/>
  <c r="E61" i="150"/>
  <c r="E60" i="150"/>
  <c r="E59" i="150"/>
  <c r="E58" i="150"/>
  <c r="E57" i="150"/>
  <c r="E56" i="150"/>
  <c r="E55" i="150"/>
  <c r="E54" i="150"/>
  <c r="E53" i="150"/>
  <c r="E52" i="150"/>
  <c r="E51" i="150"/>
  <c r="E50" i="150"/>
  <c r="E49" i="150"/>
  <c r="E48" i="150"/>
  <c r="E47" i="150"/>
  <c r="E46" i="150"/>
  <c r="C63" i="150"/>
  <c r="C62" i="150"/>
  <c r="C61" i="150"/>
  <c r="C60" i="150"/>
  <c r="C59" i="150"/>
  <c r="C58" i="150"/>
  <c r="C57" i="150"/>
  <c r="C56" i="150"/>
  <c r="C55" i="150"/>
  <c r="C54" i="150"/>
  <c r="C53" i="150"/>
  <c r="C52" i="150"/>
  <c r="C51" i="150"/>
  <c r="C50" i="150"/>
  <c r="C49" i="150"/>
  <c r="C48" i="150"/>
  <c r="C47" i="150"/>
  <c r="C46" i="150"/>
  <c r="E43" i="150"/>
  <c r="E42" i="150"/>
  <c r="C43" i="150"/>
  <c r="C42" i="150"/>
  <c r="E38" i="150"/>
  <c r="E37" i="150"/>
  <c r="E36" i="150"/>
  <c r="C38" i="150"/>
  <c r="C37" i="150"/>
  <c r="C36" i="150"/>
  <c r="E31" i="150"/>
  <c r="E30" i="150"/>
  <c r="E29" i="150"/>
  <c r="E28" i="150"/>
  <c r="E27" i="150"/>
  <c r="E26" i="150"/>
  <c r="E25" i="150"/>
  <c r="E24" i="150"/>
  <c r="E23" i="150"/>
  <c r="E22" i="150"/>
  <c r="E21" i="150"/>
  <c r="E20" i="150"/>
  <c r="E19" i="150"/>
  <c r="E18" i="150"/>
  <c r="E17" i="150"/>
  <c r="E16" i="150"/>
  <c r="E15" i="150"/>
  <c r="E14" i="150"/>
  <c r="C31" i="150"/>
  <c r="C30" i="150"/>
  <c r="C29" i="150"/>
  <c r="C28" i="150"/>
  <c r="C27" i="150"/>
  <c r="C26" i="150"/>
  <c r="C25" i="150"/>
  <c r="C24" i="150"/>
  <c r="C23" i="150"/>
  <c r="C22" i="150"/>
  <c r="C21" i="150"/>
  <c r="C20" i="150"/>
  <c r="C19" i="150"/>
  <c r="C18" i="150"/>
  <c r="C17" i="150"/>
  <c r="C16" i="150"/>
  <c r="C15" i="150"/>
  <c r="C14" i="150"/>
  <c r="E11" i="150"/>
  <c r="E10" i="150"/>
  <c r="C11" i="150"/>
  <c r="C10" i="150"/>
  <c r="E6" i="150"/>
  <c r="E5" i="150"/>
  <c r="E4" i="150"/>
  <c r="C6" i="150"/>
  <c r="C5" i="150"/>
  <c r="C4" i="150"/>
  <c r="E5" i="114" l="1"/>
  <c r="E7" i="114"/>
  <c r="E6" i="114"/>
  <c r="I31" i="123" l="1"/>
  <c r="I30" i="123"/>
  <c r="G31" i="123"/>
  <c r="G30" i="123"/>
  <c r="E31" i="123"/>
  <c r="E30" i="123"/>
  <c r="C31" i="123"/>
  <c r="C30" i="123"/>
  <c r="I28" i="123"/>
  <c r="I27" i="123"/>
  <c r="I26" i="123"/>
  <c r="I25" i="123"/>
  <c r="I24" i="123"/>
  <c r="I23" i="123"/>
  <c r="I22" i="123"/>
  <c r="I21" i="123"/>
  <c r="I20" i="123"/>
  <c r="G28" i="123"/>
  <c r="G27" i="123"/>
  <c r="G26" i="123"/>
  <c r="G25" i="123"/>
  <c r="G24" i="123"/>
  <c r="G23" i="123"/>
  <c r="G22" i="123"/>
  <c r="G21" i="123"/>
  <c r="G20" i="123"/>
  <c r="E28" i="123"/>
  <c r="E27" i="123"/>
  <c r="E26" i="123"/>
  <c r="E25" i="123"/>
  <c r="E24" i="123"/>
  <c r="E23" i="123"/>
  <c r="E22" i="123"/>
  <c r="E21" i="123"/>
  <c r="E20" i="123"/>
  <c r="C28" i="123"/>
  <c r="C27" i="123"/>
  <c r="C26" i="123"/>
  <c r="C25" i="123"/>
  <c r="C24" i="123"/>
  <c r="C23" i="123"/>
  <c r="C22" i="123"/>
  <c r="C21" i="123"/>
  <c r="C20" i="123"/>
  <c r="I15" i="123"/>
  <c r="I14" i="123"/>
  <c r="G15" i="123"/>
  <c r="G14" i="123"/>
  <c r="E15" i="123"/>
  <c r="E14" i="123"/>
  <c r="C15" i="123"/>
  <c r="C14" i="123"/>
  <c r="I12" i="123"/>
  <c r="I11" i="123"/>
  <c r="I10" i="123"/>
  <c r="I9" i="123"/>
  <c r="I8" i="123"/>
  <c r="I7" i="123"/>
  <c r="I6" i="123"/>
  <c r="I5" i="123"/>
  <c r="I4" i="123"/>
  <c r="G12" i="123"/>
  <c r="G11" i="123"/>
  <c r="G10" i="123"/>
  <c r="G9" i="123"/>
  <c r="G8" i="123"/>
  <c r="G7" i="123"/>
  <c r="G6" i="123"/>
  <c r="G5" i="123"/>
  <c r="G4" i="123"/>
  <c r="E12" i="123"/>
  <c r="E11" i="123"/>
  <c r="E10" i="123"/>
  <c r="E9" i="123"/>
  <c r="E8" i="123"/>
  <c r="E7" i="123"/>
  <c r="E6" i="123"/>
  <c r="E5" i="123"/>
  <c r="E4" i="123"/>
  <c r="C12" i="123"/>
  <c r="C11" i="123"/>
  <c r="C10" i="123"/>
  <c r="C9" i="123"/>
  <c r="C8" i="123"/>
  <c r="C7" i="123"/>
  <c r="C6" i="123"/>
  <c r="C5" i="123"/>
  <c r="C4" i="123"/>
  <c r="I33" i="122"/>
  <c r="I32" i="122"/>
  <c r="G33" i="122"/>
  <c r="G32" i="122"/>
  <c r="G30" i="122"/>
  <c r="G29" i="122"/>
  <c r="G28" i="122"/>
  <c r="G27" i="122"/>
  <c r="G26" i="122"/>
  <c r="G25" i="122"/>
  <c r="G24" i="122"/>
  <c r="G23" i="122"/>
  <c r="G22" i="122"/>
  <c r="E30" i="122"/>
  <c r="E29" i="122"/>
  <c r="E28" i="122"/>
  <c r="E27" i="122"/>
  <c r="E26" i="122"/>
  <c r="E25" i="122"/>
  <c r="E24" i="122"/>
  <c r="E23" i="122"/>
  <c r="E22" i="122"/>
  <c r="C30" i="122"/>
  <c r="C29" i="122"/>
  <c r="C28" i="122"/>
  <c r="C27" i="122"/>
  <c r="C26" i="122"/>
  <c r="C25" i="122"/>
  <c r="C24" i="122"/>
  <c r="C23" i="122"/>
  <c r="C22" i="122"/>
  <c r="I16" i="122"/>
  <c r="I15" i="122"/>
  <c r="G16" i="122"/>
  <c r="G15" i="122"/>
  <c r="E16" i="122"/>
  <c r="E15" i="122"/>
  <c r="C16" i="122"/>
  <c r="C15" i="122"/>
  <c r="I13" i="122"/>
  <c r="I12" i="122"/>
  <c r="I11" i="122"/>
  <c r="I10" i="122"/>
  <c r="I9" i="122"/>
  <c r="I8" i="122"/>
  <c r="I7" i="122"/>
  <c r="I6" i="122"/>
  <c r="I5" i="122"/>
  <c r="G13" i="122"/>
  <c r="G12" i="122"/>
  <c r="G11" i="122"/>
  <c r="G10" i="122"/>
  <c r="G9" i="122"/>
  <c r="G8" i="122"/>
  <c r="G7" i="122"/>
  <c r="G6" i="122"/>
  <c r="G5" i="122"/>
  <c r="E13" i="122"/>
  <c r="E12" i="122"/>
  <c r="E11" i="122"/>
  <c r="E10" i="122"/>
  <c r="E9" i="122"/>
  <c r="E8" i="122"/>
  <c r="E7" i="122"/>
  <c r="E6" i="122"/>
  <c r="E5" i="122"/>
  <c r="C13" i="122"/>
  <c r="C12" i="122"/>
  <c r="C11" i="122"/>
  <c r="C10" i="122"/>
  <c r="C9" i="122"/>
  <c r="C8" i="122"/>
  <c r="C7" i="122"/>
  <c r="C6" i="122"/>
  <c r="C5" i="122"/>
  <c r="I31" i="121"/>
  <c r="I30" i="121"/>
  <c r="I28" i="121"/>
  <c r="I27" i="121"/>
  <c r="I26" i="121"/>
  <c r="I25" i="121"/>
  <c r="I24" i="121"/>
  <c r="I23" i="121"/>
  <c r="I22" i="121"/>
  <c r="I21" i="121"/>
  <c r="I20" i="121"/>
  <c r="G20" i="121"/>
  <c r="E28" i="121"/>
  <c r="E27" i="121"/>
  <c r="E26" i="121"/>
  <c r="E25" i="121"/>
  <c r="E24" i="121"/>
  <c r="E23" i="121"/>
  <c r="E22" i="121"/>
  <c r="E21" i="121"/>
  <c r="E20" i="121"/>
  <c r="C28" i="121"/>
  <c r="C27" i="121"/>
  <c r="C26" i="121"/>
  <c r="C25" i="121"/>
  <c r="C24" i="121"/>
  <c r="C23" i="121"/>
  <c r="C22" i="121"/>
  <c r="C21" i="121"/>
  <c r="C20" i="121"/>
  <c r="I15" i="121"/>
  <c r="I14" i="121"/>
  <c r="G15" i="121"/>
  <c r="G14" i="121"/>
  <c r="E15" i="121"/>
  <c r="E14" i="121"/>
  <c r="C15" i="121"/>
  <c r="C14" i="121"/>
  <c r="I12" i="121"/>
  <c r="I11" i="121"/>
  <c r="I10" i="121"/>
  <c r="I9" i="121"/>
  <c r="I8" i="121"/>
  <c r="I7" i="121"/>
  <c r="I6" i="121"/>
  <c r="I5" i="121"/>
  <c r="I4" i="121"/>
  <c r="C12" i="121"/>
  <c r="C11" i="121"/>
  <c r="C10" i="121"/>
  <c r="C9" i="121"/>
  <c r="C8" i="121"/>
  <c r="C7" i="121"/>
  <c r="C6" i="121"/>
  <c r="C5" i="121"/>
  <c r="C4" i="121"/>
  <c r="G31" i="120"/>
  <c r="G30" i="120"/>
  <c r="E31" i="120"/>
  <c r="E30" i="120"/>
  <c r="C31" i="120"/>
  <c r="C30" i="120"/>
  <c r="I31" i="120"/>
  <c r="I30" i="120"/>
  <c r="I28" i="120"/>
  <c r="I27" i="120"/>
  <c r="I26" i="120"/>
  <c r="I25" i="120"/>
  <c r="I24" i="120"/>
  <c r="I23" i="120"/>
  <c r="I22" i="120"/>
  <c r="I21" i="120"/>
  <c r="I20" i="120"/>
  <c r="E28" i="120"/>
  <c r="E27" i="120"/>
  <c r="E26" i="120"/>
  <c r="E25" i="120"/>
  <c r="E24" i="120"/>
  <c r="E23" i="120"/>
  <c r="E22" i="120"/>
  <c r="E21" i="120"/>
  <c r="E20" i="120"/>
  <c r="C28" i="120"/>
  <c r="C27" i="120"/>
  <c r="C26" i="120"/>
  <c r="C25" i="120"/>
  <c r="C24" i="120"/>
  <c r="C23" i="120"/>
  <c r="C22" i="120"/>
  <c r="C21" i="120"/>
  <c r="C20" i="120"/>
  <c r="I15" i="120"/>
  <c r="I14" i="120"/>
  <c r="G15" i="120"/>
  <c r="G14" i="120"/>
  <c r="E15" i="120"/>
  <c r="E14" i="120"/>
  <c r="C15" i="120"/>
  <c r="C14" i="120"/>
  <c r="I12" i="120"/>
  <c r="I11" i="120"/>
  <c r="I10" i="120"/>
  <c r="I9" i="120"/>
  <c r="I8" i="120"/>
  <c r="I7" i="120"/>
  <c r="I6" i="120"/>
  <c r="I5" i="120"/>
  <c r="I4" i="120"/>
  <c r="G12" i="120"/>
  <c r="G11" i="120"/>
  <c r="G10" i="120"/>
  <c r="G9" i="120"/>
  <c r="G8" i="120"/>
  <c r="G7" i="120"/>
  <c r="G6" i="120"/>
  <c r="G5" i="120"/>
  <c r="G4" i="120"/>
  <c r="E12" i="120"/>
  <c r="E11" i="120"/>
  <c r="E10" i="120"/>
  <c r="E9" i="120"/>
  <c r="E8" i="120"/>
  <c r="E7" i="120"/>
  <c r="E6" i="120"/>
  <c r="E5" i="120"/>
  <c r="E4" i="120"/>
  <c r="C12" i="120"/>
  <c r="C11" i="120"/>
  <c r="C10" i="120"/>
  <c r="C9" i="120"/>
  <c r="C8" i="120"/>
  <c r="C7" i="120"/>
  <c r="C6" i="120"/>
  <c r="C5" i="120"/>
  <c r="C4" i="120"/>
  <c r="I65" i="114"/>
  <c r="I64" i="114"/>
  <c r="I63" i="114"/>
  <c r="I62" i="114"/>
  <c r="I61" i="114"/>
  <c r="I60" i="114"/>
  <c r="I59" i="114"/>
  <c r="I58" i="114"/>
  <c r="I57" i="114"/>
  <c r="I56" i="114"/>
  <c r="I55" i="114"/>
  <c r="I54" i="114"/>
  <c r="I53" i="114"/>
  <c r="I52" i="114"/>
  <c r="I51" i="114"/>
  <c r="I50" i="114"/>
  <c r="I49" i="114"/>
  <c r="I48" i="114"/>
  <c r="C65" i="114"/>
  <c r="C64" i="114"/>
  <c r="C63" i="114"/>
  <c r="C62" i="114"/>
  <c r="C61" i="114"/>
  <c r="C60" i="114"/>
  <c r="C59" i="114"/>
  <c r="C58" i="114"/>
  <c r="C57" i="114"/>
  <c r="C56" i="114"/>
  <c r="C55" i="114"/>
  <c r="C54" i="114"/>
  <c r="C53" i="114"/>
  <c r="C52" i="114"/>
  <c r="C51" i="114"/>
  <c r="C50" i="114"/>
  <c r="C49" i="114"/>
  <c r="C48" i="114"/>
  <c r="I45" i="114"/>
  <c r="I44" i="114"/>
  <c r="C45" i="114"/>
  <c r="C44" i="114"/>
  <c r="I40" i="114"/>
  <c r="I39" i="114"/>
  <c r="I38" i="114"/>
  <c r="C40" i="114"/>
  <c r="C39" i="114"/>
  <c r="C38" i="114"/>
  <c r="I32" i="114"/>
  <c r="I31" i="114"/>
  <c r="I30" i="114"/>
  <c r="I29" i="114"/>
  <c r="I28" i="114"/>
  <c r="I27" i="114"/>
  <c r="I26" i="114"/>
  <c r="I25" i="114"/>
  <c r="I24" i="114"/>
  <c r="I23" i="114"/>
  <c r="I22" i="114"/>
  <c r="I21" i="114"/>
  <c r="I20" i="114"/>
  <c r="I19" i="114"/>
  <c r="I18" i="114"/>
  <c r="I17" i="114"/>
  <c r="I16" i="114"/>
  <c r="I15" i="114"/>
  <c r="C32" i="114"/>
  <c r="C31" i="114"/>
  <c r="C30" i="114"/>
  <c r="C29" i="114"/>
  <c r="C28" i="114"/>
  <c r="C27" i="114"/>
  <c r="C26" i="114"/>
  <c r="C25" i="114"/>
  <c r="C24" i="114"/>
  <c r="C23" i="114"/>
  <c r="C22" i="114"/>
  <c r="C21" i="114"/>
  <c r="C20" i="114"/>
  <c r="C19" i="114"/>
  <c r="C18" i="114"/>
  <c r="C17" i="114"/>
  <c r="C16" i="114"/>
  <c r="C15" i="114"/>
  <c r="I12" i="114"/>
  <c r="I11" i="114"/>
  <c r="C12" i="114"/>
  <c r="C11" i="114"/>
  <c r="I7" i="114"/>
  <c r="I6" i="114"/>
  <c r="I5" i="114"/>
  <c r="C7" i="114"/>
  <c r="C6" i="114"/>
  <c r="C5" i="114"/>
  <c r="I63" i="113"/>
  <c r="I62" i="113"/>
  <c r="I61" i="113"/>
  <c r="I60" i="113"/>
  <c r="I59" i="113"/>
  <c r="I58" i="113"/>
  <c r="I57" i="113"/>
  <c r="I56" i="113"/>
  <c r="I55" i="113"/>
  <c r="I54" i="113"/>
  <c r="I53" i="113"/>
  <c r="I52" i="113"/>
  <c r="I51" i="113"/>
  <c r="I50" i="113"/>
  <c r="I49" i="113"/>
  <c r="I48" i="113"/>
  <c r="I47" i="113"/>
  <c r="I46" i="113"/>
  <c r="G63" i="113"/>
  <c r="G62" i="113"/>
  <c r="G61" i="113"/>
  <c r="G60" i="113"/>
  <c r="G59" i="113"/>
  <c r="G58" i="113"/>
  <c r="G57" i="113"/>
  <c r="G56" i="113"/>
  <c r="G55" i="113"/>
  <c r="G54" i="113"/>
  <c r="G53" i="113"/>
  <c r="G52" i="113"/>
  <c r="G51" i="113"/>
  <c r="G50" i="113"/>
  <c r="G49" i="113"/>
  <c r="G48" i="113"/>
  <c r="G47" i="113"/>
  <c r="G46" i="113"/>
  <c r="E63" i="113"/>
  <c r="E62" i="113"/>
  <c r="E61" i="113"/>
  <c r="E60" i="113"/>
  <c r="E59" i="113"/>
  <c r="E58" i="113"/>
  <c r="E57" i="113"/>
  <c r="E56" i="113"/>
  <c r="E55" i="113"/>
  <c r="E54" i="113"/>
  <c r="E53" i="113"/>
  <c r="E52" i="113"/>
  <c r="E51" i="113"/>
  <c r="E50" i="113"/>
  <c r="E49" i="113"/>
  <c r="E48" i="113"/>
  <c r="E47" i="113"/>
  <c r="E46" i="113"/>
  <c r="C63" i="113"/>
  <c r="C62" i="113"/>
  <c r="C61" i="113"/>
  <c r="C60" i="113"/>
  <c r="C59" i="113"/>
  <c r="C58" i="113"/>
  <c r="C57" i="113"/>
  <c r="C56" i="113"/>
  <c r="C55" i="113"/>
  <c r="C54" i="113"/>
  <c r="C53" i="113"/>
  <c r="C52" i="113"/>
  <c r="C51" i="113"/>
  <c r="C50" i="113"/>
  <c r="C49" i="113"/>
  <c r="C48" i="113"/>
  <c r="C47" i="113"/>
  <c r="C46" i="113"/>
  <c r="I43" i="113"/>
  <c r="I42" i="113"/>
  <c r="G43" i="113"/>
  <c r="G42" i="113"/>
  <c r="C43" i="113"/>
  <c r="C42" i="113"/>
  <c r="I38" i="113"/>
  <c r="I37" i="113"/>
  <c r="I36" i="113"/>
  <c r="G38" i="113"/>
  <c r="G37" i="113"/>
  <c r="G36" i="113"/>
  <c r="E38" i="113"/>
  <c r="E37" i="113"/>
  <c r="E36" i="113"/>
  <c r="C38" i="113"/>
  <c r="C37" i="113"/>
  <c r="C36" i="113"/>
  <c r="I31" i="113"/>
  <c r="I30" i="113"/>
  <c r="I29" i="113"/>
  <c r="I28" i="113"/>
  <c r="I27" i="113"/>
  <c r="I26" i="113"/>
  <c r="I25" i="113"/>
  <c r="I24" i="113"/>
  <c r="I23" i="113"/>
  <c r="I22" i="113"/>
  <c r="I21" i="113"/>
  <c r="I20" i="113"/>
  <c r="I19" i="113"/>
  <c r="I18" i="113"/>
  <c r="I17" i="113"/>
  <c r="I16" i="113"/>
  <c r="I15" i="113"/>
  <c r="I14" i="113"/>
  <c r="G31" i="113"/>
  <c r="G30" i="113"/>
  <c r="G29" i="113"/>
  <c r="G28" i="113"/>
  <c r="G27" i="113"/>
  <c r="G26" i="113"/>
  <c r="G25" i="113"/>
  <c r="G24" i="113"/>
  <c r="G23" i="113"/>
  <c r="G22" i="113"/>
  <c r="G21" i="113"/>
  <c r="G20" i="113"/>
  <c r="G19" i="113"/>
  <c r="G18" i="113"/>
  <c r="G17" i="113"/>
  <c r="G16" i="113"/>
  <c r="G15" i="113"/>
  <c r="G14" i="113"/>
  <c r="E31" i="113"/>
  <c r="E30" i="113"/>
  <c r="E29" i="113"/>
  <c r="E28" i="113"/>
  <c r="E27" i="113"/>
  <c r="E26" i="113"/>
  <c r="E25" i="113"/>
  <c r="E24" i="113"/>
  <c r="E23" i="113"/>
  <c r="E22" i="113"/>
  <c r="E21" i="113"/>
  <c r="E20" i="113"/>
  <c r="E19" i="113"/>
  <c r="E18" i="113"/>
  <c r="E17" i="113"/>
  <c r="E16" i="113"/>
  <c r="E15" i="113"/>
  <c r="E14" i="113"/>
  <c r="C31" i="113"/>
  <c r="C30" i="113"/>
  <c r="C29" i="113"/>
  <c r="C28" i="113"/>
  <c r="C27" i="113"/>
  <c r="C26" i="113"/>
  <c r="C25" i="113"/>
  <c r="C24" i="113"/>
  <c r="C23" i="113"/>
  <c r="C22" i="113"/>
  <c r="C21" i="113"/>
  <c r="C20" i="113"/>
  <c r="C19" i="113"/>
  <c r="C18" i="113"/>
  <c r="C17" i="113"/>
  <c r="C16" i="113"/>
  <c r="C15" i="113"/>
  <c r="C14" i="113"/>
  <c r="I11" i="113"/>
  <c r="I10" i="113"/>
  <c r="G11" i="113"/>
  <c r="G10" i="113"/>
  <c r="C11" i="113"/>
  <c r="C10" i="113"/>
  <c r="I6" i="113"/>
  <c r="I5" i="113"/>
  <c r="I4" i="113"/>
  <c r="G6" i="113"/>
  <c r="G5" i="113"/>
  <c r="G4" i="113"/>
  <c r="E6" i="113"/>
  <c r="E5" i="113"/>
  <c r="E4" i="113"/>
  <c r="C6" i="113"/>
  <c r="C5" i="113"/>
  <c r="C4" i="113"/>
  <c r="G28" i="121"/>
  <c r="G27" i="121"/>
  <c r="G26" i="121"/>
  <c r="G25" i="121"/>
  <c r="G24" i="121"/>
  <c r="G23" i="121"/>
  <c r="G22" i="121"/>
  <c r="G21" i="121"/>
  <c r="E11" i="114"/>
  <c r="K20" i="123" l="1"/>
  <c r="I22" i="122"/>
  <c r="I23" i="122"/>
  <c r="I24" i="122"/>
  <c r="I25" i="122"/>
  <c r="I26" i="122"/>
  <c r="I27" i="122"/>
  <c r="I28" i="122"/>
  <c r="I29" i="122"/>
  <c r="I30" i="122"/>
  <c r="I14" i="122"/>
  <c r="J14" i="122" s="1"/>
  <c r="I29" i="121"/>
  <c r="J20" i="121" s="1"/>
  <c r="E48" i="114"/>
  <c r="G48" i="114"/>
  <c r="E49" i="114"/>
  <c r="G49" i="114"/>
  <c r="E50" i="114"/>
  <c r="G50" i="114"/>
  <c r="E51" i="114"/>
  <c r="G51" i="114"/>
  <c r="E52" i="114"/>
  <c r="G52" i="114"/>
  <c r="E53" i="114"/>
  <c r="G53" i="114"/>
  <c r="E54" i="114"/>
  <c r="G54" i="114"/>
  <c r="E55" i="114"/>
  <c r="G55" i="114"/>
  <c r="E56" i="114"/>
  <c r="G56" i="114"/>
  <c r="E57" i="114"/>
  <c r="G57" i="114"/>
  <c r="E58" i="114"/>
  <c r="G58" i="114"/>
  <c r="E59" i="114"/>
  <c r="G59" i="114"/>
  <c r="E60" i="114"/>
  <c r="G60" i="114"/>
  <c r="E61" i="114"/>
  <c r="G61" i="114"/>
  <c r="E62" i="114"/>
  <c r="G62" i="114"/>
  <c r="E63" i="114"/>
  <c r="G63" i="114"/>
  <c r="E64" i="114"/>
  <c r="G64" i="114"/>
  <c r="E65" i="114"/>
  <c r="G65" i="114"/>
  <c r="E44" i="114"/>
  <c r="F50" i="114" s="1"/>
  <c r="G44" i="114"/>
  <c r="E45" i="114"/>
  <c r="G45" i="114"/>
  <c r="E38" i="114"/>
  <c r="G38" i="114"/>
  <c r="E39" i="114"/>
  <c r="G39" i="114"/>
  <c r="E40" i="114"/>
  <c r="G40" i="114"/>
  <c r="E15" i="114"/>
  <c r="G15" i="114"/>
  <c r="E16" i="114"/>
  <c r="G16" i="114"/>
  <c r="E17" i="114"/>
  <c r="G17" i="114"/>
  <c r="E18" i="114"/>
  <c r="G18" i="114"/>
  <c r="E19" i="114"/>
  <c r="G19" i="114"/>
  <c r="E20" i="114"/>
  <c r="G20" i="114"/>
  <c r="E21" i="114"/>
  <c r="G21" i="114"/>
  <c r="E22" i="114"/>
  <c r="G22" i="114"/>
  <c r="E23" i="114"/>
  <c r="G23" i="114"/>
  <c r="E24" i="114"/>
  <c r="G24" i="114"/>
  <c r="E25" i="114"/>
  <c r="G25" i="114"/>
  <c r="E26" i="114"/>
  <c r="G26" i="114"/>
  <c r="E27" i="114"/>
  <c r="G27" i="114"/>
  <c r="E28" i="114"/>
  <c r="G28" i="114"/>
  <c r="E29" i="114"/>
  <c r="G29" i="114"/>
  <c r="E30" i="114"/>
  <c r="G30" i="114"/>
  <c r="E31" i="114"/>
  <c r="G31" i="114"/>
  <c r="E32" i="114"/>
  <c r="G32" i="114"/>
  <c r="F15" i="114"/>
  <c r="G11" i="114"/>
  <c r="E12" i="114"/>
  <c r="G12" i="114"/>
  <c r="G5" i="114"/>
  <c r="G6" i="114"/>
  <c r="G7" i="114"/>
  <c r="J47" i="113"/>
  <c r="J43" i="113"/>
  <c r="J15" i="113"/>
  <c r="O49" i="156" s="1"/>
  <c r="J11" i="113"/>
  <c r="C7" i="113"/>
  <c r="I39" i="113"/>
  <c r="J36" i="113" s="1"/>
  <c r="G8" i="114" l="1"/>
  <c r="J16" i="122"/>
  <c r="J31" i="121"/>
  <c r="K4" i="123"/>
  <c r="K5" i="122"/>
  <c r="K13" i="122"/>
  <c r="K26" i="121"/>
  <c r="K20" i="121"/>
  <c r="K10" i="121"/>
  <c r="K20" i="120"/>
  <c r="K6" i="120"/>
  <c r="F44" i="114"/>
  <c r="F11" i="114"/>
  <c r="J50" i="113"/>
  <c r="J48" i="113"/>
  <c r="H55" i="113"/>
  <c r="H53" i="113"/>
  <c r="H21" i="113"/>
  <c r="N55" i="156" s="1"/>
  <c r="E13" i="123"/>
  <c r="F4" i="123" s="1"/>
  <c r="E31" i="122"/>
  <c r="F31" i="122" s="1"/>
  <c r="K22" i="122"/>
  <c r="I31" i="122"/>
  <c r="J31" i="122" s="1"/>
  <c r="K26" i="122"/>
  <c r="K24" i="122"/>
  <c r="K11" i="122"/>
  <c r="K7" i="122"/>
  <c r="E14" i="122"/>
  <c r="F14" i="122" s="1"/>
  <c r="K9" i="122"/>
  <c r="K22" i="121"/>
  <c r="K21" i="121"/>
  <c r="K24" i="121"/>
  <c r="I13" i="121"/>
  <c r="J4" i="121" s="1"/>
  <c r="K4" i="121"/>
  <c r="K8" i="121"/>
  <c r="K6" i="121"/>
  <c r="K24" i="120"/>
  <c r="K22" i="120"/>
  <c r="K4" i="120"/>
  <c r="F22" i="114"/>
  <c r="F63" i="114"/>
  <c r="F59" i="114"/>
  <c r="F53" i="114"/>
  <c r="I41" i="114"/>
  <c r="J39" i="114" s="1"/>
  <c r="F18" i="114"/>
  <c r="F30" i="114"/>
  <c r="F26" i="114"/>
  <c r="J61" i="114"/>
  <c r="J57" i="114"/>
  <c r="J49" i="114"/>
  <c r="J64" i="114"/>
  <c r="F62" i="114"/>
  <c r="J60" i="114"/>
  <c r="F58" i="114"/>
  <c r="J56" i="114"/>
  <c r="J55" i="114"/>
  <c r="F51" i="114"/>
  <c r="J48" i="114"/>
  <c r="J65" i="114"/>
  <c r="J50" i="114"/>
  <c r="F65" i="114"/>
  <c r="J63" i="114"/>
  <c r="F61" i="114"/>
  <c r="J59" i="114"/>
  <c r="F57" i="114"/>
  <c r="J54" i="114"/>
  <c r="J53" i="114"/>
  <c r="F49" i="114"/>
  <c r="F64" i="114"/>
  <c r="J62" i="114"/>
  <c r="F60" i="114"/>
  <c r="J58" i="114"/>
  <c r="F55" i="114"/>
  <c r="J52" i="114"/>
  <c r="J51" i="114"/>
  <c r="F48" i="114"/>
  <c r="F45" i="114"/>
  <c r="J45" i="114"/>
  <c r="J44" i="114"/>
  <c r="J24" i="114"/>
  <c r="J20" i="114"/>
  <c r="J31" i="114"/>
  <c r="F29" i="114"/>
  <c r="J27" i="114"/>
  <c r="F25" i="114"/>
  <c r="J23" i="114"/>
  <c r="F21" i="114"/>
  <c r="J19" i="114"/>
  <c r="F17" i="114"/>
  <c r="J15" i="114"/>
  <c r="J28" i="114"/>
  <c r="J16" i="114"/>
  <c r="F32" i="114"/>
  <c r="J30" i="114"/>
  <c r="F28" i="114"/>
  <c r="J26" i="114"/>
  <c r="F24" i="114"/>
  <c r="J22" i="114"/>
  <c r="F20" i="114"/>
  <c r="J18" i="114"/>
  <c r="F16" i="114"/>
  <c r="J32" i="114"/>
  <c r="F31" i="114"/>
  <c r="J29" i="114"/>
  <c r="F27" i="114"/>
  <c r="J25" i="114"/>
  <c r="F23" i="114"/>
  <c r="J21" i="114"/>
  <c r="F19" i="114"/>
  <c r="J17" i="114"/>
  <c r="F12" i="114"/>
  <c r="E8" i="114"/>
  <c r="F6" i="114" s="1"/>
  <c r="I8" i="114"/>
  <c r="J5" i="114" s="1"/>
  <c r="J12" i="114"/>
  <c r="J11" i="114"/>
  <c r="J62" i="113"/>
  <c r="J60" i="113"/>
  <c r="H51" i="113"/>
  <c r="H49" i="113"/>
  <c r="J46" i="113"/>
  <c r="H63" i="113"/>
  <c r="H61" i="113"/>
  <c r="J58" i="113"/>
  <c r="J56" i="113"/>
  <c r="H47" i="113"/>
  <c r="H59" i="113"/>
  <c r="H57" i="113"/>
  <c r="J54" i="113"/>
  <c r="J52" i="113"/>
  <c r="F46" i="113"/>
  <c r="F63" i="113"/>
  <c r="D62" i="113"/>
  <c r="F61" i="113"/>
  <c r="D60" i="113"/>
  <c r="F59" i="113"/>
  <c r="D58" i="113"/>
  <c r="F57" i="113"/>
  <c r="D56" i="113"/>
  <c r="F55" i="113"/>
  <c r="D54" i="113"/>
  <c r="F53" i="113"/>
  <c r="D52" i="113"/>
  <c r="F51" i="113"/>
  <c r="D50" i="113"/>
  <c r="F49" i="113"/>
  <c r="D48" i="113"/>
  <c r="F47" i="113"/>
  <c r="D46" i="113"/>
  <c r="J63" i="113"/>
  <c r="H62" i="113"/>
  <c r="J61" i="113"/>
  <c r="H60" i="113"/>
  <c r="J59" i="113"/>
  <c r="H58" i="113"/>
  <c r="J57" i="113"/>
  <c r="H56" i="113"/>
  <c r="J55" i="113"/>
  <c r="H54" i="113"/>
  <c r="J53" i="113"/>
  <c r="H52" i="113"/>
  <c r="J51" i="113"/>
  <c r="H50" i="113"/>
  <c r="J49" i="113"/>
  <c r="H48" i="113"/>
  <c r="H46" i="113"/>
  <c r="F42" i="113"/>
  <c r="D63" i="113"/>
  <c r="F62" i="113"/>
  <c r="D61" i="113"/>
  <c r="F60" i="113"/>
  <c r="D59" i="113"/>
  <c r="F58" i="113"/>
  <c r="D57" i="113"/>
  <c r="F56" i="113"/>
  <c r="D55" i="113"/>
  <c r="F54" i="113"/>
  <c r="D53" i="113"/>
  <c r="F52" i="113"/>
  <c r="D51" i="113"/>
  <c r="F50" i="113"/>
  <c r="D49" i="113"/>
  <c r="F48" i="113"/>
  <c r="D47" i="113"/>
  <c r="H43" i="113"/>
  <c r="J42" i="113"/>
  <c r="F43" i="113"/>
  <c r="D42" i="113"/>
  <c r="J38" i="113"/>
  <c r="J37" i="113"/>
  <c r="H42" i="113"/>
  <c r="D43" i="113"/>
  <c r="J28" i="113"/>
  <c r="O62" i="156" s="1"/>
  <c r="J16" i="113"/>
  <c r="O50" i="156" s="1"/>
  <c r="H31" i="113"/>
  <c r="N65" i="156" s="1"/>
  <c r="H29" i="113"/>
  <c r="N63" i="156" s="1"/>
  <c r="J26" i="113"/>
  <c r="O60" i="156" s="1"/>
  <c r="J24" i="113"/>
  <c r="O58" i="156" s="1"/>
  <c r="H19" i="113"/>
  <c r="N53" i="156" s="1"/>
  <c r="H17" i="113"/>
  <c r="N51" i="156" s="1"/>
  <c r="J14" i="113"/>
  <c r="O48" i="156" s="1"/>
  <c r="H27" i="113"/>
  <c r="N61" i="156" s="1"/>
  <c r="H25" i="113"/>
  <c r="N59" i="156" s="1"/>
  <c r="J22" i="113"/>
  <c r="O56" i="156" s="1"/>
  <c r="H15" i="113"/>
  <c r="N49" i="156" s="1"/>
  <c r="J30" i="113"/>
  <c r="O64" i="156" s="1"/>
  <c r="J18" i="113"/>
  <c r="O52" i="156" s="1"/>
  <c r="H23" i="113"/>
  <c r="N57" i="156" s="1"/>
  <c r="J20" i="113"/>
  <c r="O54" i="156" s="1"/>
  <c r="F14" i="113"/>
  <c r="M48" i="156" s="1"/>
  <c r="F31" i="113"/>
  <c r="M65" i="156" s="1"/>
  <c r="D30" i="113"/>
  <c r="L64" i="156" s="1"/>
  <c r="F29" i="113"/>
  <c r="M63" i="156" s="1"/>
  <c r="D28" i="113"/>
  <c r="L62" i="156" s="1"/>
  <c r="F27" i="113"/>
  <c r="M61" i="156" s="1"/>
  <c r="D26" i="113"/>
  <c r="L60" i="156" s="1"/>
  <c r="F25" i="113"/>
  <c r="M59" i="156" s="1"/>
  <c r="D24" i="113"/>
  <c r="L58" i="156" s="1"/>
  <c r="F23" i="113"/>
  <c r="M57" i="156" s="1"/>
  <c r="D22" i="113"/>
  <c r="L56" i="156" s="1"/>
  <c r="F21" i="113"/>
  <c r="M55" i="156" s="1"/>
  <c r="D20" i="113"/>
  <c r="L54" i="156" s="1"/>
  <c r="F19" i="113"/>
  <c r="M53" i="156" s="1"/>
  <c r="D18" i="113"/>
  <c r="L52" i="156" s="1"/>
  <c r="F17" i="113"/>
  <c r="M51" i="156" s="1"/>
  <c r="D16" i="113"/>
  <c r="L50" i="156" s="1"/>
  <c r="F15" i="113"/>
  <c r="M49" i="156" s="1"/>
  <c r="D14" i="113"/>
  <c r="L48" i="156" s="1"/>
  <c r="J31" i="113"/>
  <c r="O65" i="156" s="1"/>
  <c r="H30" i="113"/>
  <c r="N64" i="156" s="1"/>
  <c r="J29" i="113"/>
  <c r="O63" i="156" s="1"/>
  <c r="H28" i="113"/>
  <c r="N62" i="156" s="1"/>
  <c r="J27" i="113"/>
  <c r="O61" i="156" s="1"/>
  <c r="H26" i="113"/>
  <c r="N60" i="156" s="1"/>
  <c r="J25" i="113"/>
  <c r="O59" i="156" s="1"/>
  <c r="H24" i="113"/>
  <c r="N58" i="156" s="1"/>
  <c r="J23" i="113"/>
  <c r="O57" i="156" s="1"/>
  <c r="H22" i="113"/>
  <c r="N56" i="156" s="1"/>
  <c r="J21" i="113"/>
  <c r="O55" i="156" s="1"/>
  <c r="H20" i="113"/>
  <c r="N54" i="156" s="1"/>
  <c r="J19" i="113"/>
  <c r="O53" i="156" s="1"/>
  <c r="H18" i="113"/>
  <c r="N52" i="156" s="1"/>
  <c r="J17" i="113"/>
  <c r="O51" i="156" s="1"/>
  <c r="H16" i="113"/>
  <c r="N50" i="156" s="1"/>
  <c r="H14" i="113"/>
  <c r="N48" i="156" s="1"/>
  <c r="D31" i="113"/>
  <c r="L65" i="156" s="1"/>
  <c r="F30" i="113"/>
  <c r="M64" i="156" s="1"/>
  <c r="D29" i="113"/>
  <c r="L63" i="156" s="1"/>
  <c r="F28" i="113"/>
  <c r="M62" i="156" s="1"/>
  <c r="D27" i="113"/>
  <c r="L61" i="156" s="1"/>
  <c r="F26" i="113"/>
  <c r="M60" i="156" s="1"/>
  <c r="D25" i="113"/>
  <c r="L59" i="156" s="1"/>
  <c r="F24" i="113"/>
  <c r="M58" i="156" s="1"/>
  <c r="D23" i="113"/>
  <c r="L57" i="156" s="1"/>
  <c r="F22" i="113"/>
  <c r="M56" i="156" s="1"/>
  <c r="D21" i="113"/>
  <c r="L55" i="156" s="1"/>
  <c r="F20" i="113"/>
  <c r="M54" i="156" s="1"/>
  <c r="D19" i="113"/>
  <c r="L53" i="156" s="1"/>
  <c r="F18" i="113"/>
  <c r="M52" i="156" s="1"/>
  <c r="D17" i="113"/>
  <c r="L51" i="156" s="1"/>
  <c r="F16" i="113"/>
  <c r="M50" i="156" s="1"/>
  <c r="D15" i="113"/>
  <c r="L49" i="156" s="1"/>
  <c r="J10" i="113"/>
  <c r="H11" i="113"/>
  <c r="E7" i="113"/>
  <c r="F5" i="113" s="1"/>
  <c r="D6" i="113"/>
  <c r="D5" i="113"/>
  <c r="D4" i="113"/>
  <c r="F11" i="113"/>
  <c r="D10" i="113"/>
  <c r="H10" i="113"/>
  <c r="D11" i="113"/>
  <c r="F10" i="113"/>
  <c r="D11" i="114"/>
  <c r="D27" i="114"/>
  <c r="D21" i="114"/>
  <c r="D19" i="114"/>
  <c r="D44" i="114"/>
  <c r="D64" i="114"/>
  <c r="D54" i="114"/>
  <c r="D52" i="114"/>
  <c r="D50" i="114"/>
  <c r="D48" i="114"/>
  <c r="H11" i="114"/>
  <c r="H31" i="114"/>
  <c r="H29" i="114"/>
  <c r="H27" i="114"/>
  <c r="H25" i="114"/>
  <c r="H23" i="114"/>
  <c r="H21" i="114"/>
  <c r="H19" i="114"/>
  <c r="H17" i="114"/>
  <c r="H15" i="114"/>
  <c r="H44" i="114"/>
  <c r="H64" i="114"/>
  <c r="H62" i="114"/>
  <c r="H60" i="114"/>
  <c r="H58" i="114"/>
  <c r="H56" i="114"/>
  <c r="H54" i="114"/>
  <c r="H52" i="114"/>
  <c r="H50" i="114"/>
  <c r="H48" i="114"/>
  <c r="D25" i="114"/>
  <c r="D15" i="114"/>
  <c r="D62" i="114"/>
  <c r="D60" i="114"/>
  <c r="D56" i="114"/>
  <c r="C41" i="114"/>
  <c r="D39" i="114" s="1"/>
  <c r="H6" i="114"/>
  <c r="H5" i="114"/>
  <c r="D30" i="114"/>
  <c r="D28" i="114"/>
  <c r="D24" i="114"/>
  <c r="D20" i="114"/>
  <c r="D18" i="114"/>
  <c r="D16" i="114"/>
  <c r="D45" i="114"/>
  <c r="D65" i="114"/>
  <c r="D63" i="114"/>
  <c r="D61" i="114"/>
  <c r="D59" i="114"/>
  <c r="D57" i="114"/>
  <c r="F56" i="114"/>
  <c r="D55" i="114"/>
  <c r="F54" i="114"/>
  <c r="D53" i="114"/>
  <c r="F52" i="114"/>
  <c r="D51" i="114"/>
  <c r="D49" i="114"/>
  <c r="D31" i="114"/>
  <c r="D29" i="114"/>
  <c r="D23" i="114"/>
  <c r="D17" i="114"/>
  <c r="D58" i="114"/>
  <c r="C8" i="114"/>
  <c r="D6" i="114" s="1"/>
  <c r="H7" i="114"/>
  <c r="D12" i="114"/>
  <c r="D32" i="114"/>
  <c r="D26" i="114"/>
  <c r="D22" i="114"/>
  <c r="H12" i="114"/>
  <c r="H32" i="114"/>
  <c r="H30" i="114"/>
  <c r="H28" i="114"/>
  <c r="H26" i="114"/>
  <c r="H24" i="114"/>
  <c r="H22" i="114"/>
  <c r="H20" i="114"/>
  <c r="H18" i="114"/>
  <c r="H16" i="114"/>
  <c r="H45" i="114"/>
  <c r="H65" i="114"/>
  <c r="H63" i="114"/>
  <c r="H61" i="114"/>
  <c r="H59" i="114"/>
  <c r="H57" i="114"/>
  <c r="H55" i="114"/>
  <c r="H53" i="114"/>
  <c r="H51" i="114"/>
  <c r="H49" i="114"/>
  <c r="K14" i="120"/>
  <c r="K30" i="120"/>
  <c r="K30" i="121"/>
  <c r="E29" i="121"/>
  <c r="F20" i="121" s="1"/>
  <c r="J21" i="121"/>
  <c r="J23" i="121"/>
  <c r="K5" i="121"/>
  <c r="J27" i="121"/>
  <c r="E13" i="121"/>
  <c r="F4" i="121" s="1"/>
  <c r="K12" i="121"/>
  <c r="K28" i="121"/>
  <c r="J25" i="121"/>
  <c r="F25" i="122"/>
  <c r="J8" i="122"/>
  <c r="J29" i="122"/>
  <c r="J27" i="122"/>
  <c r="F23" i="122"/>
  <c r="J10" i="122"/>
  <c r="J6" i="122"/>
  <c r="J25" i="122"/>
  <c r="K23" i="122"/>
  <c r="J12" i="122"/>
  <c r="J33" i="122"/>
  <c r="J23" i="122"/>
  <c r="K30" i="123"/>
  <c r="K6" i="123"/>
  <c r="K24" i="123"/>
  <c r="K22" i="123"/>
  <c r="K8" i="123"/>
  <c r="K26" i="123"/>
  <c r="K14" i="123"/>
  <c r="F15" i="123"/>
  <c r="I13" i="123"/>
  <c r="J10" i="123" s="1"/>
  <c r="I29" i="123"/>
  <c r="J26" i="123" s="1"/>
  <c r="E29" i="123"/>
  <c r="F20" i="123" s="1"/>
  <c r="K28" i="123"/>
  <c r="K31" i="123"/>
  <c r="K27" i="123"/>
  <c r="K23" i="123"/>
  <c r="G29" i="123"/>
  <c r="H30" i="123" s="1"/>
  <c r="C29" i="123"/>
  <c r="D26" i="123" s="1"/>
  <c r="K25" i="123"/>
  <c r="K21" i="123"/>
  <c r="K10" i="123"/>
  <c r="G13" i="123"/>
  <c r="H4" i="123" s="1"/>
  <c r="C13" i="123"/>
  <c r="D4" i="123" s="1"/>
  <c r="K9" i="123"/>
  <c r="K5" i="123"/>
  <c r="K12" i="123"/>
  <c r="K15" i="123"/>
  <c r="K11" i="123"/>
  <c r="K7" i="123"/>
  <c r="K30" i="122"/>
  <c r="J30" i="122"/>
  <c r="J26" i="122"/>
  <c r="J22" i="122"/>
  <c r="C31" i="122"/>
  <c r="K27" i="122"/>
  <c r="K32" i="122"/>
  <c r="K28" i="122"/>
  <c r="J32" i="122"/>
  <c r="J28" i="122"/>
  <c r="J24" i="122"/>
  <c r="K33" i="122"/>
  <c r="G31" i="122"/>
  <c r="H30" i="122" s="1"/>
  <c r="K29" i="122"/>
  <c r="K25" i="122"/>
  <c r="K15" i="122"/>
  <c r="J15" i="122"/>
  <c r="J13" i="122"/>
  <c r="J11" i="122"/>
  <c r="C14" i="122"/>
  <c r="D11" i="122" s="1"/>
  <c r="K12" i="122"/>
  <c r="K8" i="122"/>
  <c r="K6" i="122"/>
  <c r="J9" i="122"/>
  <c r="J7" i="122"/>
  <c r="J5" i="122"/>
  <c r="K16" i="122"/>
  <c r="G14" i="122"/>
  <c r="H7" i="122" s="1"/>
  <c r="K10" i="122"/>
  <c r="G29" i="121"/>
  <c r="H24" i="121" s="1"/>
  <c r="C29" i="121"/>
  <c r="D22" i="121" s="1"/>
  <c r="K25" i="121"/>
  <c r="J30" i="121"/>
  <c r="J28" i="121"/>
  <c r="J26" i="121"/>
  <c r="J24" i="121"/>
  <c r="J22" i="121"/>
  <c r="K31" i="121"/>
  <c r="K27" i="121"/>
  <c r="K23" i="121"/>
  <c r="G13" i="121"/>
  <c r="H6" i="121" s="1"/>
  <c r="C13" i="121"/>
  <c r="D14" i="121" s="1"/>
  <c r="K9" i="121"/>
  <c r="K7" i="121"/>
  <c r="K14" i="121"/>
  <c r="K15" i="121"/>
  <c r="K11" i="121"/>
  <c r="K31" i="120"/>
  <c r="K28" i="120"/>
  <c r="K25" i="120"/>
  <c r="K21" i="120"/>
  <c r="K26" i="120"/>
  <c r="K27" i="120"/>
  <c r="K23" i="120"/>
  <c r="K15" i="120"/>
  <c r="K8" i="120"/>
  <c r="K9" i="120"/>
  <c r="K5" i="120"/>
  <c r="K12" i="120"/>
  <c r="K10" i="120"/>
  <c r="K11" i="120"/>
  <c r="K7" i="120"/>
  <c r="E41" i="114"/>
  <c r="F39" i="114" s="1"/>
  <c r="G41" i="114"/>
  <c r="H40" i="114" s="1"/>
  <c r="C39" i="113"/>
  <c r="D38" i="113" s="1"/>
  <c r="I7" i="113"/>
  <c r="J6" i="113" s="1"/>
  <c r="G39" i="113"/>
  <c r="H38" i="113" s="1"/>
  <c r="G7" i="113"/>
  <c r="H6" i="113" s="1"/>
  <c r="E39" i="113"/>
  <c r="F36" i="113" s="1"/>
  <c r="I38" i="85"/>
  <c r="I37" i="85"/>
  <c r="I36" i="85"/>
  <c r="I35" i="85"/>
  <c r="I34" i="85"/>
  <c r="I33" i="85"/>
  <c r="I32" i="85"/>
  <c r="I31" i="85"/>
  <c r="I30" i="85"/>
  <c r="I29" i="85"/>
  <c r="I28" i="85"/>
  <c r="I27" i="85"/>
  <c r="I26" i="85"/>
  <c r="I25" i="85"/>
  <c r="I24" i="85"/>
  <c r="I23" i="85"/>
  <c r="I22" i="85"/>
  <c r="I21" i="85"/>
  <c r="C38" i="85"/>
  <c r="C37" i="85"/>
  <c r="C36" i="85"/>
  <c r="C35" i="85"/>
  <c r="C34" i="85"/>
  <c r="C33" i="85"/>
  <c r="C32" i="85"/>
  <c r="C31" i="85"/>
  <c r="C30" i="85"/>
  <c r="C29" i="85"/>
  <c r="C28" i="85"/>
  <c r="C27" i="85"/>
  <c r="C26" i="85"/>
  <c r="C25" i="85"/>
  <c r="C24" i="85"/>
  <c r="C23" i="85"/>
  <c r="C22" i="85"/>
  <c r="C21" i="85"/>
  <c r="B6" i="82"/>
  <c r="C40" i="104"/>
  <c r="C39" i="104"/>
  <c r="C38" i="104"/>
  <c r="C37" i="104"/>
  <c r="C36" i="104"/>
  <c r="C35" i="104"/>
  <c r="C34" i="104"/>
  <c r="C33" i="104"/>
  <c r="C32" i="104"/>
  <c r="C31" i="104"/>
  <c r="C30" i="104"/>
  <c r="C29" i="104"/>
  <c r="C28" i="104"/>
  <c r="C27" i="104"/>
  <c r="C26" i="104"/>
  <c r="C25" i="104"/>
  <c r="C24" i="104"/>
  <c r="C23" i="104"/>
  <c r="C40" i="95"/>
  <c r="C39" i="95"/>
  <c r="C38" i="95"/>
  <c r="C37" i="95"/>
  <c r="C36" i="95"/>
  <c r="C35" i="95"/>
  <c r="C34" i="95"/>
  <c r="C33" i="95"/>
  <c r="C32" i="95"/>
  <c r="C31" i="95"/>
  <c r="C30" i="95"/>
  <c r="C29" i="95"/>
  <c r="C28" i="95"/>
  <c r="C27" i="95"/>
  <c r="C26" i="95"/>
  <c r="C25" i="95"/>
  <c r="C24" i="95"/>
  <c r="C23" i="95"/>
  <c r="F8" i="123" l="1"/>
  <c r="F10" i="123"/>
  <c r="F9" i="123"/>
  <c r="J14" i="123"/>
  <c r="F14" i="121"/>
  <c r="J11" i="121"/>
  <c r="F6" i="121"/>
  <c r="F10" i="121"/>
  <c r="F5" i="114"/>
  <c r="F7" i="114"/>
  <c r="F15" i="122"/>
  <c r="F6" i="122"/>
  <c r="F10" i="122"/>
  <c r="F9" i="122"/>
  <c r="F16" i="122"/>
  <c r="F6" i="113"/>
  <c r="F24" i="123"/>
  <c r="J8" i="123"/>
  <c r="D12" i="121"/>
  <c r="H28" i="121"/>
  <c r="F22" i="123"/>
  <c r="F12" i="123"/>
  <c r="F11" i="123"/>
  <c r="F14" i="123"/>
  <c r="F7" i="123"/>
  <c r="F6" i="123"/>
  <c r="F5" i="123"/>
  <c r="F26" i="122"/>
  <c r="F29" i="122"/>
  <c r="F32" i="122"/>
  <c r="F27" i="122"/>
  <c r="F24" i="122"/>
  <c r="F30" i="122"/>
  <c r="F28" i="122"/>
  <c r="F13" i="122"/>
  <c r="F12" i="122"/>
  <c r="H20" i="121"/>
  <c r="H30" i="121"/>
  <c r="K29" i="121"/>
  <c r="L24" i="121" s="1"/>
  <c r="J10" i="121"/>
  <c r="J7" i="121"/>
  <c r="J5" i="121"/>
  <c r="J6" i="121"/>
  <c r="J14" i="121"/>
  <c r="J40" i="114"/>
  <c r="J30" i="123"/>
  <c r="J20" i="123"/>
  <c r="J22" i="123"/>
  <c r="J21" i="123"/>
  <c r="J24" i="123"/>
  <c r="F30" i="123"/>
  <c r="F27" i="123"/>
  <c r="F22" i="122"/>
  <c r="F33" i="122"/>
  <c r="F5" i="122"/>
  <c r="F8" i="122"/>
  <c r="F11" i="122"/>
  <c r="F7" i="122"/>
  <c r="D20" i="121"/>
  <c r="F22" i="121"/>
  <c r="F26" i="121"/>
  <c r="F30" i="121"/>
  <c r="H22" i="121"/>
  <c r="F23" i="121"/>
  <c r="F25" i="121"/>
  <c r="J29" i="121"/>
  <c r="F24" i="121"/>
  <c r="F28" i="121"/>
  <c r="F21" i="121"/>
  <c r="F31" i="121"/>
  <c r="F8" i="121"/>
  <c r="F12" i="121"/>
  <c r="F11" i="121"/>
  <c r="F15" i="121"/>
  <c r="J8" i="121"/>
  <c r="J12" i="121"/>
  <c r="H10" i="121"/>
  <c r="J15" i="121"/>
  <c r="J9" i="121"/>
  <c r="J38" i="114"/>
  <c r="J6" i="114"/>
  <c r="H8" i="114"/>
  <c r="J7" i="114"/>
  <c r="D36" i="113"/>
  <c r="F38" i="113"/>
  <c r="F4" i="113"/>
  <c r="H5" i="113"/>
  <c r="D40" i="114"/>
  <c r="D38" i="114"/>
  <c r="D7" i="114"/>
  <c r="F40" i="114"/>
  <c r="D5" i="114"/>
  <c r="H14" i="121"/>
  <c r="H4" i="121"/>
  <c r="F5" i="121"/>
  <c r="D4" i="121"/>
  <c r="F7" i="121"/>
  <c r="H8" i="121"/>
  <c r="F9" i="121"/>
  <c r="F27" i="121"/>
  <c r="D15" i="122"/>
  <c r="D7" i="122"/>
  <c r="J28" i="123"/>
  <c r="F25" i="123"/>
  <c r="F21" i="123"/>
  <c r="H12" i="123"/>
  <c r="J5" i="123"/>
  <c r="J15" i="123"/>
  <c r="J11" i="123"/>
  <c r="D6" i="123"/>
  <c r="J9" i="123"/>
  <c r="D14" i="123"/>
  <c r="J4" i="123"/>
  <c r="J12" i="123"/>
  <c r="H6" i="123"/>
  <c r="J7" i="123"/>
  <c r="J6" i="123"/>
  <c r="H14" i="123"/>
  <c r="J25" i="123"/>
  <c r="J31" i="123"/>
  <c r="F23" i="123"/>
  <c r="F28" i="123"/>
  <c r="F26" i="123"/>
  <c r="D22" i="123"/>
  <c r="J23" i="123"/>
  <c r="J27" i="123"/>
  <c r="F31" i="123"/>
  <c r="H21" i="123"/>
  <c r="H27" i="123"/>
  <c r="H31" i="123"/>
  <c r="H23" i="123"/>
  <c r="H25" i="123"/>
  <c r="K29" i="123"/>
  <c r="L21" i="123" s="1"/>
  <c r="H24" i="123"/>
  <c r="H20" i="123"/>
  <c r="D28" i="123"/>
  <c r="D24" i="123"/>
  <c r="H26" i="123"/>
  <c r="H28" i="123"/>
  <c r="H22" i="123"/>
  <c r="D23" i="123"/>
  <c r="D25" i="123"/>
  <c r="D21" i="123"/>
  <c r="D27" i="123"/>
  <c r="D31" i="123"/>
  <c r="D20" i="123"/>
  <c r="D30" i="123"/>
  <c r="K13" i="123"/>
  <c r="L5" i="123" s="1"/>
  <c r="D5" i="123"/>
  <c r="D7" i="123"/>
  <c r="D9" i="123"/>
  <c r="D15" i="123"/>
  <c r="D11" i="123"/>
  <c r="H8" i="123"/>
  <c r="D12" i="123"/>
  <c r="H5" i="123"/>
  <c r="H7" i="123"/>
  <c r="H11" i="123"/>
  <c r="H9" i="123"/>
  <c r="H15" i="123"/>
  <c r="D10" i="123"/>
  <c r="H10" i="123"/>
  <c r="D8" i="123"/>
  <c r="D23" i="122"/>
  <c r="D25" i="122"/>
  <c r="D27" i="122"/>
  <c r="D31" i="122"/>
  <c r="D29" i="122"/>
  <c r="D33" i="122"/>
  <c r="H26" i="122"/>
  <c r="D26" i="122"/>
  <c r="H24" i="122"/>
  <c r="H23" i="122"/>
  <c r="H25" i="122"/>
  <c r="H29" i="122"/>
  <c r="H33" i="122"/>
  <c r="H27" i="122"/>
  <c r="H31" i="122"/>
  <c r="D30" i="122"/>
  <c r="H22" i="122"/>
  <c r="K31" i="122"/>
  <c r="H28" i="122"/>
  <c r="D22" i="122"/>
  <c r="D28" i="122"/>
  <c r="D24" i="122"/>
  <c r="D32" i="122"/>
  <c r="H32" i="122"/>
  <c r="H15" i="122"/>
  <c r="H9" i="122"/>
  <c r="D13" i="122"/>
  <c r="D9" i="122"/>
  <c r="H10" i="122"/>
  <c r="H12" i="122"/>
  <c r="H14" i="122"/>
  <c r="H6" i="122"/>
  <c r="H8" i="122"/>
  <c r="H16" i="122"/>
  <c r="K14" i="122"/>
  <c r="L15" i="122" s="1"/>
  <c r="H13" i="122"/>
  <c r="H5" i="122"/>
  <c r="D6" i="122"/>
  <c r="D8" i="122"/>
  <c r="D12" i="122"/>
  <c r="D14" i="122"/>
  <c r="D16" i="122"/>
  <c r="D10" i="122"/>
  <c r="D5" i="122"/>
  <c r="H11" i="122"/>
  <c r="D21" i="121"/>
  <c r="D23" i="121"/>
  <c r="D25" i="121"/>
  <c r="D27" i="121"/>
  <c r="D31" i="121"/>
  <c r="D30" i="121"/>
  <c r="D24" i="121"/>
  <c r="D26" i="121"/>
  <c r="H21" i="121"/>
  <c r="H23" i="121"/>
  <c r="H25" i="121"/>
  <c r="H27" i="121"/>
  <c r="H31" i="121"/>
  <c r="D28" i="121"/>
  <c r="H26" i="121"/>
  <c r="K13" i="121"/>
  <c r="L7" i="121" s="1"/>
  <c r="D5" i="121"/>
  <c r="D7" i="121"/>
  <c r="D9" i="121"/>
  <c r="D11" i="121"/>
  <c r="D15" i="121"/>
  <c r="D10" i="121"/>
  <c r="D6" i="121"/>
  <c r="H5" i="121"/>
  <c r="H7" i="121"/>
  <c r="H9" i="121"/>
  <c r="H11" i="121"/>
  <c r="H15" i="121"/>
  <c r="H12" i="121"/>
  <c r="D8" i="121"/>
  <c r="H38" i="114"/>
  <c r="F38" i="114"/>
  <c r="H39" i="114"/>
  <c r="D37" i="113"/>
  <c r="H36" i="113"/>
  <c r="H37" i="113"/>
  <c r="F37" i="113"/>
  <c r="F39" i="113" s="1"/>
  <c r="J5" i="113"/>
  <c r="J4" i="113"/>
  <c r="H4" i="113"/>
  <c r="J39" i="113"/>
  <c r="D7" i="113"/>
  <c r="L14" i="121" l="1"/>
  <c r="D39" i="113"/>
  <c r="F8" i="114"/>
  <c r="L26" i="121"/>
  <c r="F7" i="113"/>
  <c r="F13" i="123"/>
  <c r="L15" i="123"/>
  <c r="J41" i="114"/>
  <c r="L25" i="121"/>
  <c r="L22" i="121"/>
  <c r="L27" i="121"/>
  <c r="L30" i="121"/>
  <c r="L23" i="121"/>
  <c r="L28" i="121"/>
  <c r="L21" i="121"/>
  <c r="L31" i="121"/>
  <c r="L20" i="121"/>
  <c r="J8" i="114"/>
  <c r="H7" i="113"/>
  <c r="J29" i="123"/>
  <c r="L16" i="122"/>
  <c r="L12" i="122"/>
  <c r="L10" i="122"/>
  <c r="L8" i="122"/>
  <c r="L6" i="122"/>
  <c r="D29" i="121"/>
  <c r="F29" i="121"/>
  <c r="J13" i="121"/>
  <c r="F13" i="121"/>
  <c r="D13" i="121"/>
  <c r="D41" i="114"/>
  <c r="D8" i="114"/>
  <c r="J7" i="113"/>
  <c r="F41" i="114"/>
  <c r="H29" i="121"/>
  <c r="H13" i="121"/>
  <c r="L25" i="123"/>
  <c r="H13" i="123"/>
  <c r="L28" i="123"/>
  <c r="F29" i="123"/>
  <c r="L12" i="123"/>
  <c r="L31" i="123"/>
  <c r="L27" i="123"/>
  <c r="D13" i="123"/>
  <c r="L11" i="123"/>
  <c r="J13" i="123"/>
  <c r="L26" i="123"/>
  <c r="L24" i="123"/>
  <c r="L22" i="123"/>
  <c r="L30" i="123"/>
  <c r="L20" i="123"/>
  <c r="D29" i="123"/>
  <c r="L23" i="123"/>
  <c r="H29" i="123"/>
  <c r="L9" i="123"/>
  <c r="L14" i="123"/>
  <c r="L6" i="123"/>
  <c r="L4" i="123"/>
  <c r="L8" i="123"/>
  <c r="L10" i="123"/>
  <c r="L7" i="123"/>
  <c r="L31" i="122"/>
  <c r="L22" i="122"/>
  <c r="L26" i="122"/>
  <c r="L23" i="122"/>
  <c r="L24" i="122"/>
  <c r="L30" i="122"/>
  <c r="L27" i="122"/>
  <c r="L28" i="122"/>
  <c r="L32" i="122"/>
  <c r="L29" i="122"/>
  <c r="L33" i="122"/>
  <c r="L25" i="122"/>
  <c r="L14" i="122"/>
  <c r="L11" i="122"/>
  <c r="L9" i="122"/>
  <c r="L13" i="122"/>
  <c r="L5" i="122"/>
  <c r="L7" i="122"/>
  <c r="L6" i="121"/>
  <c r="L10" i="121"/>
  <c r="L12" i="121"/>
  <c r="L5" i="121"/>
  <c r="L8" i="121"/>
  <c r="L4" i="121"/>
  <c r="L11" i="121"/>
  <c r="L9" i="121"/>
  <c r="L15" i="121"/>
  <c r="H41" i="114"/>
  <c r="H39" i="113"/>
  <c r="O51" i="151"/>
  <c r="O50" i="151"/>
  <c r="O49" i="151"/>
  <c r="O48" i="151"/>
  <c r="O47" i="151"/>
  <c r="O46" i="151"/>
  <c r="N51" i="151"/>
  <c r="N50" i="151"/>
  <c r="N49" i="151"/>
  <c r="N48" i="151"/>
  <c r="N47" i="151"/>
  <c r="N46" i="151"/>
  <c r="P33" i="151"/>
  <c r="P32" i="151"/>
  <c r="P31" i="151"/>
  <c r="P30" i="151"/>
  <c r="P29" i="151"/>
  <c r="P28" i="151"/>
  <c r="P27" i="151"/>
  <c r="P26" i="151"/>
  <c r="O33" i="151"/>
  <c r="Q33" i="151" s="1"/>
  <c r="O32" i="151"/>
  <c r="O31" i="151"/>
  <c r="O30" i="151"/>
  <c r="Q30" i="151" s="1"/>
  <c r="O29" i="151"/>
  <c r="O28" i="151"/>
  <c r="O27" i="151"/>
  <c r="O26" i="151"/>
  <c r="Q26" i="151" s="1"/>
  <c r="N33" i="151"/>
  <c r="N32" i="151"/>
  <c r="N31" i="151"/>
  <c r="N30" i="151"/>
  <c r="N29" i="151"/>
  <c r="N28" i="151"/>
  <c r="N27" i="151"/>
  <c r="N26" i="151"/>
  <c r="P25" i="151"/>
  <c r="O25" i="151"/>
  <c r="N25" i="151"/>
  <c r="O6" i="151"/>
  <c r="P6" i="151"/>
  <c r="O7" i="151"/>
  <c r="P7" i="151"/>
  <c r="O8" i="151"/>
  <c r="P8" i="151"/>
  <c r="O9" i="151"/>
  <c r="P9" i="151"/>
  <c r="O10" i="151"/>
  <c r="P10" i="151"/>
  <c r="O11" i="151"/>
  <c r="P11" i="151"/>
  <c r="O12" i="151"/>
  <c r="P12" i="151"/>
  <c r="O13" i="151"/>
  <c r="P13" i="151"/>
  <c r="P5" i="151"/>
  <c r="O5" i="151"/>
  <c r="N6" i="151"/>
  <c r="N7" i="151"/>
  <c r="N8" i="151"/>
  <c r="N9" i="151"/>
  <c r="N10" i="151"/>
  <c r="N11" i="151"/>
  <c r="N12" i="151"/>
  <c r="N13" i="151"/>
  <c r="N5" i="151"/>
  <c r="Q29" i="151" l="1"/>
  <c r="L29" i="121"/>
  <c r="Q32" i="151"/>
  <c r="Q8" i="151"/>
  <c r="Q13" i="151"/>
  <c r="Q11" i="151"/>
  <c r="Q7" i="151"/>
  <c r="Q12" i="151"/>
  <c r="Q10" i="151"/>
  <c r="Q6" i="151"/>
  <c r="L13" i="123"/>
  <c r="L29" i="123"/>
  <c r="L13" i="121"/>
  <c r="Q31" i="151"/>
  <c r="Q27" i="151"/>
  <c r="Q28" i="151"/>
  <c r="Q9" i="151"/>
  <c r="Q25" i="151"/>
  <c r="Q5" i="151"/>
  <c r="J32" i="155"/>
  <c r="J31" i="155"/>
  <c r="J30" i="155"/>
  <c r="J29" i="155"/>
  <c r="J28" i="155"/>
  <c r="J27" i="155"/>
  <c r="J26" i="155"/>
  <c r="J25" i="155"/>
  <c r="J24" i="155"/>
  <c r="J23" i="155"/>
  <c r="J22" i="155"/>
  <c r="J21" i="155"/>
  <c r="J20" i="155"/>
  <c r="J19" i="155"/>
  <c r="J18" i="155"/>
  <c r="J17" i="155"/>
  <c r="J16" i="155"/>
  <c r="J15" i="155"/>
  <c r="J10" i="155"/>
  <c r="Q12" i="155" s="1"/>
  <c r="J9" i="155"/>
  <c r="C3" i="155" s="1"/>
  <c r="J5" i="155"/>
  <c r="Q10" i="155" s="1"/>
  <c r="J4" i="155"/>
  <c r="Q9" i="155" s="1"/>
  <c r="J3" i="155"/>
  <c r="Q11" i="155" l="1"/>
  <c r="Q13" i="155" s="1"/>
  <c r="R13" i="155" l="1"/>
  <c r="R10" i="155"/>
  <c r="R9" i="155"/>
  <c r="R12" i="155"/>
  <c r="R11" i="155"/>
  <c r="I19" i="100" l="1"/>
  <c r="Q35" i="152" s="1"/>
  <c r="I18" i="100"/>
  <c r="Q34" i="152" s="1"/>
  <c r="I17" i="100"/>
  <c r="Q33" i="152" s="1"/>
  <c r="I16" i="100"/>
  <c r="Q32" i="152" s="1"/>
  <c r="I15" i="100"/>
  <c r="Q31" i="152" s="1"/>
  <c r="I14" i="100"/>
  <c r="Q30" i="152" s="1"/>
  <c r="I13" i="100"/>
  <c r="Q29" i="152" s="1"/>
  <c r="K46" i="113" l="1"/>
  <c r="K45" i="113" l="1"/>
  <c r="D7" i="82" l="1"/>
  <c r="D8" i="82"/>
  <c r="D9" i="82"/>
  <c r="D10" i="82"/>
  <c r="D11" i="82"/>
  <c r="D12" i="82"/>
  <c r="D13" i="82"/>
  <c r="D14" i="82"/>
  <c r="D15" i="82"/>
  <c r="D16" i="82"/>
  <c r="D17" i="82"/>
  <c r="D18" i="82"/>
  <c r="D19" i="82"/>
  <c r="D20" i="82"/>
  <c r="D21" i="82"/>
  <c r="D6" i="82"/>
  <c r="B7" i="82"/>
  <c r="B8" i="82"/>
  <c r="B9" i="82"/>
  <c r="B10" i="82"/>
  <c r="B11" i="82"/>
  <c r="B12" i="82"/>
  <c r="B13" i="82"/>
  <c r="B14" i="82"/>
  <c r="B15" i="82"/>
  <c r="B16" i="82"/>
  <c r="B17" i="82"/>
  <c r="B18" i="82"/>
  <c r="B19" i="82"/>
  <c r="B20" i="82"/>
  <c r="B21" i="82"/>
  <c r="G6" i="91"/>
  <c r="G7" i="91"/>
  <c r="G8" i="91"/>
  <c r="G9" i="91"/>
  <c r="G10" i="91"/>
  <c r="G11" i="91"/>
  <c r="G12" i="91"/>
  <c r="G13" i="91"/>
  <c r="G14" i="91"/>
  <c r="G15" i="91"/>
  <c r="G16" i="91"/>
  <c r="G17" i="91"/>
  <c r="G18" i="91"/>
  <c r="G19" i="91"/>
  <c r="G20" i="91"/>
  <c r="G5" i="91"/>
  <c r="F6" i="91"/>
  <c r="F7" i="91"/>
  <c r="F8" i="91"/>
  <c r="F9" i="91"/>
  <c r="F10" i="91"/>
  <c r="F11" i="91"/>
  <c r="F12" i="91"/>
  <c r="F13" i="91"/>
  <c r="F14" i="91"/>
  <c r="F15" i="91"/>
  <c r="F16" i="91"/>
  <c r="F17" i="91"/>
  <c r="F18" i="91"/>
  <c r="F19" i="91"/>
  <c r="F20" i="91"/>
  <c r="F5" i="91"/>
  <c r="B6" i="91"/>
  <c r="B7" i="91"/>
  <c r="B8" i="91"/>
  <c r="B9" i="91"/>
  <c r="B10" i="91"/>
  <c r="B11" i="91"/>
  <c r="B12" i="91"/>
  <c r="B13" i="91"/>
  <c r="B14" i="91"/>
  <c r="B15" i="91"/>
  <c r="B16" i="91"/>
  <c r="B17" i="91"/>
  <c r="B18" i="91"/>
  <c r="B19" i="91"/>
  <c r="B20" i="91"/>
  <c r="B5" i="91"/>
  <c r="D34" i="81"/>
  <c r="D35" i="81"/>
  <c r="D36" i="81"/>
  <c r="D37" i="81"/>
  <c r="D38" i="81"/>
  <c r="D39" i="81"/>
  <c r="D40" i="81"/>
  <c r="D33" i="81"/>
  <c r="D32" i="81"/>
  <c r="D31" i="81"/>
  <c r="D30" i="81"/>
  <c r="D28" i="81"/>
  <c r="D29" i="81"/>
  <c r="D27" i="81"/>
  <c r="D14" i="81"/>
  <c r="D15" i="81"/>
  <c r="D16" i="81"/>
  <c r="D17" i="81"/>
  <c r="D18" i="81"/>
  <c r="D19" i="81"/>
  <c r="D20" i="81"/>
  <c r="D12" i="81"/>
  <c r="D13" i="81"/>
  <c r="D11" i="81"/>
  <c r="D10" i="81"/>
  <c r="D9" i="81"/>
  <c r="D8" i="81"/>
  <c r="D7" i="81"/>
  <c r="B20" i="80"/>
  <c r="B19" i="80"/>
  <c r="B18" i="80"/>
  <c r="B17" i="80"/>
  <c r="B16" i="80"/>
  <c r="B9" i="80"/>
  <c r="B8" i="80"/>
  <c r="B7" i="80"/>
  <c r="B6" i="80"/>
  <c r="B5" i="80"/>
  <c r="B6" i="79"/>
  <c r="B7" i="79"/>
  <c r="B8" i="79"/>
  <c r="B9" i="79"/>
  <c r="B10" i="79"/>
  <c r="B5" i="79"/>
  <c r="B25" i="82" l="1"/>
  <c r="P49" i="152"/>
  <c r="P55" i="152"/>
  <c r="P51" i="152"/>
  <c r="P47" i="152"/>
  <c r="P50" i="152"/>
  <c r="P54" i="152"/>
  <c r="P57" i="152"/>
  <c r="P53" i="152"/>
  <c r="P48" i="152"/>
  <c r="P56" i="152"/>
  <c r="P52" i="152"/>
  <c r="O57" i="152"/>
  <c r="O53" i="152"/>
  <c r="O47" i="152"/>
  <c r="O48" i="152"/>
  <c r="O56" i="152"/>
  <c r="O52" i="152"/>
  <c r="O50" i="152"/>
  <c r="O55" i="152"/>
  <c r="O51" i="152"/>
  <c r="O49" i="152"/>
  <c r="O54" i="152"/>
  <c r="B26" i="82"/>
  <c r="B22" i="82"/>
  <c r="C6" i="82" s="1"/>
  <c r="B24" i="82"/>
  <c r="B23" i="82"/>
  <c r="D26" i="81"/>
  <c r="P46" i="152" s="1"/>
  <c r="D6" i="81"/>
  <c r="O46" i="152" s="1"/>
  <c r="I12" i="100"/>
  <c r="Q28" i="152" s="1"/>
  <c r="I11" i="100"/>
  <c r="Q27" i="152" s="1"/>
  <c r="I10" i="100"/>
  <c r="Q26" i="152" s="1"/>
  <c r="I9" i="100"/>
  <c r="Q25" i="152" s="1"/>
  <c r="I8" i="100"/>
  <c r="I7" i="100"/>
  <c r="I6" i="100"/>
  <c r="H13" i="100"/>
  <c r="P29" i="152" s="1"/>
  <c r="R29" i="152" s="1"/>
  <c r="H14" i="100"/>
  <c r="P30" i="152" s="1"/>
  <c r="R30" i="152" s="1"/>
  <c r="H15" i="100"/>
  <c r="P31" i="152" s="1"/>
  <c r="R31" i="152" s="1"/>
  <c r="H16" i="100"/>
  <c r="P32" i="152" s="1"/>
  <c r="R32" i="152" s="1"/>
  <c r="H17" i="100"/>
  <c r="P33" i="152" s="1"/>
  <c r="R33" i="152" s="1"/>
  <c r="H18" i="100"/>
  <c r="P34" i="152" s="1"/>
  <c r="R34" i="152" s="1"/>
  <c r="H19" i="100"/>
  <c r="P35" i="152" s="1"/>
  <c r="R35" i="152" s="1"/>
  <c r="H12" i="100"/>
  <c r="P28" i="152" s="1"/>
  <c r="H11" i="100"/>
  <c r="P27" i="152" s="1"/>
  <c r="H10" i="100"/>
  <c r="P26" i="152" s="1"/>
  <c r="H9" i="100"/>
  <c r="P25" i="152" s="1"/>
  <c r="H8" i="100"/>
  <c r="H7" i="100"/>
  <c r="H6" i="100"/>
  <c r="C6" i="100"/>
  <c r="C13" i="100"/>
  <c r="C14" i="100"/>
  <c r="C15" i="100"/>
  <c r="C16" i="100"/>
  <c r="C17" i="100"/>
  <c r="C18" i="100"/>
  <c r="C19" i="100"/>
  <c r="C12" i="100"/>
  <c r="C11" i="100"/>
  <c r="C10" i="100"/>
  <c r="C9" i="100"/>
  <c r="C8" i="100"/>
  <c r="C7" i="100"/>
  <c r="C20" i="99"/>
  <c r="B20" i="99"/>
  <c r="C18" i="99"/>
  <c r="C19" i="99"/>
  <c r="C17" i="99"/>
  <c r="C16" i="99"/>
  <c r="B19" i="99"/>
  <c r="B18" i="99"/>
  <c r="B17" i="99"/>
  <c r="B20" i="89"/>
  <c r="B16" i="99"/>
  <c r="B16" i="89"/>
  <c r="B5" i="99"/>
  <c r="B9" i="99"/>
  <c r="B8" i="99"/>
  <c r="B7" i="99"/>
  <c r="B6" i="99"/>
  <c r="G16" i="98"/>
  <c r="G6" i="98"/>
  <c r="G7" i="98"/>
  <c r="G8" i="98"/>
  <c r="G9" i="98"/>
  <c r="G10" i="98"/>
  <c r="G11" i="98"/>
  <c r="G12" i="98"/>
  <c r="G13" i="98"/>
  <c r="G5" i="98"/>
  <c r="F6" i="98"/>
  <c r="F7" i="98"/>
  <c r="F8" i="98"/>
  <c r="F9" i="98"/>
  <c r="F10" i="98"/>
  <c r="F11" i="98"/>
  <c r="F12" i="98"/>
  <c r="F13" i="98"/>
  <c r="F5" i="98"/>
  <c r="B6" i="98"/>
  <c r="B7" i="98"/>
  <c r="B8" i="98"/>
  <c r="B9" i="98"/>
  <c r="B10" i="98"/>
  <c r="B11" i="98"/>
  <c r="B12" i="98"/>
  <c r="B13" i="98"/>
  <c r="B5" i="98"/>
  <c r="B5" i="88"/>
  <c r="G6" i="88"/>
  <c r="G7" i="88"/>
  <c r="G8" i="88"/>
  <c r="G9" i="88"/>
  <c r="G10" i="88"/>
  <c r="G11" i="88"/>
  <c r="G12" i="88"/>
  <c r="G13" i="88"/>
  <c r="G5" i="88"/>
  <c r="F6" i="88"/>
  <c r="F7" i="88"/>
  <c r="F8" i="88"/>
  <c r="F9" i="88"/>
  <c r="F10" i="88"/>
  <c r="F11" i="88"/>
  <c r="F12" i="88"/>
  <c r="F13" i="88"/>
  <c r="F5" i="88"/>
  <c r="B6" i="88"/>
  <c r="B7" i="88"/>
  <c r="B8" i="88"/>
  <c r="B9" i="88"/>
  <c r="B10" i="88"/>
  <c r="B11" i="88"/>
  <c r="B12" i="88"/>
  <c r="B13" i="88"/>
  <c r="I13" i="90"/>
  <c r="Q10" i="152" s="1"/>
  <c r="I14" i="90"/>
  <c r="Q11" i="152" s="1"/>
  <c r="I15" i="90"/>
  <c r="Q12" i="152" s="1"/>
  <c r="I16" i="90"/>
  <c r="Q13" i="152" s="1"/>
  <c r="I17" i="90"/>
  <c r="Q14" i="152" s="1"/>
  <c r="I18" i="90"/>
  <c r="Q15" i="152" s="1"/>
  <c r="I19" i="90"/>
  <c r="Q16" i="152" s="1"/>
  <c r="I12" i="90"/>
  <c r="Q9" i="152" s="1"/>
  <c r="I11" i="90"/>
  <c r="Q8" i="152" s="1"/>
  <c r="I10" i="90"/>
  <c r="Q7" i="152" s="1"/>
  <c r="I9" i="90"/>
  <c r="Q6" i="152" s="1"/>
  <c r="I8" i="90"/>
  <c r="I7" i="90"/>
  <c r="I6" i="90"/>
  <c r="H13" i="90"/>
  <c r="P10" i="152" s="1"/>
  <c r="R10" i="152" s="1"/>
  <c r="H14" i="90"/>
  <c r="P11" i="152" s="1"/>
  <c r="H15" i="90"/>
  <c r="P12" i="152" s="1"/>
  <c r="H16" i="90"/>
  <c r="P13" i="152" s="1"/>
  <c r="H17" i="90"/>
  <c r="P14" i="152" s="1"/>
  <c r="R14" i="152" s="1"/>
  <c r="H18" i="90"/>
  <c r="P15" i="152" s="1"/>
  <c r="H19" i="90"/>
  <c r="P16" i="152" s="1"/>
  <c r="H12" i="90"/>
  <c r="P9" i="152" s="1"/>
  <c r="H11" i="90"/>
  <c r="P8" i="152" s="1"/>
  <c r="R8" i="152" s="1"/>
  <c r="H10" i="90"/>
  <c r="P7" i="152" s="1"/>
  <c r="H9" i="90"/>
  <c r="P6" i="152" s="1"/>
  <c r="H8" i="90"/>
  <c r="H7" i="90"/>
  <c r="H6" i="90"/>
  <c r="C19" i="90"/>
  <c r="C18" i="90"/>
  <c r="C17" i="90"/>
  <c r="C16" i="90"/>
  <c r="C15" i="90"/>
  <c r="C14" i="90"/>
  <c r="C13" i="90"/>
  <c r="C12" i="90"/>
  <c r="C11" i="90"/>
  <c r="C10" i="90"/>
  <c r="C9" i="90"/>
  <c r="C8" i="90"/>
  <c r="C7" i="90"/>
  <c r="C6" i="90"/>
  <c r="R25" i="152" l="1"/>
  <c r="R26" i="152"/>
  <c r="C17" i="82"/>
  <c r="N7" i="153"/>
  <c r="C26" i="82"/>
  <c r="C11" i="82"/>
  <c r="C8" i="82"/>
  <c r="C10" i="82"/>
  <c r="C21" i="82"/>
  <c r="C7" i="82"/>
  <c r="C20" i="82"/>
  <c r="N4" i="153"/>
  <c r="C23" i="82"/>
  <c r="C15" i="82"/>
  <c r="C12" i="82"/>
  <c r="C9" i="82"/>
  <c r="C18" i="82"/>
  <c r="C14" i="82"/>
  <c r="N5" i="153"/>
  <c r="C24" i="82"/>
  <c r="C19" i="82"/>
  <c r="C16" i="82"/>
  <c r="C13" i="82"/>
  <c r="N6" i="153"/>
  <c r="C25" i="82"/>
  <c r="O28" i="152"/>
  <c r="O32" i="152"/>
  <c r="O25" i="152"/>
  <c r="O35" i="152"/>
  <c r="O31" i="152"/>
  <c r="O26" i="152"/>
  <c r="O34" i="152"/>
  <c r="O30" i="152"/>
  <c r="O27" i="152"/>
  <c r="O33" i="152"/>
  <c r="O29" i="152"/>
  <c r="R7" i="152"/>
  <c r="R15" i="152"/>
  <c r="R11" i="152"/>
  <c r="R9" i="152"/>
  <c r="R13" i="152"/>
  <c r="O14" i="152"/>
  <c r="O7" i="152"/>
  <c r="O11" i="152"/>
  <c r="O15" i="152"/>
  <c r="O8" i="152"/>
  <c r="O16" i="152"/>
  <c r="O6" i="152"/>
  <c r="O10" i="152"/>
  <c r="O12" i="152"/>
  <c r="O9" i="152"/>
  <c r="O13" i="152"/>
  <c r="R12" i="152"/>
  <c r="R27" i="152"/>
  <c r="R28" i="152"/>
  <c r="R6" i="152"/>
  <c r="R16" i="152"/>
  <c r="I5" i="100"/>
  <c r="Q24" i="152" s="1"/>
  <c r="H5" i="100"/>
  <c r="P24" i="152" s="1"/>
  <c r="C5" i="100"/>
  <c r="C20" i="89"/>
  <c r="C18" i="89"/>
  <c r="C19" i="89"/>
  <c r="B18" i="89"/>
  <c r="B19" i="89"/>
  <c r="B17" i="89"/>
  <c r="C17" i="89"/>
  <c r="C16" i="89"/>
  <c r="B6" i="89"/>
  <c r="B5" i="89"/>
  <c r="B9" i="89"/>
  <c r="B8" i="89"/>
  <c r="B7" i="89"/>
  <c r="O24" i="152" l="1"/>
  <c r="R24" i="152"/>
  <c r="K15" i="155"/>
  <c r="F12" i="79" l="1"/>
  <c r="B12" i="79"/>
  <c r="F13" i="79" l="1"/>
  <c r="B13" i="79"/>
  <c r="H9" i="98"/>
  <c r="H13" i="98"/>
  <c r="F16" i="98"/>
  <c r="H6" i="98"/>
  <c r="H7" i="98"/>
  <c r="H8" i="98"/>
  <c r="H10" i="98"/>
  <c r="H11" i="98"/>
  <c r="H12" i="98"/>
  <c r="H5" i="98"/>
  <c r="B16" i="98"/>
  <c r="C5" i="90"/>
  <c r="O5" i="152" s="1"/>
  <c r="G16" i="88"/>
  <c r="F16" i="88"/>
  <c r="H7" i="88"/>
  <c r="H6" i="88"/>
  <c r="B16" i="88"/>
  <c r="H16" i="88" l="1"/>
  <c r="H11" i="88"/>
  <c r="H5" i="88"/>
  <c r="H10" i="88"/>
  <c r="H13" i="88"/>
  <c r="H9" i="88"/>
  <c r="H12" i="88"/>
  <c r="H8" i="88"/>
  <c r="A21" i="104" l="1"/>
  <c r="A21" i="95"/>
  <c r="H14" i="88" l="1"/>
  <c r="I16" i="88" l="1"/>
  <c r="I6" i="88"/>
  <c r="I7" i="88"/>
  <c r="I9" i="88"/>
  <c r="I10" i="88"/>
  <c r="I12" i="88"/>
  <c r="I5" i="88"/>
  <c r="I11" i="88"/>
  <c r="I8" i="88"/>
  <c r="I13" i="88"/>
  <c r="J18" i="90"/>
  <c r="J19" i="90"/>
  <c r="H23" i="104"/>
  <c r="L15" i="155" s="1"/>
  <c r="H24" i="104"/>
  <c r="L16" i="155" s="1"/>
  <c r="H25" i="104"/>
  <c r="L17" i="155" s="1"/>
  <c r="H26" i="104"/>
  <c r="L18" i="155" s="1"/>
  <c r="H27" i="104"/>
  <c r="L19" i="155" s="1"/>
  <c r="H28" i="104"/>
  <c r="L20" i="155" s="1"/>
  <c r="H29" i="104"/>
  <c r="L21" i="155" s="1"/>
  <c r="H30" i="104"/>
  <c r="L22" i="155" s="1"/>
  <c r="H31" i="104"/>
  <c r="L23" i="155" s="1"/>
  <c r="H32" i="104"/>
  <c r="L24" i="155" s="1"/>
  <c r="H33" i="104"/>
  <c r="L25" i="155" s="1"/>
  <c r="H34" i="104"/>
  <c r="L26" i="155" s="1"/>
  <c r="H35" i="104"/>
  <c r="L27" i="155" s="1"/>
  <c r="H36" i="104"/>
  <c r="L28" i="155" s="1"/>
  <c r="H37" i="104"/>
  <c r="L29" i="155" s="1"/>
  <c r="H38" i="104"/>
  <c r="L30" i="155" s="1"/>
  <c r="H39" i="104"/>
  <c r="L31" i="155" s="1"/>
  <c r="H40" i="104"/>
  <c r="L32" i="155" s="1"/>
  <c r="G40" i="81" l="1"/>
  <c r="G39" i="81"/>
  <c r="H5" i="90"/>
  <c r="P5" i="152" s="1"/>
  <c r="I20" i="90" l="1"/>
  <c r="I5" i="90"/>
  <c r="Q5" i="152" s="1"/>
  <c r="R5" i="152" s="1"/>
  <c r="H20" i="90"/>
  <c r="J5" i="100" l="1"/>
  <c r="C20" i="90" l="1"/>
  <c r="B14" i="88"/>
  <c r="F14" i="88"/>
  <c r="F15" i="88" s="1"/>
  <c r="D10" i="90" l="1"/>
  <c r="D18" i="90"/>
  <c r="D19" i="90"/>
  <c r="D13" i="90"/>
  <c r="D8" i="90"/>
  <c r="D16" i="90"/>
  <c r="D17" i="90"/>
  <c r="D7" i="90"/>
  <c r="D6" i="90"/>
  <c r="D11" i="90"/>
  <c r="D9" i="90"/>
  <c r="D15" i="90"/>
  <c r="D14" i="90"/>
  <c r="D12" i="90"/>
  <c r="C16" i="88"/>
  <c r="C12" i="88"/>
  <c r="C7" i="88"/>
  <c r="C8" i="88"/>
  <c r="C10" i="88"/>
  <c r="C5" i="88"/>
  <c r="C11" i="88"/>
  <c r="C6" i="88"/>
  <c r="C13" i="88"/>
  <c r="C9" i="88"/>
  <c r="B15" i="88"/>
  <c r="C15" i="88" s="1"/>
  <c r="F63" i="150"/>
  <c r="F15" i="150"/>
  <c r="M5" i="156" s="1"/>
  <c r="G62" i="150"/>
  <c r="G60" i="150"/>
  <c r="G56" i="150"/>
  <c r="G52" i="150"/>
  <c r="F52" i="150"/>
  <c r="G48" i="150"/>
  <c r="G46" i="150"/>
  <c r="F47" i="150"/>
  <c r="G43" i="150"/>
  <c r="G38" i="150"/>
  <c r="G36" i="150"/>
  <c r="G31" i="150"/>
  <c r="G30" i="150"/>
  <c r="G29" i="150"/>
  <c r="G26" i="150"/>
  <c r="G22" i="150"/>
  <c r="G21" i="150"/>
  <c r="G18" i="150"/>
  <c r="G17" i="150"/>
  <c r="G15" i="150"/>
  <c r="G14" i="150"/>
  <c r="G11" i="150"/>
  <c r="G5" i="150"/>
  <c r="F61" i="150" l="1"/>
  <c r="F56" i="150"/>
  <c r="F48" i="150"/>
  <c r="F51" i="150"/>
  <c r="F57" i="150"/>
  <c r="F62" i="150"/>
  <c r="F53" i="150"/>
  <c r="F59" i="150"/>
  <c r="F46" i="150"/>
  <c r="F49" i="150"/>
  <c r="F54" i="150"/>
  <c r="F60" i="150"/>
  <c r="F30" i="150"/>
  <c r="M20" i="156" s="1"/>
  <c r="F14" i="150"/>
  <c r="M4" i="156" s="1"/>
  <c r="G16" i="150"/>
  <c r="G20" i="150"/>
  <c r="G24" i="150"/>
  <c r="G28" i="150"/>
  <c r="G4" i="150"/>
  <c r="G6" i="150"/>
  <c r="F55" i="150"/>
  <c r="G19" i="150"/>
  <c r="G23" i="150"/>
  <c r="G25" i="150"/>
  <c r="G27" i="150"/>
  <c r="G42" i="150"/>
  <c r="D42" i="150"/>
  <c r="G10" i="150"/>
  <c r="G45" i="150"/>
  <c r="D62" i="150"/>
  <c r="G59" i="150"/>
  <c r="G55" i="150"/>
  <c r="G53" i="150"/>
  <c r="G51" i="150"/>
  <c r="G47" i="150"/>
  <c r="G58" i="150"/>
  <c r="G54" i="150"/>
  <c r="G50" i="150"/>
  <c r="F50" i="150"/>
  <c r="F58" i="150"/>
  <c r="G57" i="150"/>
  <c r="G49" i="150"/>
  <c r="E39" i="150"/>
  <c r="F37" i="150" s="1"/>
  <c r="G37" i="150"/>
  <c r="D48" i="150"/>
  <c r="D60" i="150"/>
  <c r="C39" i="150"/>
  <c r="D37" i="150" s="1"/>
  <c r="D47" i="150"/>
  <c r="D51" i="150"/>
  <c r="D55" i="150"/>
  <c r="D59" i="150"/>
  <c r="D63" i="150"/>
  <c r="D50" i="150"/>
  <c r="D54" i="150"/>
  <c r="D58" i="150"/>
  <c r="D56" i="150"/>
  <c r="D43" i="150"/>
  <c r="D49" i="150"/>
  <c r="D53" i="150"/>
  <c r="D57" i="150"/>
  <c r="D61" i="150"/>
  <c r="F10" i="150"/>
  <c r="F11" i="150"/>
  <c r="F16" i="150"/>
  <c r="M6" i="156" s="1"/>
  <c r="F17" i="150"/>
  <c r="M7" i="156" s="1"/>
  <c r="F18" i="150"/>
  <c r="M8" i="156" s="1"/>
  <c r="F19" i="150"/>
  <c r="M9" i="156" s="1"/>
  <c r="F20" i="150"/>
  <c r="M10" i="156" s="1"/>
  <c r="F21" i="150"/>
  <c r="M11" i="156" s="1"/>
  <c r="F23" i="150"/>
  <c r="M13" i="156" s="1"/>
  <c r="F25" i="150"/>
  <c r="M15" i="156" s="1"/>
  <c r="F27" i="150"/>
  <c r="M17" i="156" s="1"/>
  <c r="F29" i="150"/>
  <c r="M19" i="156" s="1"/>
  <c r="F31" i="150"/>
  <c r="M21" i="156" s="1"/>
  <c r="C7" i="150"/>
  <c r="F42" i="150"/>
  <c r="F22" i="150"/>
  <c r="M12" i="156" s="1"/>
  <c r="F24" i="150"/>
  <c r="M14" i="156" s="1"/>
  <c r="F26" i="150"/>
  <c r="M16" i="156" s="1"/>
  <c r="F28" i="150"/>
  <c r="M18" i="156" s="1"/>
  <c r="F43" i="150"/>
  <c r="E7" i="150"/>
  <c r="F4" i="150" s="1"/>
  <c r="D11" i="150"/>
  <c r="D28" i="150"/>
  <c r="L18" i="156" s="1"/>
  <c r="D38" i="150" l="1"/>
  <c r="G61" i="150"/>
  <c r="D46" i="150"/>
  <c r="D52" i="150"/>
  <c r="D26" i="150"/>
  <c r="L16" i="156" s="1"/>
  <c r="D16" i="150"/>
  <c r="L6" i="156" s="1"/>
  <c r="D29" i="150"/>
  <c r="L19" i="156" s="1"/>
  <c r="D15" i="150"/>
  <c r="L5" i="156" s="1"/>
  <c r="D10" i="150"/>
  <c r="D24" i="150"/>
  <c r="L14" i="156" s="1"/>
  <c r="D31" i="150"/>
  <c r="L21" i="156" s="1"/>
  <c r="D14" i="150"/>
  <c r="L4" i="156" s="1"/>
  <c r="D21" i="150"/>
  <c r="L11" i="156" s="1"/>
  <c r="D22" i="150"/>
  <c r="L12" i="156" s="1"/>
  <c r="D20" i="150"/>
  <c r="L10" i="156" s="1"/>
  <c r="D17" i="150"/>
  <c r="L7" i="156" s="1"/>
  <c r="D18" i="150"/>
  <c r="L8" i="156" s="1"/>
  <c r="D30" i="150"/>
  <c r="L20" i="156" s="1"/>
  <c r="D5" i="150"/>
  <c r="G7" i="150"/>
  <c r="D27" i="150"/>
  <c r="L17" i="156" s="1"/>
  <c r="D25" i="150"/>
  <c r="L15" i="156" s="1"/>
  <c r="D23" i="150"/>
  <c r="L13" i="156" s="1"/>
  <c r="D19" i="150"/>
  <c r="L9" i="156" s="1"/>
  <c r="D36" i="150"/>
  <c r="D39" i="150" s="1"/>
  <c r="F38" i="150"/>
  <c r="G39" i="150"/>
  <c r="F36" i="150"/>
  <c r="D4" i="150"/>
  <c r="D6" i="150"/>
  <c r="F5" i="150"/>
  <c r="F6" i="150"/>
  <c r="F39" i="150" l="1"/>
  <c r="F7" i="150"/>
  <c r="D7" i="150"/>
  <c r="I13" i="120" l="1"/>
  <c r="C29" i="120"/>
  <c r="C13" i="120"/>
  <c r="E29" i="120"/>
  <c r="E13" i="120"/>
  <c r="G29" i="120"/>
  <c r="G13" i="120"/>
  <c r="I29" i="120"/>
  <c r="K31" i="114"/>
  <c r="K55" i="114"/>
  <c r="H15" i="120" l="1"/>
  <c r="H14" i="120"/>
  <c r="H30" i="120"/>
  <c r="H31" i="120"/>
  <c r="J31" i="120"/>
  <c r="J30" i="120"/>
  <c r="F30" i="120"/>
  <c r="F31" i="120"/>
  <c r="D15" i="120"/>
  <c r="D14" i="120"/>
  <c r="D31" i="120"/>
  <c r="D30" i="120"/>
  <c r="F14" i="120"/>
  <c r="F15" i="120"/>
  <c r="J15" i="120"/>
  <c r="J14" i="120"/>
  <c r="H25" i="120"/>
  <c r="H27" i="120"/>
  <c r="H21" i="120"/>
  <c r="H23" i="120"/>
  <c r="H28" i="120"/>
  <c r="H20" i="120"/>
  <c r="H22" i="120"/>
  <c r="H26" i="120"/>
  <c r="H24" i="120"/>
  <c r="F20" i="120"/>
  <c r="F28" i="120"/>
  <c r="F22" i="120"/>
  <c r="F24" i="120"/>
  <c r="F26" i="120"/>
  <c r="F25" i="120"/>
  <c r="F23" i="120"/>
  <c r="F21" i="120"/>
  <c r="F27" i="120"/>
  <c r="J22" i="120"/>
  <c r="J24" i="120"/>
  <c r="J26" i="120"/>
  <c r="J20" i="120"/>
  <c r="J28" i="120"/>
  <c r="J25" i="120"/>
  <c r="J21" i="120"/>
  <c r="J27" i="120"/>
  <c r="J23" i="120"/>
  <c r="D21" i="120"/>
  <c r="D23" i="120"/>
  <c r="D25" i="120"/>
  <c r="D27" i="120"/>
  <c r="D26" i="120"/>
  <c r="D22" i="120"/>
  <c r="D20" i="120"/>
  <c r="D28" i="120"/>
  <c r="D24" i="120"/>
  <c r="F8" i="120"/>
  <c r="F12" i="120"/>
  <c r="F4" i="120"/>
  <c r="F6" i="120"/>
  <c r="F10" i="120"/>
  <c r="F11" i="120"/>
  <c r="F9" i="120"/>
  <c r="F5" i="120"/>
  <c r="F7" i="120"/>
  <c r="J4" i="120"/>
  <c r="J6" i="120"/>
  <c r="J10" i="120"/>
  <c r="J8" i="120"/>
  <c r="J12" i="120"/>
  <c r="J7" i="120"/>
  <c r="J11" i="120"/>
  <c r="J9" i="120"/>
  <c r="J5" i="120"/>
  <c r="D9" i="120"/>
  <c r="D5" i="120"/>
  <c r="D7" i="120"/>
  <c r="D11" i="120"/>
  <c r="D8" i="120"/>
  <c r="D12" i="120"/>
  <c r="D6" i="120"/>
  <c r="D10" i="120"/>
  <c r="D4" i="120"/>
  <c r="H5" i="120"/>
  <c r="H7" i="120"/>
  <c r="H11" i="120"/>
  <c r="H9" i="120"/>
  <c r="H8" i="120"/>
  <c r="H4" i="120"/>
  <c r="H6" i="120"/>
  <c r="H12" i="120"/>
  <c r="H10" i="120"/>
  <c r="K43" i="113"/>
  <c r="K48" i="113"/>
  <c r="K56" i="113"/>
  <c r="K30" i="113"/>
  <c r="K48" i="114"/>
  <c r="K59" i="114"/>
  <c r="K54" i="114"/>
  <c r="K15" i="114"/>
  <c r="K11" i="114"/>
  <c r="K22" i="113"/>
  <c r="K37" i="113"/>
  <c r="K36" i="113"/>
  <c r="K21" i="113"/>
  <c r="K39" i="114"/>
  <c r="K37" i="114"/>
  <c r="K6" i="114"/>
  <c r="K5" i="114"/>
  <c r="K27" i="114"/>
  <c r="K19" i="114"/>
  <c r="K57" i="113"/>
  <c r="K49" i="113"/>
  <c r="K38" i="113"/>
  <c r="K25" i="113"/>
  <c r="K63" i="114"/>
  <c r="K62" i="114"/>
  <c r="K60" i="114"/>
  <c r="K58" i="114"/>
  <c r="K51" i="114"/>
  <c r="K49" i="114"/>
  <c r="K47" i="114"/>
  <c r="K38" i="114"/>
  <c r="K29" i="114"/>
  <c r="K26" i="114"/>
  <c r="K17" i="114"/>
  <c r="K60" i="113"/>
  <c r="K52" i="113"/>
  <c r="K26" i="113"/>
  <c r="K17" i="113"/>
  <c r="K14" i="113"/>
  <c r="K4" i="113"/>
  <c r="K53" i="114"/>
  <c r="K44" i="114"/>
  <c r="K23" i="114"/>
  <c r="K12" i="114"/>
  <c r="K61" i="113"/>
  <c r="K53" i="113"/>
  <c r="K29" i="113"/>
  <c r="K18" i="113"/>
  <c r="K6" i="113"/>
  <c r="K25" i="114"/>
  <c r="K20" i="114"/>
  <c r="K16" i="114"/>
  <c r="K7" i="114"/>
  <c r="K15" i="113"/>
  <c r="K57" i="114"/>
  <c r="K21" i="114"/>
  <c r="K59" i="113"/>
  <c r="K55" i="113"/>
  <c r="K51" i="113"/>
  <c r="K47" i="113"/>
  <c r="K42" i="113"/>
  <c r="K28" i="113"/>
  <c r="K24" i="113"/>
  <c r="K20" i="113"/>
  <c r="K16" i="113"/>
  <c r="K56" i="114"/>
  <c r="K46" i="114"/>
  <c r="K28" i="114"/>
  <c r="K62" i="113"/>
  <c r="K58" i="113"/>
  <c r="K54" i="113"/>
  <c r="K50" i="113"/>
  <c r="K31" i="113"/>
  <c r="K27" i="113"/>
  <c r="K23" i="113"/>
  <c r="K19" i="113"/>
  <c r="K10" i="113"/>
  <c r="K50" i="114"/>
  <c r="K43" i="114"/>
  <c r="K22" i="114"/>
  <c r="K11" i="113"/>
  <c r="K18" i="114"/>
  <c r="K14" i="114"/>
  <c r="K5" i="113"/>
  <c r="K61" i="114"/>
  <c r="K52" i="114"/>
  <c r="K30" i="114"/>
  <c r="K24" i="114"/>
  <c r="K29" i="120"/>
  <c r="K13" i="120"/>
  <c r="L15" i="120" l="1"/>
  <c r="L14" i="120"/>
  <c r="L31" i="120"/>
  <c r="L30" i="120"/>
  <c r="L24" i="120"/>
  <c r="L20" i="120"/>
  <c r="L22" i="120"/>
  <c r="L21" i="120"/>
  <c r="L25" i="120"/>
  <c r="L23" i="120"/>
  <c r="L26" i="120"/>
  <c r="L27" i="120"/>
  <c r="L28" i="120"/>
  <c r="L6" i="120"/>
  <c r="L4" i="120"/>
  <c r="L5" i="120"/>
  <c r="L7" i="120"/>
  <c r="L11" i="120"/>
  <c r="L10" i="120"/>
  <c r="L9" i="120"/>
  <c r="L8" i="120"/>
  <c r="L12" i="120"/>
  <c r="J29" i="120"/>
  <c r="J13" i="120"/>
  <c r="H13" i="120"/>
  <c r="F29" i="120"/>
  <c r="D13" i="120"/>
  <c r="D29" i="120"/>
  <c r="H29" i="120"/>
  <c r="F13" i="120"/>
  <c r="K7" i="113"/>
  <c r="K8" i="114"/>
  <c r="K40" i="114"/>
  <c r="K39" i="113"/>
  <c r="L29" i="120" l="1"/>
  <c r="L13" i="120"/>
  <c r="D7" i="85" l="1"/>
  <c r="D6" i="85"/>
  <c r="D5" i="85"/>
  <c r="H8" i="85" l="1"/>
  <c r="B8" i="85"/>
  <c r="D8" i="85"/>
  <c r="E5" i="85" s="1"/>
  <c r="G8" i="104"/>
  <c r="F8" i="104"/>
  <c r="B8" i="104"/>
  <c r="H7" i="104"/>
  <c r="H6" i="104"/>
  <c r="H5" i="104"/>
  <c r="E7" i="85" l="1"/>
  <c r="I7" i="85"/>
  <c r="I5" i="85"/>
  <c r="I6" i="85"/>
  <c r="C5" i="85"/>
  <c r="C7" i="85"/>
  <c r="C6" i="85"/>
  <c r="L3" i="155"/>
  <c r="L5" i="155"/>
  <c r="S10" i="155" s="1"/>
  <c r="L4" i="155"/>
  <c r="S9" i="155" s="1"/>
  <c r="C6" i="104"/>
  <c r="C7" i="104"/>
  <c r="C5" i="104"/>
  <c r="E6" i="85"/>
  <c r="H8" i="104"/>
  <c r="I7" i="104" s="1"/>
  <c r="G8" i="95"/>
  <c r="F8" i="95"/>
  <c r="B8" i="95"/>
  <c r="H7" i="95"/>
  <c r="H6" i="95"/>
  <c r="H5" i="95"/>
  <c r="I6" i="104" l="1"/>
  <c r="M4" i="155" s="1"/>
  <c r="I5" i="104"/>
  <c r="M3" i="155" s="1"/>
  <c r="J6" i="85"/>
  <c r="J7" i="85"/>
  <c r="J6" i="155"/>
  <c r="C5" i="95"/>
  <c r="K3" i="155" s="1"/>
  <c r="C7" i="95"/>
  <c r="K5" i="155" s="1"/>
  <c r="C6" i="95"/>
  <c r="K4" i="155" s="1"/>
  <c r="L6" i="155"/>
  <c r="J5" i="85"/>
  <c r="M5" i="155"/>
  <c r="H8" i="95"/>
  <c r="I5" i="95" s="1"/>
  <c r="I6" i="95" l="1"/>
  <c r="I7" i="95"/>
  <c r="J8" i="85"/>
  <c r="K5" i="85" s="1"/>
  <c r="K6" i="85" l="1"/>
  <c r="K7" i="85"/>
  <c r="D21" i="81"/>
  <c r="E11" i="81" l="1"/>
  <c r="E15" i="81"/>
  <c r="E9" i="81"/>
  <c r="E17" i="81"/>
  <c r="E20" i="81"/>
  <c r="E10" i="81"/>
  <c r="E8" i="81"/>
  <c r="E18" i="81"/>
  <c r="E7" i="81"/>
  <c r="E19" i="81"/>
  <c r="E12" i="81"/>
  <c r="E16" i="81"/>
  <c r="E13" i="81"/>
  <c r="E14" i="81"/>
  <c r="B10" i="80"/>
  <c r="B21" i="80"/>
  <c r="C5" i="80" l="1"/>
  <c r="C9" i="80"/>
  <c r="C6" i="80"/>
  <c r="C8" i="80"/>
  <c r="C7" i="80"/>
  <c r="C20" i="80"/>
  <c r="C19" i="80"/>
  <c r="C16" i="80"/>
  <c r="C17" i="80"/>
  <c r="C18" i="80"/>
  <c r="C10" i="80" l="1"/>
  <c r="C21" i="80"/>
  <c r="D26" i="82"/>
  <c r="D25" i="82"/>
  <c r="D24" i="82"/>
  <c r="D23" i="82"/>
  <c r="N11" i="153" l="1"/>
  <c r="N12" i="153"/>
  <c r="N10" i="153"/>
  <c r="N9" i="153"/>
  <c r="F11" i="79"/>
  <c r="G9" i="79" l="1"/>
  <c r="G13" i="79"/>
  <c r="G8" i="79"/>
  <c r="G7" i="79"/>
  <c r="G10" i="79"/>
  <c r="G6" i="79"/>
  <c r="G5" i="79"/>
  <c r="G12" i="79"/>
  <c r="H15" i="85"/>
  <c r="B15" i="85"/>
  <c r="D38" i="85"/>
  <c r="D37" i="85"/>
  <c r="D36" i="85"/>
  <c r="D35" i="85"/>
  <c r="D34" i="85"/>
  <c r="D33" i="85"/>
  <c r="D32" i="85"/>
  <c r="D31" i="85"/>
  <c r="D30" i="85"/>
  <c r="D29" i="85"/>
  <c r="D28" i="85"/>
  <c r="D27" i="85"/>
  <c r="D26" i="85"/>
  <c r="D25" i="85"/>
  <c r="D24" i="85"/>
  <c r="D23" i="85"/>
  <c r="D22" i="85"/>
  <c r="D21" i="85"/>
  <c r="D14" i="85"/>
  <c r="D13" i="85"/>
  <c r="B23" i="84"/>
  <c r="E22" i="84"/>
  <c r="E21" i="84"/>
  <c r="E20" i="84"/>
  <c r="E19" i="84"/>
  <c r="E18" i="84"/>
  <c r="E17" i="84"/>
  <c r="E11" i="84"/>
  <c r="E10" i="84"/>
  <c r="E9" i="84"/>
  <c r="E8" i="84"/>
  <c r="E7" i="84"/>
  <c r="E6" i="84"/>
  <c r="B12" i="84"/>
  <c r="D22" i="82"/>
  <c r="G21" i="82"/>
  <c r="G20" i="82"/>
  <c r="G19" i="82"/>
  <c r="G18" i="82"/>
  <c r="G17" i="82"/>
  <c r="G16" i="82"/>
  <c r="G15" i="82"/>
  <c r="G14" i="82"/>
  <c r="G13" i="82"/>
  <c r="G12" i="82"/>
  <c r="G11" i="82"/>
  <c r="G10" i="82"/>
  <c r="G9" i="82"/>
  <c r="G8" i="82"/>
  <c r="G7" i="82"/>
  <c r="G6" i="82"/>
  <c r="G20" i="81"/>
  <c r="G19" i="81"/>
  <c r="G18" i="81"/>
  <c r="G17" i="81"/>
  <c r="G16" i="81"/>
  <c r="G15" i="81"/>
  <c r="G14" i="81"/>
  <c r="G13" i="81"/>
  <c r="G12" i="81"/>
  <c r="G11" i="81"/>
  <c r="G10" i="81"/>
  <c r="G9" i="81"/>
  <c r="G8" i="81"/>
  <c r="G7" i="81"/>
  <c r="B11" i="79"/>
  <c r="I13" i="85" l="1"/>
  <c r="I14" i="85"/>
  <c r="C13" i="85"/>
  <c r="C14" i="85"/>
  <c r="C19" i="84"/>
  <c r="C21" i="84"/>
  <c r="C22" i="84"/>
  <c r="C18" i="84"/>
  <c r="C17" i="84"/>
  <c r="C20" i="84"/>
  <c r="C10" i="84"/>
  <c r="C6" i="84"/>
  <c r="C11" i="84"/>
  <c r="C9" i="84"/>
  <c r="C8" i="84"/>
  <c r="C7" i="84"/>
  <c r="E38" i="85"/>
  <c r="E34" i="85"/>
  <c r="E30" i="85"/>
  <c r="E26" i="85"/>
  <c r="E22" i="85"/>
  <c r="E36" i="85"/>
  <c r="E28" i="85"/>
  <c r="E35" i="85"/>
  <c r="E23" i="85"/>
  <c r="E37" i="85"/>
  <c r="E33" i="85"/>
  <c r="E29" i="85"/>
  <c r="E25" i="85"/>
  <c r="E21" i="85"/>
  <c r="E32" i="85"/>
  <c r="E24" i="85"/>
  <c r="E31" i="85"/>
  <c r="E27" i="85"/>
  <c r="E10" i="82"/>
  <c r="E9" i="82"/>
  <c r="E16" i="82"/>
  <c r="E19" i="82"/>
  <c r="E20" i="82"/>
  <c r="E21" i="82"/>
  <c r="E6" i="82"/>
  <c r="E12" i="82"/>
  <c r="E15" i="82"/>
  <c r="E18" i="82"/>
  <c r="E17" i="82"/>
  <c r="E14" i="82"/>
  <c r="E8" i="82"/>
  <c r="E11" i="82"/>
  <c r="E13" i="82"/>
  <c r="E7" i="82"/>
  <c r="E25" i="82"/>
  <c r="E24" i="82"/>
  <c r="E26" i="82"/>
  <c r="E23" i="82"/>
  <c r="C5" i="79"/>
  <c r="C9" i="79"/>
  <c r="C7" i="79"/>
  <c r="C8" i="79"/>
  <c r="C10" i="79"/>
  <c r="C6" i="79"/>
  <c r="C12" i="79"/>
  <c r="C13" i="79"/>
  <c r="G26" i="82"/>
  <c r="C8" i="85"/>
  <c r="I8" i="85"/>
  <c r="G23" i="82"/>
  <c r="G24" i="82"/>
  <c r="G25" i="82"/>
  <c r="E23" i="84"/>
  <c r="F18" i="84" s="1"/>
  <c r="G11" i="79"/>
  <c r="D15" i="85"/>
  <c r="E13" i="85" s="1"/>
  <c r="E12" i="84"/>
  <c r="F9" i="84" s="1"/>
  <c r="F22" i="84" l="1"/>
  <c r="F20" i="84"/>
  <c r="F21" i="84"/>
  <c r="F19" i="84"/>
  <c r="F17" i="84"/>
  <c r="E14" i="85"/>
  <c r="F11" i="84"/>
  <c r="F7" i="84"/>
  <c r="F8" i="84"/>
  <c r="F6" i="84"/>
  <c r="F10" i="84"/>
  <c r="E8" i="85"/>
  <c r="E22" i="82"/>
  <c r="C11" i="79"/>
  <c r="G16" i="104" l="1"/>
  <c r="F16" i="104"/>
  <c r="B16" i="104"/>
  <c r="H15" i="104"/>
  <c r="L10" i="155" s="1"/>
  <c r="S12" i="155" s="1"/>
  <c r="H14" i="104"/>
  <c r="B11" i="102"/>
  <c r="I20" i="100"/>
  <c r="H20" i="100"/>
  <c r="C20" i="100"/>
  <c r="J19" i="100"/>
  <c r="J18" i="100"/>
  <c r="J17" i="100"/>
  <c r="J16" i="100"/>
  <c r="J15" i="100"/>
  <c r="J14" i="100"/>
  <c r="J13" i="100"/>
  <c r="J12" i="100"/>
  <c r="J11" i="100"/>
  <c r="J10" i="100"/>
  <c r="J9" i="100"/>
  <c r="J8" i="100"/>
  <c r="J7" i="100"/>
  <c r="J6" i="100"/>
  <c r="C21" i="99"/>
  <c r="B21" i="99"/>
  <c r="D20" i="99"/>
  <c r="D19" i="99"/>
  <c r="D18" i="99"/>
  <c r="D17" i="99"/>
  <c r="D16" i="99"/>
  <c r="B10" i="99"/>
  <c r="H16" i="98"/>
  <c r="G14" i="98"/>
  <c r="G15" i="98" s="1"/>
  <c r="F14" i="98"/>
  <c r="F15" i="98" s="1"/>
  <c r="B14" i="98"/>
  <c r="H40" i="95"/>
  <c r="J38" i="85" s="1"/>
  <c r="K32" i="155"/>
  <c r="H39" i="95"/>
  <c r="J37" i="85" s="1"/>
  <c r="K31" i="155"/>
  <c r="H38" i="95"/>
  <c r="J36" i="85" s="1"/>
  <c r="K30" i="155"/>
  <c r="H37" i="95"/>
  <c r="J35" i="85" s="1"/>
  <c r="K29" i="155"/>
  <c r="H36" i="95"/>
  <c r="J34" i="85" s="1"/>
  <c r="K28" i="155"/>
  <c r="H35" i="95"/>
  <c r="J33" i="85" s="1"/>
  <c r="K27" i="155"/>
  <c r="H34" i="95"/>
  <c r="J32" i="85" s="1"/>
  <c r="K26" i="155"/>
  <c r="H33" i="95"/>
  <c r="J31" i="85" s="1"/>
  <c r="K25" i="155"/>
  <c r="H32" i="95"/>
  <c r="J30" i="85" s="1"/>
  <c r="K24" i="155"/>
  <c r="H31" i="95"/>
  <c r="J29" i="85" s="1"/>
  <c r="K23" i="155"/>
  <c r="H30" i="95"/>
  <c r="J28" i="85" s="1"/>
  <c r="K22" i="155"/>
  <c r="H29" i="95"/>
  <c r="J27" i="85" s="1"/>
  <c r="K21" i="155"/>
  <c r="H28" i="95"/>
  <c r="J26" i="85" s="1"/>
  <c r="K20" i="155"/>
  <c r="H27" i="95"/>
  <c r="J25" i="85" s="1"/>
  <c r="K19" i="155"/>
  <c r="H26" i="95"/>
  <c r="J24" i="85" s="1"/>
  <c r="K18" i="155"/>
  <c r="H25" i="95"/>
  <c r="J23" i="85" s="1"/>
  <c r="K17" i="155"/>
  <c r="H24" i="95"/>
  <c r="J22" i="85" s="1"/>
  <c r="K16" i="155"/>
  <c r="H23" i="95"/>
  <c r="J21" i="85" s="1"/>
  <c r="G16" i="95"/>
  <c r="F16" i="95"/>
  <c r="B16" i="95"/>
  <c r="H15" i="95"/>
  <c r="H14" i="95"/>
  <c r="B11" i="93"/>
  <c r="G25" i="91"/>
  <c r="F25" i="91"/>
  <c r="B25" i="91"/>
  <c r="G24" i="91"/>
  <c r="F24" i="91"/>
  <c r="B24" i="91"/>
  <c r="G23" i="91"/>
  <c r="F23" i="91"/>
  <c r="B23" i="91"/>
  <c r="G22" i="91"/>
  <c r="F22" i="91"/>
  <c r="B22" i="91"/>
  <c r="G21" i="91"/>
  <c r="F21" i="91"/>
  <c r="B21" i="91"/>
  <c r="H20" i="91"/>
  <c r="H19" i="91"/>
  <c r="H18" i="91"/>
  <c r="H17" i="91"/>
  <c r="H16" i="91"/>
  <c r="H15" i="91"/>
  <c r="H14" i="91"/>
  <c r="H13" i="91"/>
  <c r="H12" i="91"/>
  <c r="H11" i="91"/>
  <c r="H10" i="91"/>
  <c r="H9" i="91"/>
  <c r="H8" i="91"/>
  <c r="H7" i="91"/>
  <c r="H6" i="91"/>
  <c r="H5" i="91"/>
  <c r="J17" i="90"/>
  <c r="J16" i="90"/>
  <c r="J15" i="90"/>
  <c r="J14" i="90"/>
  <c r="J13" i="90"/>
  <c r="J12" i="90"/>
  <c r="J11" i="90"/>
  <c r="J10" i="90"/>
  <c r="J9" i="90"/>
  <c r="J8" i="90"/>
  <c r="J7" i="90"/>
  <c r="J6" i="90"/>
  <c r="J5" i="90"/>
  <c r="G6" i="81"/>
  <c r="C21" i="89"/>
  <c r="B21" i="89"/>
  <c r="D20" i="89"/>
  <c r="D19" i="89"/>
  <c r="D18" i="89"/>
  <c r="D17" i="89"/>
  <c r="D16" i="89"/>
  <c r="G14" i="88"/>
  <c r="G15" i="88" s="1"/>
  <c r="H15" i="88" s="1"/>
  <c r="I15" i="88" s="1"/>
  <c r="N15" i="155" l="1"/>
  <c r="I38" i="104"/>
  <c r="I34" i="104"/>
  <c r="M26" i="155" s="1"/>
  <c r="I30" i="104"/>
  <c r="M22" i="155" s="1"/>
  <c r="I26" i="104"/>
  <c r="M18" i="155" s="1"/>
  <c r="I35" i="104"/>
  <c r="M27" i="155" s="1"/>
  <c r="I27" i="104"/>
  <c r="M19" i="155" s="1"/>
  <c r="I37" i="104"/>
  <c r="M29" i="155" s="1"/>
  <c r="I33" i="104"/>
  <c r="M25" i="155" s="1"/>
  <c r="I29" i="104"/>
  <c r="I25" i="104"/>
  <c r="M17" i="155" s="1"/>
  <c r="I31" i="104"/>
  <c r="M23" i="155" s="1"/>
  <c r="I40" i="104"/>
  <c r="I36" i="104"/>
  <c r="M28" i="155" s="1"/>
  <c r="I32" i="104"/>
  <c r="M24" i="155" s="1"/>
  <c r="I28" i="104"/>
  <c r="M20" i="155" s="1"/>
  <c r="I24" i="104"/>
  <c r="M16" i="155" s="1"/>
  <c r="I39" i="104"/>
  <c r="M31" i="155" s="1"/>
  <c r="I23" i="104"/>
  <c r="M15" i="155" s="1"/>
  <c r="C15" i="104"/>
  <c r="C14" i="104"/>
  <c r="C9" i="102"/>
  <c r="C5" i="102"/>
  <c r="C10" i="102"/>
  <c r="C6" i="102"/>
  <c r="C8" i="102"/>
  <c r="C7" i="102"/>
  <c r="E21" i="95"/>
  <c r="I37" i="95"/>
  <c r="I33" i="95"/>
  <c r="I29" i="95"/>
  <c r="I25" i="95"/>
  <c r="I35" i="95"/>
  <c r="I27" i="95"/>
  <c r="I23" i="95"/>
  <c r="I38" i="95"/>
  <c r="I30" i="95"/>
  <c r="I40" i="95"/>
  <c r="I36" i="95"/>
  <c r="I32" i="95"/>
  <c r="I28" i="95"/>
  <c r="I24" i="95"/>
  <c r="I39" i="95"/>
  <c r="I31" i="95"/>
  <c r="I34" i="95"/>
  <c r="I26" i="95"/>
  <c r="J14" i="85"/>
  <c r="J11" i="155"/>
  <c r="C14" i="95"/>
  <c r="C15" i="95"/>
  <c r="C9" i="93"/>
  <c r="C5" i="93"/>
  <c r="C7" i="93"/>
  <c r="C6" i="93"/>
  <c r="C8" i="93"/>
  <c r="C10" i="93"/>
  <c r="D8" i="100"/>
  <c r="D16" i="100"/>
  <c r="D11" i="100"/>
  <c r="D13" i="100"/>
  <c r="D6" i="100"/>
  <c r="D19" i="100"/>
  <c r="D10" i="100"/>
  <c r="D14" i="100"/>
  <c r="D9" i="100"/>
  <c r="D18" i="100"/>
  <c r="D12" i="100"/>
  <c r="D7" i="100"/>
  <c r="D17" i="100"/>
  <c r="D15" i="100"/>
  <c r="D5" i="100"/>
  <c r="C8" i="99"/>
  <c r="C7" i="99"/>
  <c r="C9" i="99"/>
  <c r="C6" i="99"/>
  <c r="C5" i="99"/>
  <c r="C16" i="98"/>
  <c r="C11" i="98"/>
  <c r="C10" i="98"/>
  <c r="C9" i="98"/>
  <c r="C7" i="98"/>
  <c r="C6" i="98"/>
  <c r="C8" i="98"/>
  <c r="C12" i="98"/>
  <c r="C5" i="98"/>
  <c r="C13" i="98"/>
  <c r="O4" i="153"/>
  <c r="C22" i="91"/>
  <c r="C5" i="91"/>
  <c r="C19" i="91"/>
  <c r="C14" i="91"/>
  <c r="C13" i="91"/>
  <c r="C11" i="91"/>
  <c r="C12" i="91"/>
  <c r="C8" i="91"/>
  <c r="C7" i="91"/>
  <c r="C9" i="91"/>
  <c r="C15" i="91"/>
  <c r="C10" i="91"/>
  <c r="C20" i="91"/>
  <c r="C16" i="91"/>
  <c r="C6" i="91"/>
  <c r="C18" i="91"/>
  <c r="C17" i="91"/>
  <c r="O7" i="153"/>
  <c r="C25" i="91"/>
  <c r="O6" i="153"/>
  <c r="C24" i="91"/>
  <c r="O5" i="153"/>
  <c r="C23" i="91"/>
  <c r="G30" i="81"/>
  <c r="G31" i="81"/>
  <c r="G26" i="81"/>
  <c r="G38" i="81"/>
  <c r="G27" i="81"/>
  <c r="G35" i="81"/>
  <c r="G28" i="81"/>
  <c r="G32" i="81"/>
  <c r="G36" i="81"/>
  <c r="G34" i="81"/>
  <c r="G29" i="81"/>
  <c r="G33" i="81"/>
  <c r="G37" i="81"/>
  <c r="E21" i="104"/>
  <c r="L9" i="155"/>
  <c r="N16" i="155"/>
  <c r="D4" i="155"/>
  <c r="D8" i="155"/>
  <c r="D7" i="155"/>
  <c r="D6" i="155"/>
  <c r="D5" i="155"/>
  <c r="N19" i="155"/>
  <c r="N23" i="155"/>
  <c r="N29" i="155"/>
  <c r="N18" i="155"/>
  <c r="N22" i="155"/>
  <c r="N26" i="155"/>
  <c r="N28" i="155"/>
  <c r="N32" i="155"/>
  <c r="N20" i="155"/>
  <c r="N24" i="155"/>
  <c r="N30" i="155"/>
  <c r="N17" i="155"/>
  <c r="N21" i="155"/>
  <c r="N25" i="155"/>
  <c r="N27" i="155"/>
  <c r="N31" i="155"/>
  <c r="J20" i="100"/>
  <c r="K5" i="100" s="1"/>
  <c r="D21" i="89"/>
  <c r="E16" i="89" s="1"/>
  <c r="C8" i="104"/>
  <c r="K9" i="155"/>
  <c r="K10" i="155"/>
  <c r="J13" i="85"/>
  <c r="H15" i="98"/>
  <c r="B15" i="98"/>
  <c r="C15" i="98" s="1"/>
  <c r="M32" i="155"/>
  <c r="M21" i="155"/>
  <c r="M30" i="155"/>
  <c r="D21" i="99"/>
  <c r="E16" i="99" s="1"/>
  <c r="H25" i="91"/>
  <c r="J20" i="90"/>
  <c r="K17" i="90" s="1"/>
  <c r="H21" i="91"/>
  <c r="I8" i="91" s="1"/>
  <c r="H23" i="91"/>
  <c r="H16" i="104"/>
  <c r="I14" i="104" s="1"/>
  <c r="H14" i="98"/>
  <c r="H16" i="95"/>
  <c r="I15" i="95" s="1"/>
  <c r="H22" i="91"/>
  <c r="H24" i="91"/>
  <c r="M7" i="153" l="1"/>
  <c r="P7" i="153" s="1"/>
  <c r="Q7" i="153"/>
  <c r="M6" i="153"/>
  <c r="P6" i="153" s="1"/>
  <c r="Q6" i="153"/>
  <c r="M4" i="153"/>
  <c r="P4" i="153" s="1"/>
  <c r="Q4" i="153"/>
  <c r="M5" i="153"/>
  <c r="P5" i="153" s="1"/>
  <c r="Q5" i="153"/>
  <c r="E19" i="89"/>
  <c r="E18" i="89"/>
  <c r="E17" i="89"/>
  <c r="E20" i="89"/>
  <c r="O16" i="155"/>
  <c r="L11" i="155"/>
  <c r="I15" i="104"/>
  <c r="C11" i="102"/>
  <c r="I14" i="95"/>
  <c r="K38" i="85"/>
  <c r="K34" i="85"/>
  <c r="K30" i="85"/>
  <c r="K26" i="85"/>
  <c r="K22" i="85"/>
  <c r="K32" i="85"/>
  <c r="K24" i="85"/>
  <c r="K31" i="85"/>
  <c r="K27" i="85"/>
  <c r="K37" i="85"/>
  <c r="K33" i="85"/>
  <c r="K29" i="85"/>
  <c r="K25" i="85"/>
  <c r="K21" i="85"/>
  <c r="K36" i="85"/>
  <c r="K28" i="85"/>
  <c r="K35" i="85"/>
  <c r="K23" i="85"/>
  <c r="K8" i="100"/>
  <c r="K14" i="100"/>
  <c r="K17" i="100"/>
  <c r="K11" i="100"/>
  <c r="K10" i="100"/>
  <c r="K15" i="100"/>
  <c r="K16" i="100"/>
  <c r="K9" i="100"/>
  <c r="K7" i="100"/>
  <c r="K6" i="100"/>
  <c r="K12" i="100"/>
  <c r="K19" i="100"/>
  <c r="K18" i="100"/>
  <c r="K13" i="100"/>
  <c r="E18" i="99"/>
  <c r="E20" i="99"/>
  <c r="E19" i="99"/>
  <c r="E17" i="99"/>
  <c r="I16" i="98"/>
  <c r="I8" i="98"/>
  <c r="I5" i="98"/>
  <c r="I10" i="98"/>
  <c r="I13" i="98"/>
  <c r="I7" i="98"/>
  <c r="I6" i="98"/>
  <c r="I11" i="98"/>
  <c r="I12" i="98"/>
  <c r="I9" i="98"/>
  <c r="I15" i="98"/>
  <c r="O12" i="153"/>
  <c r="Q12" i="153" s="1"/>
  <c r="I25" i="91"/>
  <c r="I19" i="91"/>
  <c r="I10" i="91"/>
  <c r="I17" i="91"/>
  <c r="I20" i="91"/>
  <c r="O10" i="153"/>
  <c r="I23" i="91"/>
  <c r="I15" i="91"/>
  <c r="I6" i="91"/>
  <c r="I13" i="91"/>
  <c r="I16" i="91"/>
  <c r="O11" i="153"/>
  <c r="I24" i="91"/>
  <c r="I11" i="91"/>
  <c r="I18" i="91"/>
  <c r="I9" i="91"/>
  <c r="I12" i="91"/>
  <c r="O9" i="153"/>
  <c r="Q9" i="153" s="1"/>
  <c r="I22" i="91"/>
  <c r="I7" i="91"/>
  <c r="I14" i="91"/>
  <c r="I5" i="91"/>
  <c r="K14" i="90"/>
  <c r="K12" i="90"/>
  <c r="K11" i="90"/>
  <c r="K13" i="90"/>
  <c r="K19" i="90"/>
  <c r="K18" i="90"/>
  <c r="K16" i="90"/>
  <c r="K8" i="90"/>
  <c r="K15" i="90"/>
  <c r="K7" i="90"/>
  <c r="K6" i="90"/>
  <c r="K5" i="90"/>
  <c r="K9" i="90"/>
  <c r="K10" i="90"/>
  <c r="O21" i="155"/>
  <c r="O28" i="155"/>
  <c r="O26" i="155"/>
  <c r="O32" i="155"/>
  <c r="O17" i="155"/>
  <c r="O18" i="155"/>
  <c r="O29" i="155"/>
  <c r="S11" i="155"/>
  <c r="E3" i="155"/>
  <c r="O25" i="155"/>
  <c r="O22" i="155"/>
  <c r="O23" i="155"/>
  <c r="O19" i="155"/>
  <c r="O24" i="155"/>
  <c r="O20" i="155"/>
  <c r="O31" i="155"/>
  <c r="F6" i="155"/>
  <c r="F4" i="155"/>
  <c r="O15" i="155"/>
  <c r="F8" i="155"/>
  <c r="F5" i="155"/>
  <c r="F7" i="155"/>
  <c r="O30" i="155"/>
  <c r="O27" i="155"/>
  <c r="C7" i="155"/>
  <c r="C4" i="155"/>
  <c r="C8" i="155"/>
  <c r="C5" i="155"/>
  <c r="C6" i="155"/>
  <c r="M12" i="153"/>
  <c r="P12" i="153" s="1"/>
  <c r="M9" i="155"/>
  <c r="I8" i="104"/>
  <c r="M6" i="155" s="1"/>
  <c r="C8" i="95"/>
  <c r="K6" i="155" s="1"/>
  <c r="I8" i="95"/>
  <c r="J15" i="85"/>
  <c r="K14" i="85" s="1"/>
  <c r="C16" i="104"/>
  <c r="C16" i="95"/>
  <c r="K11" i="155" s="1"/>
  <c r="C11" i="93"/>
  <c r="C21" i="91"/>
  <c r="D20" i="90"/>
  <c r="D5" i="90"/>
  <c r="M10" i="155"/>
  <c r="D20" i="100"/>
  <c r="C10" i="99"/>
  <c r="C14" i="98"/>
  <c r="C14" i="88"/>
  <c r="M10" i="153" l="1"/>
  <c r="P10" i="153" s="1"/>
  <c r="Q10" i="153"/>
  <c r="M11" i="153"/>
  <c r="P11" i="153" s="1"/>
  <c r="Q11" i="153"/>
  <c r="M9" i="153"/>
  <c r="P9" i="153" s="1"/>
  <c r="K13" i="85"/>
  <c r="E6" i="155"/>
  <c r="E4" i="155"/>
  <c r="S13" i="155"/>
  <c r="T11" i="155" s="1"/>
  <c r="E8" i="155"/>
  <c r="E5" i="155"/>
  <c r="E7" i="155"/>
  <c r="K8" i="85"/>
  <c r="E21" i="99"/>
  <c r="I16" i="104"/>
  <c r="M11" i="155" s="1"/>
  <c r="I14" i="98"/>
  <c r="K20" i="90"/>
  <c r="I16" i="95"/>
  <c r="I21" i="91"/>
  <c r="I14" i="88"/>
  <c r="K20" i="100"/>
  <c r="E21" i="89"/>
  <c r="T9" i="155" l="1"/>
  <c r="T10" i="155"/>
  <c r="T13" i="155"/>
  <c r="T12" i="155"/>
  <c r="K15" i="85"/>
  <c r="G22" i="82" l="1"/>
  <c r="G41" i="81"/>
  <c r="D41" i="81"/>
  <c r="G21" i="81"/>
  <c r="E29" i="81" l="1"/>
  <c r="E38" i="81"/>
  <c r="E30" i="81"/>
  <c r="E31" i="81"/>
  <c r="E35" i="81"/>
  <c r="E28" i="81"/>
  <c r="E37" i="81"/>
  <c r="E36" i="81"/>
  <c r="E32" i="81"/>
  <c r="E34" i="81"/>
  <c r="E27" i="81"/>
  <c r="E39" i="81"/>
  <c r="E33" i="81"/>
  <c r="E40" i="81"/>
  <c r="H20" i="82"/>
  <c r="H9" i="82"/>
  <c r="H7" i="82"/>
  <c r="H6" i="82"/>
  <c r="H14" i="82"/>
  <c r="H21" i="82"/>
  <c r="H11" i="82"/>
  <c r="H13" i="82"/>
  <c r="H15" i="82"/>
  <c r="H10" i="82"/>
  <c r="H19" i="82"/>
  <c r="H17" i="82"/>
  <c r="H8" i="82"/>
  <c r="H16" i="82"/>
  <c r="H12" i="82"/>
  <c r="H18" i="82"/>
  <c r="H25" i="82"/>
  <c r="H23" i="82"/>
  <c r="H24" i="82"/>
  <c r="H26" i="82"/>
  <c r="H14" i="81"/>
  <c r="H10" i="81"/>
  <c r="H18" i="81"/>
  <c r="H13" i="81"/>
  <c r="H7" i="81"/>
  <c r="H8" i="81"/>
  <c r="H11" i="81"/>
  <c r="H15" i="81"/>
  <c r="H16" i="81"/>
  <c r="H12" i="81"/>
  <c r="H19" i="81"/>
  <c r="H9" i="81"/>
  <c r="H17" i="81"/>
  <c r="H20" i="81"/>
  <c r="H41" i="81"/>
  <c r="H40" i="81"/>
  <c r="H39" i="81"/>
  <c r="H38" i="81"/>
  <c r="H35" i="81"/>
  <c r="H36" i="81"/>
  <c r="H30" i="81"/>
  <c r="H34" i="81"/>
  <c r="H29" i="81"/>
  <c r="H27" i="81"/>
  <c r="H28" i="81"/>
  <c r="H33" i="81"/>
  <c r="H31" i="81"/>
  <c r="H32" i="81"/>
  <c r="H37" i="81"/>
  <c r="C12" i="84"/>
  <c r="C23" i="84"/>
  <c r="C15" i="85"/>
  <c r="I15" i="85"/>
  <c r="E15" i="85"/>
  <c r="C22" i="82"/>
  <c r="F23" i="84" l="1"/>
  <c r="E26" i="81"/>
  <c r="E6" i="81"/>
  <c r="E21" i="81"/>
  <c r="F12" i="84"/>
  <c r="H22" i="82"/>
  <c r="H26" i="81"/>
  <c r="H6" i="81"/>
  <c r="H21" i="81"/>
  <c r="E41" i="81"/>
  <c r="B10" i="89" l="1"/>
  <c r="C7" i="89" l="1"/>
  <c r="C5" i="89"/>
  <c r="C6" i="89"/>
  <c r="C9" i="89"/>
  <c r="C8" i="89"/>
  <c r="C10" i="89" l="1"/>
</calcChain>
</file>

<file path=xl/sharedStrings.xml><?xml version="1.0" encoding="utf-8"?>
<sst xmlns="http://schemas.openxmlformats.org/spreadsheetml/2006/main" count="3975" uniqueCount="628">
  <si>
    <t>人数</t>
    <rPh sb="0" eb="2">
      <t>ニンズウ</t>
    </rPh>
    <phoneticPr fontId="2"/>
  </si>
  <si>
    <t>割合</t>
    <rPh sb="0" eb="2">
      <t>ワリアイ</t>
    </rPh>
    <phoneticPr fontId="2"/>
  </si>
  <si>
    <t>19歳以下</t>
  </si>
  <si>
    <t>20歳代</t>
  </si>
  <si>
    <t>30歳代</t>
  </si>
  <si>
    <t>40歳代</t>
  </si>
  <si>
    <t>50歳代</t>
  </si>
  <si>
    <t>60歳代</t>
  </si>
  <si>
    <t>70歳代</t>
  </si>
  <si>
    <t>80歳代</t>
  </si>
  <si>
    <t>90歳以上</t>
  </si>
  <si>
    <t>総計</t>
    <rPh sb="0" eb="2">
      <t>ソウケイ</t>
    </rPh>
    <phoneticPr fontId="2"/>
  </si>
  <si>
    <t>計</t>
    <rPh sb="0" eb="1">
      <t>ケイ</t>
    </rPh>
    <phoneticPr fontId="2"/>
  </si>
  <si>
    <t>〔全状態像〕</t>
    <rPh sb="1" eb="2">
      <t>ゼン</t>
    </rPh>
    <rPh sb="2" eb="4">
      <t>ジョウタイ</t>
    </rPh>
    <rPh sb="4" eb="5">
      <t>ゾウ</t>
    </rPh>
    <phoneticPr fontId="2"/>
  </si>
  <si>
    <t>措置入院・緊急措置入院</t>
  </si>
  <si>
    <t>医療保護入院</t>
  </si>
  <si>
    <t>任意入院</t>
  </si>
  <si>
    <t>応急入院</t>
  </si>
  <si>
    <t>その他</t>
  </si>
  <si>
    <t>アルツハイマー病の認知症・血管性認知症以外の、
症状性を含む器質性精神障害（F02-F09）</t>
  </si>
  <si>
    <t>精神作用物質使用による精神及び行動の障害（F1）</t>
  </si>
  <si>
    <t>統合失調症、統合失調症型障害及び妄想性障害（F2）</t>
  </si>
  <si>
    <t>気分（感情）障害（F3）</t>
  </si>
  <si>
    <t>心理的発達の障害（F8）</t>
  </si>
  <si>
    <t>神経症性障害、ストレス関連障害及び身体表現性障害（F4）</t>
    <phoneticPr fontId="2"/>
  </si>
  <si>
    <t>生理的障害及び身体的要因に関連した行動症候群（F5）</t>
    <phoneticPr fontId="2"/>
  </si>
  <si>
    <t>2年～3年未満</t>
    <phoneticPr fontId="2"/>
  </si>
  <si>
    <t>3年～4年未満</t>
    <phoneticPr fontId="2"/>
  </si>
  <si>
    <t>寛解</t>
  </si>
  <si>
    <t>院内寛解</t>
  </si>
  <si>
    <t>軽度</t>
  </si>
  <si>
    <t>中等度</t>
  </si>
  <si>
    <t>重度</t>
  </si>
  <si>
    <t>最重度</t>
  </si>
  <si>
    <t>退院阻害要因がある</t>
    <rPh sb="0" eb="2">
      <t>タイイン</t>
    </rPh>
    <rPh sb="2" eb="4">
      <t>ソガイ</t>
    </rPh>
    <rPh sb="4" eb="6">
      <t>ヨウイン</t>
    </rPh>
    <phoneticPr fontId="2"/>
  </si>
  <si>
    <t>退院阻害要因はない</t>
  </si>
  <si>
    <t>退院予定</t>
  </si>
  <si>
    <t>回答数</t>
    <rPh sb="0" eb="2">
      <t>カイトウ</t>
    </rPh>
    <rPh sb="2" eb="3">
      <t>スウ</t>
    </rPh>
    <phoneticPr fontId="2"/>
  </si>
  <si>
    <t>反社会的行動が予測される</t>
  </si>
  <si>
    <t>退院意欲が乏しい</t>
  </si>
  <si>
    <t>現実認識が乏しい</t>
  </si>
  <si>
    <t>退院による環境変化への不安が強い</t>
  </si>
  <si>
    <t>援助者との対人関係がもてない</t>
  </si>
  <si>
    <t>家事（食事・洗濯・金銭管理など）ができない</t>
  </si>
  <si>
    <t>家族がいない、本人をサポートする機能が実質ない</t>
  </si>
  <si>
    <t>家族から退院に反対がある</t>
  </si>
  <si>
    <t>住まいの確保ができない</t>
  </si>
  <si>
    <t>生活費の確保ができない</t>
  </si>
  <si>
    <t>日常生活を支える制度がない</t>
  </si>
  <si>
    <t>救急診療体制がない</t>
  </si>
  <si>
    <t>退院に向けてサポートする人的資源が乏しい</t>
  </si>
  <si>
    <t>退院後サポート・マネジメントする人的資源が乏しい</t>
  </si>
  <si>
    <t>住所地と入院先の距離があり支援体制をとりにくい</t>
  </si>
  <si>
    <t>その他の退院阻害要因がある</t>
  </si>
  <si>
    <t>【退院阻害要因の有無】</t>
    <phoneticPr fontId="2"/>
  </si>
  <si>
    <t>【退院阻害要因（複数回答）】</t>
    <phoneticPr fontId="2"/>
  </si>
  <si>
    <t>1年未満（再掲）</t>
    <rPh sb="5" eb="7">
      <t>サイケイ</t>
    </rPh>
    <phoneticPr fontId="2"/>
  </si>
  <si>
    <t>1年以上5年未満（再掲）</t>
    <rPh sb="2" eb="4">
      <t>イジョウ</t>
    </rPh>
    <rPh sb="9" eb="11">
      <t>サイケイ</t>
    </rPh>
    <phoneticPr fontId="2"/>
  </si>
  <si>
    <t>5年以上10年未満（再掲）</t>
    <rPh sb="1" eb="2">
      <t>ネン</t>
    </rPh>
    <rPh sb="2" eb="4">
      <t>イジョウ</t>
    </rPh>
    <rPh sb="10" eb="12">
      <t>サイケイ</t>
    </rPh>
    <phoneticPr fontId="2"/>
  </si>
  <si>
    <t>10年以上（再掲）</t>
    <rPh sb="6" eb="8">
      <t>サイケイ</t>
    </rPh>
    <phoneticPr fontId="2"/>
  </si>
  <si>
    <t>1ヶ月未満</t>
  </si>
  <si>
    <t>20年以上</t>
  </si>
  <si>
    <t>合計</t>
    <rPh sb="0" eb="2">
      <t>ゴウケイ</t>
    </rPh>
    <phoneticPr fontId="2"/>
  </si>
  <si>
    <t>データ貼り付け箇所</t>
    <rPh sb="3" eb="4">
      <t>ハ</t>
    </rPh>
    <rPh sb="5" eb="6">
      <t>ツ</t>
    </rPh>
    <rPh sb="7" eb="9">
      <t>カショ</t>
    </rPh>
    <phoneticPr fontId="2"/>
  </si>
  <si>
    <t>在院期間区分</t>
    <rPh sb="0" eb="2">
      <t>ザイイン</t>
    </rPh>
    <rPh sb="2" eb="4">
      <t>キカン</t>
    </rPh>
    <rPh sb="4" eb="6">
      <t>クブン</t>
    </rPh>
    <phoneticPr fontId="2"/>
  </si>
  <si>
    <t>年齢階層</t>
    <rPh sb="0" eb="2">
      <t>ネンレイ</t>
    </rPh>
    <rPh sb="2" eb="4">
      <t>カイソウ</t>
    </rPh>
    <phoneticPr fontId="2"/>
  </si>
  <si>
    <t>病識がなく通院服薬の中断が予測される</t>
    <phoneticPr fontId="2"/>
  </si>
  <si>
    <t>てんかん（症状性を含む器質性障害(F0)に属さないもの）</t>
  </si>
  <si>
    <t>アルツハイマー病の認知症・血管性認知症以外の、症状性を含む器質性精神障害（F02-F09）</t>
  </si>
  <si>
    <t>1年未満</t>
    <phoneticPr fontId="2"/>
  </si>
  <si>
    <t>1年以上
5年未満</t>
    <phoneticPr fontId="2"/>
  </si>
  <si>
    <t>5年以上
10年未満</t>
    <phoneticPr fontId="2"/>
  </si>
  <si>
    <t>10年以上</t>
    <phoneticPr fontId="2"/>
  </si>
  <si>
    <t>統合失調症、統合失調症型障害及び妄想性障害（F2）</t>
    <phoneticPr fontId="2"/>
  </si>
  <si>
    <t>【年齢階層×在院期間区分】〔統合失調症、統合失調症型障害及び妄想性障害（F2）〕</t>
    <rPh sb="14" eb="19">
      <t>トウゴウシッチョウショウ</t>
    </rPh>
    <rPh sb="20" eb="25">
      <t>トウゴウシッチョウショウ</t>
    </rPh>
    <rPh sb="25" eb="26">
      <t>ガタ</t>
    </rPh>
    <rPh sb="26" eb="28">
      <t>ショウガイ</t>
    </rPh>
    <rPh sb="28" eb="29">
      <t>オヨ</t>
    </rPh>
    <rPh sb="30" eb="33">
      <t>モウソウセイ</t>
    </rPh>
    <rPh sb="33" eb="35">
      <t>ショウガイ</t>
    </rPh>
    <phoneticPr fontId="2"/>
  </si>
  <si>
    <t>【年齢階層×在院期間区分】〔統合失調症、統合失調症型障害及び妄想性障害（F2）〕&amp;〔寛解・院内寛解群〕</t>
    <rPh sb="14" eb="19">
      <t>トウゴウシッチョウショウ</t>
    </rPh>
    <rPh sb="20" eb="25">
      <t>トウゴウシッチョウショウ</t>
    </rPh>
    <rPh sb="25" eb="26">
      <t>ガタ</t>
    </rPh>
    <rPh sb="26" eb="28">
      <t>ショウガイ</t>
    </rPh>
    <rPh sb="28" eb="29">
      <t>オヨ</t>
    </rPh>
    <rPh sb="30" eb="33">
      <t>モウソウセイ</t>
    </rPh>
    <rPh sb="33" eb="35">
      <t>ショウガイ</t>
    </rPh>
    <phoneticPr fontId="2"/>
  </si>
  <si>
    <t>気分（感情）障害（F3）</t>
    <phoneticPr fontId="2"/>
  </si>
  <si>
    <t>【退院阻害要因×年齢階層】</t>
    <rPh sb="1" eb="3">
      <t>タイイン</t>
    </rPh>
    <rPh sb="3" eb="5">
      <t>ソガイ</t>
    </rPh>
    <rPh sb="5" eb="7">
      <t>ヨウイン</t>
    </rPh>
    <rPh sb="8" eb="10">
      <t>ネンレイ</t>
    </rPh>
    <rPh sb="10" eb="12">
      <t>カイソウ</t>
    </rPh>
    <phoneticPr fontId="2"/>
  </si>
  <si>
    <t>【退院阻害要因×在院期間区分】</t>
    <rPh sb="1" eb="3">
      <t>タイイン</t>
    </rPh>
    <rPh sb="3" eb="5">
      <t>ソガイ</t>
    </rPh>
    <rPh sb="5" eb="7">
      <t>ヨウイン</t>
    </rPh>
    <rPh sb="8" eb="10">
      <t>ザイイン</t>
    </rPh>
    <rPh sb="10" eb="12">
      <t>キカン</t>
    </rPh>
    <rPh sb="12" eb="14">
      <t>クブン</t>
    </rPh>
    <phoneticPr fontId="2"/>
  </si>
  <si>
    <t>【退院阻害要因×在院期間区分】〔寛解・院内寛解群〕</t>
    <rPh sb="16" eb="18">
      <t>カンカイ</t>
    </rPh>
    <rPh sb="19" eb="21">
      <t>インナイ</t>
    </rPh>
    <rPh sb="21" eb="23">
      <t>カンカイ</t>
    </rPh>
    <rPh sb="23" eb="24">
      <t>グン</t>
    </rPh>
    <phoneticPr fontId="2"/>
  </si>
  <si>
    <t>【退院阻害要因×疾患名区分（F0,F2,F3）】</t>
    <rPh sb="1" eb="3">
      <t>タイイン</t>
    </rPh>
    <rPh sb="3" eb="5">
      <t>ソガイ</t>
    </rPh>
    <rPh sb="5" eb="7">
      <t>ヨウイン</t>
    </rPh>
    <rPh sb="8" eb="10">
      <t>シッカン</t>
    </rPh>
    <rPh sb="10" eb="11">
      <t>メイ</t>
    </rPh>
    <rPh sb="11" eb="13">
      <t>クブン</t>
    </rPh>
    <phoneticPr fontId="2"/>
  </si>
  <si>
    <t>疾患名区分</t>
    <rPh sb="0" eb="2">
      <t>シッカン</t>
    </rPh>
    <rPh sb="2" eb="3">
      <t>メイ</t>
    </rPh>
    <rPh sb="3" eb="5">
      <t>クブン</t>
    </rPh>
    <phoneticPr fontId="2"/>
  </si>
  <si>
    <t>【退院阻害要因×疾患名区分（F0,F2,F3）】〔寛解・院内寛解群〕</t>
    <rPh sb="25" eb="27">
      <t>カンカイ</t>
    </rPh>
    <rPh sb="28" eb="30">
      <t>インナイ</t>
    </rPh>
    <rPh sb="30" eb="32">
      <t>カンカイ</t>
    </rPh>
    <rPh sb="32" eb="33">
      <t>グン</t>
    </rPh>
    <phoneticPr fontId="2"/>
  </si>
  <si>
    <t>心理的発達の障害（F8）</t>
    <phoneticPr fontId="2"/>
  </si>
  <si>
    <t>【年齢区分（在院期間１年以上）】</t>
    <rPh sb="6" eb="8">
      <t>ザイイン</t>
    </rPh>
    <rPh sb="8" eb="10">
      <t>キカン</t>
    </rPh>
    <rPh sb="11" eb="12">
      <t>ネン</t>
    </rPh>
    <rPh sb="12" eb="14">
      <t>イジョウ</t>
    </rPh>
    <phoneticPr fontId="2"/>
  </si>
  <si>
    <t>【退院阻害要因の有無（在院期間１年以上）】</t>
    <phoneticPr fontId="2"/>
  </si>
  <si>
    <t>【退院阻害要因（複数回答）（在院期間１年以上）】</t>
    <phoneticPr fontId="2"/>
  </si>
  <si>
    <t>【退院阻害要因×年齢階層】〔寛解・院内寛解群〕</t>
    <rPh sb="14" eb="16">
      <t>カンカイ</t>
    </rPh>
    <rPh sb="17" eb="19">
      <t>インナイ</t>
    </rPh>
    <rPh sb="19" eb="21">
      <t>カンカイ</t>
    </rPh>
    <rPh sb="21" eb="22">
      <t>グン</t>
    </rPh>
    <phoneticPr fontId="2"/>
  </si>
  <si>
    <t>65歳以上</t>
    <rPh sb="2" eb="5">
      <t>サイイジョウ</t>
    </rPh>
    <phoneticPr fontId="2"/>
  </si>
  <si>
    <t>65歳以上（再掲）</t>
    <rPh sb="2" eb="3">
      <t>サイ</t>
    </rPh>
    <rPh sb="3" eb="5">
      <t>イジョウ</t>
    </rPh>
    <rPh sb="6" eb="8">
      <t>サイケイ</t>
    </rPh>
    <phoneticPr fontId="2"/>
  </si>
  <si>
    <t>65歳未満（再掲）</t>
    <rPh sb="2" eb="3">
      <t>サイ</t>
    </rPh>
    <rPh sb="3" eb="5">
      <t>ミマン</t>
    </rPh>
    <rPh sb="6" eb="8">
      <t>サイケイ</t>
    </rPh>
    <phoneticPr fontId="2"/>
  </si>
  <si>
    <t>65歳以上（再掲）</t>
    <rPh sb="2" eb="5">
      <t>サイイジョウ</t>
    </rPh>
    <rPh sb="6" eb="8">
      <t>サイケイ</t>
    </rPh>
    <phoneticPr fontId="2"/>
  </si>
  <si>
    <t>65歳未満（再掲）</t>
    <rPh sb="2" eb="5">
      <t>サイミマン</t>
    </rPh>
    <rPh sb="6" eb="8">
      <t>サイケイ</t>
    </rPh>
    <phoneticPr fontId="2"/>
  </si>
  <si>
    <t>65歳未満（再掲）</t>
    <rPh sb="3" eb="5">
      <t>ミマン</t>
    </rPh>
    <rPh sb="6" eb="8">
      <t>サイケイ</t>
    </rPh>
    <phoneticPr fontId="2"/>
  </si>
  <si>
    <t>65歳～69歳</t>
    <rPh sb="2" eb="3">
      <t>サイ</t>
    </rPh>
    <rPh sb="6" eb="7">
      <t>サイ</t>
    </rPh>
    <phoneticPr fontId="2"/>
  </si>
  <si>
    <t>70歳～74歳</t>
    <rPh sb="2" eb="3">
      <t>サイ</t>
    </rPh>
    <rPh sb="6" eb="7">
      <t>サイ</t>
    </rPh>
    <phoneticPr fontId="2"/>
  </si>
  <si>
    <t>75歳～79歳</t>
    <rPh sb="2" eb="3">
      <t>サイ</t>
    </rPh>
    <rPh sb="6" eb="7">
      <t>サイ</t>
    </rPh>
    <phoneticPr fontId="2"/>
  </si>
  <si>
    <t>80歳～84歳</t>
    <rPh sb="2" eb="3">
      <t>サイ</t>
    </rPh>
    <rPh sb="6" eb="7">
      <t>サイ</t>
    </rPh>
    <phoneticPr fontId="2"/>
  </si>
  <si>
    <t>85歳～89歳</t>
    <rPh sb="2" eb="3">
      <t>サイ</t>
    </rPh>
    <rPh sb="6" eb="7">
      <t>サイ</t>
    </rPh>
    <phoneticPr fontId="2"/>
  </si>
  <si>
    <t>措置入院・緊急措置入院</t>
    <rPh sb="0" eb="2">
      <t>ソチ</t>
    </rPh>
    <rPh sb="2" eb="4">
      <t>ニュウイン</t>
    </rPh>
    <rPh sb="5" eb="7">
      <t>キンキュウ</t>
    </rPh>
    <rPh sb="7" eb="9">
      <t>ソチ</t>
    </rPh>
    <rPh sb="9" eb="11">
      <t>ニュウイン</t>
    </rPh>
    <phoneticPr fontId="2"/>
  </si>
  <si>
    <t>医療保護入院</t>
    <rPh sb="0" eb="2">
      <t>イリョウ</t>
    </rPh>
    <rPh sb="2" eb="4">
      <t>ホゴ</t>
    </rPh>
    <rPh sb="4" eb="6">
      <t>ニュウイン</t>
    </rPh>
    <phoneticPr fontId="2"/>
  </si>
  <si>
    <t>任意入院</t>
    <rPh sb="0" eb="2">
      <t>ニンイ</t>
    </rPh>
    <rPh sb="2" eb="4">
      <t>ニュウイン</t>
    </rPh>
    <phoneticPr fontId="2"/>
  </si>
  <si>
    <t>応急入院</t>
    <rPh sb="0" eb="2">
      <t>オウキュウ</t>
    </rPh>
    <rPh sb="2" eb="4">
      <t>ニュウイン</t>
    </rPh>
    <phoneticPr fontId="2"/>
  </si>
  <si>
    <t>その他</t>
    <rPh sb="2" eb="3">
      <t>タ</t>
    </rPh>
    <phoneticPr fontId="2"/>
  </si>
  <si>
    <t>うち寛解・院内寛解群</t>
    <rPh sb="2" eb="4">
      <t>カンカイ</t>
    </rPh>
    <rPh sb="5" eb="7">
      <t>インナイ</t>
    </rPh>
    <rPh sb="7" eb="9">
      <t>カンカイ</t>
    </rPh>
    <rPh sb="9" eb="10">
      <t>グン</t>
    </rPh>
    <phoneticPr fontId="2"/>
  </si>
  <si>
    <t>(再掲：患者全体)</t>
    <rPh sb="1" eb="3">
      <t>サイケイ</t>
    </rPh>
    <rPh sb="4" eb="6">
      <t>カンジャ</t>
    </rPh>
    <rPh sb="6" eb="8">
      <t>ゼンタイ</t>
    </rPh>
    <phoneticPr fontId="2"/>
  </si>
  <si>
    <t>症状性を含む器質性精神障害</t>
    <rPh sb="0" eb="2">
      <t>ショウジョウ</t>
    </rPh>
    <rPh sb="2" eb="3">
      <t>セイ</t>
    </rPh>
    <rPh sb="4" eb="5">
      <t>フク</t>
    </rPh>
    <rPh sb="6" eb="9">
      <t>キシツセイ</t>
    </rPh>
    <rPh sb="9" eb="11">
      <t>セイシン</t>
    </rPh>
    <rPh sb="11" eb="12">
      <t>ショウ</t>
    </rPh>
    <rPh sb="12" eb="13">
      <t>ガイ</t>
    </rPh>
    <phoneticPr fontId="2"/>
  </si>
  <si>
    <t>血管性認知症を含む器質性精神障害（F01）</t>
    <phoneticPr fontId="2"/>
  </si>
  <si>
    <t>神経症性障害、ストレス関連障害及び身体表現性障害（F4）</t>
    <phoneticPr fontId="2"/>
  </si>
  <si>
    <t>生理的障害及び身体的要因に関連した行動症候群（F5）</t>
    <phoneticPr fontId="2"/>
  </si>
  <si>
    <t>65歳以上全体</t>
    <rPh sb="2" eb="5">
      <t>サイイジョウ</t>
    </rPh>
    <rPh sb="5" eb="7">
      <t>ゼンタイ</t>
    </rPh>
    <phoneticPr fontId="2"/>
  </si>
  <si>
    <t xml:space="preserve">退院阻害要因がある  </t>
    <rPh sb="0" eb="2">
      <t>タイイン</t>
    </rPh>
    <rPh sb="2" eb="4">
      <t>ソガイ</t>
    </rPh>
    <rPh sb="4" eb="6">
      <t>ヨウイン</t>
    </rPh>
    <phoneticPr fontId="2"/>
  </si>
  <si>
    <t>退院阻害要因はない</t>
    <phoneticPr fontId="2"/>
  </si>
  <si>
    <t>【年齢区分】</t>
    <phoneticPr fontId="2"/>
  </si>
  <si>
    <t>〔寛解・院内寛解群〕</t>
    <phoneticPr fontId="2"/>
  </si>
  <si>
    <t>寛解</t>
    <phoneticPr fontId="2"/>
  </si>
  <si>
    <t>寛解</t>
    <phoneticPr fontId="2"/>
  </si>
  <si>
    <t>院内寛解</t>
    <phoneticPr fontId="2"/>
  </si>
  <si>
    <t>院内寛解</t>
    <phoneticPr fontId="2"/>
  </si>
  <si>
    <t>【入院形態区分】</t>
    <phoneticPr fontId="2"/>
  </si>
  <si>
    <t>【疾患名区分】</t>
    <phoneticPr fontId="2"/>
  </si>
  <si>
    <t>症状性を含む器質性精神障害（F0）</t>
    <phoneticPr fontId="2"/>
  </si>
  <si>
    <t>アルツハイマー病の認知症を含む器質性精神障害（F00）</t>
    <phoneticPr fontId="2"/>
  </si>
  <si>
    <t>血管性認知症を含む器質性精神障害（F01）</t>
    <phoneticPr fontId="2"/>
  </si>
  <si>
    <t>てんかん（症状性を含む器質性障害(F0)に属さないもの）</t>
    <phoneticPr fontId="2"/>
  </si>
  <si>
    <t>【在院期間区分】</t>
    <phoneticPr fontId="2"/>
  </si>
  <si>
    <t>〔寛解・院内寛解群〕</t>
    <phoneticPr fontId="2"/>
  </si>
  <si>
    <t>寛解</t>
    <phoneticPr fontId="2"/>
  </si>
  <si>
    <t>院内寛解</t>
    <phoneticPr fontId="2"/>
  </si>
  <si>
    <t>1ヶ月未満</t>
    <phoneticPr fontId="2"/>
  </si>
  <si>
    <t>1ヶ月～3ヶ月未満</t>
    <phoneticPr fontId="2"/>
  </si>
  <si>
    <t>1ヶ月～3ヶ月未満</t>
    <phoneticPr fontId="2"/>
  </si>
  <si>
    <t>3ヶ月～6ヶ月未満</t>
    <phoneticPr fontId="2"/>
  </si>
  <si>
    <t>6ヶ月～1年未満</t>
    <phoneticPr fontId="2"/>
  </si>
  <si>
    <t>1年～1年6ヶ月未満</t>
    <phoneticPr fontId="2"/>
  </si>
  <si>
    <t>1年6ヶ月～2年未満</t>
    <phoneticPr fontId="2"/>
  </si>
  <si>
    <t>2年～3年未満</t>
    <phoneticPr fontId="2"/>
  </si>
  <si>
    <t>4年～5年未満</t>
    <phoneticPr fontId="2"/>
  </si>
  <si>
    <t>5年～6年未満</t>
    <phoneticPr fontId="2"/>
  </si>
  <si>
    <t>6年～7年未満</t>
    <phoneticPr fontId="2"/>
  </si>
  <si>
    <t>7年～8年未満</t>
    <phoneticPr fontId="2"/>
  </si>
  <si>
    <t>8年～9年未満</t>
    <phoneticPr fontId="2"/>
  </si>
  <si>
    <t>9年～10年未満</t>
    <phoneticPr fontId="2"/>
  </si>
  <si>
    <t>10年～20年未満</t>
    <phoneticPr fontId="2"/>
  </si>
  <si>
    <t>20年以上</t>
    <phoneticPr fontId="2"/>
  </si>
  <si>
    <t>【状態像区分】</t>
    <phoneticPr fontId="2"/>
  </si>
  <si>
    <t>病識がなく通院服薬の中断が予測される</t>
    <phoneticPr fontId="2"/>
  </si>
  <si>
    <t>〔寛解・院内寛解群〕</t>
    <phoneticPr fontId="2"/>
  </si>
  <si>
    <t>寛解</t>
    <phoneticPr fontId="2"/>
  </si>
  <si>
    <t>院内寛解</t>
    <phoneticPr fontId="2"/>
  </si>
  <si>
    <t>【入院形態区分（在院期間１年以上）】</t>
    <phoneticPr fontId="2"/>
  </si>
  <si>
    <t>〔寛解・院内寛解群〕</t>
    <phoneticPr fontId="2"/>
  </si>
  <si>
    <t>寛解</t>
    <phoneticPr fontId="2"/>
  </si>
  <si>
    <t>院内寛解</t>
    <phoneticPr fontId="2"/>
  </si>
  <si>
    <t>【疾患名区分（在院期間１年以上）】</t>
    <phoneticPr fontId="2"/>
  </si>
  <si>
    <t>〔寛解・院内寛解群〕</t>
    <phoneticPr fontId="2"/>
  </si>
  <si>
    <t>【状態像区分（在院期間１年以上）】</t>
    <phoneticPr fontId="2"/>
  </si>
  <si>
    <t>65歳未満</t>
    <rPh sb="2" eb="3">
      <t>サイ</t>
    </rPh>
    <rPh sb="3" eb="5">
      <t>ミマン</t>
    </rPh>
    <phoneticPr fontId="2"/>
  </si>
  <si>
    <t>【年齢階層×在院期間区分】〔気分（感情）障害（F３）〕</t>
    <rPh sb="14" eb="16">
      <t>キブン</t>
    </rPh>
    <rPh sb="17" eb="19">
      <t>カンジョウ</t>
    </rPh>
    <rPh sb="20" eb="22">
      <t>ショウガイ</t>
    </rPh>
    <phoneticPr fontId="2"/>
  </si>
  <si>
    <t>【年齢階層×在院期間区分】〔気分（感情）障害（Ｆ３）〕&amp;〔寛解・院内寛解群〕</t>
    <rPh sb="14" eb="16">
      <t>キブン</t>
    </rPh>
    <rPh sb="17" eb="19">
      <t>カンジョウ</t>
    </rPh>
    <rPh sb="20" eb="21">
      <t>ショウ</t>
    </rPh>
    <rPh sb="21" eb="22">
      <t>ガイ</t>
    </rPh>
    <phoneticPr fontId="2"/>
  </si>
  <si>
    <t>病識がなく通院服薬の中断が予測される</t>
    <phoneticPr fontId="2"/>
  </si>
  <si>
    <t>　総計</t>
    <rPh sb="1" eb="2">
      <t>ソウ</t>
    </rPh>
    <rPh sb="2" eb="3">
      <t>ケイ</t>
    </rPh>
    <phoneticPr fontId="2"/>
  </si>
  <si>
    <t>　総計</t>
    <rPh sb="1" eb="3">
      <t>ソウケイ</t>
    </rPh>
    <phoneticPr fontId="2"/>
  </si>
  <si>
    <t>90歳～</t>
    <rPh sb="2" eb="3">
      <t>サイ</t>
    </rPh>
    <phoneticPr fontId="2"/>
  </si>
  <si>
    <t>【年齢階層×在院期間区分】〔アルツハイマー病型認知症及び血管性認知症（F00-F01）〕</t>
    <rPh sb="21" eb="22">
      <t>ビョウ</t>
    </rPh>
    <rPh sb="22" eb="23">
      <t>ガタ</t>
    </rPh>
    <rPh sb="23" eb="26">
      <t>ニンチショウ</t>
    </rPh>
    <rPh sb="26" eb="27">
      <t>オヨ</t>
    </rPh>
    <phoneticPr fontId="2"/>
  </si>
  <si>
    <t>【年齢階層×在院期間区分】〔アルツハイマー病型認知症及び血管性認知症（F00-F01）〕&amp;〔寛解・院内寛解群〕</t>
    <phoneticPr fontId="2"/>
  </si>
  <si>
    <t>【年齢階層×在院期間区分】</t>
    <phoneticPr fontId="2"/>
  </si>
  <si>
    <t>合計 / 反社会的行動が予測される</t>
  </si>
  <si>
    <t>合計 / 退院意欲が乏しい</t>
  </si>
  <si>
    <t>合計 / 現実認識が乏しい</t>
  </si>
  <si>
    <t>合計 / 退院による環境変化への不安が強い</t>
  </si>
  <si>
    <t>合計 / 援助者との対人関係がもてない</t>
  </si>
  <si>
    <t>合計 / 家事（食事,洗濯,金銭管理など）ができない</t>
  </si>
  <si>
    <t>合計 / 家族がいない、本人をサポートする機能が実質ない</t>
  </si>
  <si>
    <t>合計 / 家族から退院に反対がある</t>
  </si>
  <si>
    <t>合計 / 住まいの確保ができない</t>
  </si>
  <si>
    <t>合計 / 生活費の確保ができない</t>
  </si>
  <si>
    <t>合計 / 日常生活を支える制度がない</t>
  </si>
  <si>
    <t>合計 / 救急診療体制がない</t>
  </si>
  <si>
    <t>合計 / 退院に向けてサポートする人的資源が乏しい</t>
  </si>
  <si>
    <t>合計 / 退院後サポート・マネジメントする人的資源が乏しい</t>
  </si>
  <si>
    <t>合計 / 住所地と入院先の距離があり支援体制をとりにくい</t>
  </si>
  <si>
    <t>合計 / その他の退院阻害要因がある</t>
  </si>
  <si>
    <t>01_1ヶ月未満</t>
  </si>
  <si>
    <t>02_1ヶ月～3ヶ月未満</t>
  </si>
  <si>
    <t>03_3ヶ月～6ヶ月未満</t>
  </si>
  <si>
    <t>04_6ヶ月～1年未満</t>
  </si>
  <si>
    <t>05_1年～1年6ヶ月未満</t>
  </si>
  <si>
    <t>06_1年6ヶ月～2年未満</t>
  </si>
  <si>
    <t>07_2年～3年未満</t>
  </si>
  <si>
    <t>08_3年～4年未満</t>
  </si>
  <si>
    <t>09_4年～5年未満</t>
  </si>
  <si>
    <t>10_5年～6年未満</t>
  </si>
  <si>
    <t>11_6年～7年未満</t>
  </si>
  <si>
    <t>12_7年～8年未満</t>
  </si>
  <si>
    <t>13_8年～9年未満</t>
  </si>
  <si>
    <t>14_9年～10年未満</t>
  </si>
  <si>
    <t>15_10年～20年未満</t>
  </si>
  <si>
    <t>16_ 20年以上</t>
  </si>
  <si>
    <t>アルツハイマー病型認知症及び血管性認知症（F00-F01）</t>
    <phoneticPr fontId="2"/>
  </si>
  <si>
    <t>左記以外の症状性を含む器質性精神障害（F02-F09）</t>
    <rPh sb="0" eb="2">
      <t>サキ</t>
    </rPh>
    <phoneticPr fontId="2"/>
  </si>
  <si>
    <t>アルコール覚せい剤を除く精神作用物質使用による精神及び行動の障害※</t>
  </si>
  <si>
    <t>覚せい剤による精神及び行動の障害※</t>
  </si>
  <si>
    <t>75歳未満（再掲）</t>
    <rPh sb="2" eb="3">
      <t>サイ</t>
    </rPh>
    <rPh sb="3" eb="5">
      <t>ミマン</t>
    </rPh>
    <rPh sb="6" eb="8">
      <t>サイケイ</t>
    </rPh>
    <phoneticPr fontId="2"/>
  </si>
  <si>
    <t>75歳以上（再掲）</t>
    <rPh sb="2" eb="3">
      <t>サイ</t>
    </rPh>
    <rPh sb="3" eb="5">
      <t>イジョウ</t>
    </rPh>
    <rPh sb="6" eb="8">
      <t>サイケイ</t>
    </rPh>
    <phoneticPr fontId="2"/>
  </si>
  <si>
    <t>【年齢区分（65歳以上在院患者）】</t>
    <rPh sb="8" eb="11">
      <t>サイイジョウ</t>
    </rPh>
    <rPh sb="11" eb="13">
      <t>ザイイン</t>
    </rPh>
    <rPh sb="13" eb="15">
      <t>カンジャ</t>
    </rPh>
    <phoneticPr fontId="2"/>
  </si>
  <si>
    <t>【入院形態区分（65歳以上在院患者）】</t>
    <rPh sb="1" eb="3">
      <t>ニュウイン</t>
    </rPh>
    <rPh sb="3" eb="5">
      <t>ケイタイ</t>
    </rPh>
    <rPh sb="10" eb="13">
      <t>サイイジョウ</t>
    </rPh>
    <rPh sb="13" eb="15">
      <t>ザイイン</t>
    </rPh>
    <rPh sb="15" eb="17">
      <t>カンジャ</t>
    </rPh>
    <phoneticPr fontId="2"/>
  </si>
  <si>
    <t>【在院期間区分（65歳以上在院患者）】</t>
    <rPh sb="1" eb="3">
      <t>ザイイン</t>
    </rPh>
    <rPh sb="3" eb="5">
      <t>キカン</t>
    </rPh>
    <rPh sb="5" eb="7">
      <t>クブン</t>
    </rPh>
    <rPh sb="10" eb="13">
      <t>サイイジョウ</t>
    </rPh>
    <rPh sb="13" eb="15">
      <t>ザイイン</t>
    </rPh>
    <rPh sb="15" eb="17">
      <t>カンジャ</t>
    </rPh>
    <phoneticPr fontId="2"/>
  </si>
  <si>
    <t>1ヶ月～3ヶ月未満</t>
  </si>
  <si>
    <t>3ヶ月～6ヶ月未満</t>
  </si>
  <si>
    <t>6ヶ月～1年未満</t>
  </si>
  <si>
    <t>1年～1年6ヶ月未満</t>
  </si>
  <si>
    <t>1年6ヶ月～2年未満</t>
  </si>
  <si>
    <t>2年～3年未満</t>
  </si>
  <si>
    <t>3年～4年未満</t>
  </si>
  <si>
    <t>4年～5年未満</t>
  </si>
  <si>
    <t>5年～6年未満</t>
  </si>
  <si>
    <t>6年～7年未満</t>
  </si>
  <si>
    <t>7年～8年未満</t>
  </si>
  <si>
    <t>8年～9年未満</t>
  </si>
  <si>
    <t>9年～10年未満</t>
  </si>
  <si>
    <t>10年～20年未満</t>
  </si>
  <si>
    <t>【状態像区分（65歳以上在院患者）】</t>
    <rPh sb="1" eb="3">
      <t>ジョウタイ</t>
    </rPh>
    <rPh sb="3" eb="4">
      <t>ゾウ</t>
    </rPh>
    <rPh sb="4" eb="6">
      <t>クブン</t>
    </rPh>
    <rPh sb="9" eb="12">
      <t>サイイジョウ</t>
    </rPh>
    <rPh sb="12" eb="14">
      <t>ザイイン</t>
    </rPh>
    <rPh sb="14" eb="16">
      <t>カンジャ</t>
    </rPh>
    <phoneticPr fontId="2"/>
  </si>
  <si>
    <t>〔全在院期間〕</t>
    <rPh sb="1" eb="2">
      <t>ゼン</t>
    </rPh>
    <rPh sb="2" eb="4">
      <t>ザイイン</t>
    </rPh>
    <rPh sb="4" eb="6">
      <t>キカン</t>
    </rPh>
    <phoneticPr fontId="2"/>
  </si>
  <si>
    <t>〔1年以上在院患者〕</t>
    <rPh sb="2" eb="5">
      <t>ネンイジョウ</t>
    </rPh>
    <rPh sb="5" eb="7">
      <t>ザイイン</t>
    </rPh>
    <rPh sb="7" eb="9">
      <t>カンジャ</t>
    </rPh>
    <phoneticPr fontId="2"/>
  </si>
  <si>
    <t>病識がなく通院服薬の中断が予測される</t>
  </si>
  <si>
    <t>人数</t>
  </si>
  <si>
    <t>割合</t>
  </si>
  <si>
    <t>〔寛解・院内寛解群〕</t>
    <phoneticPr fontId="2"/>
  </si>
  <si>
    <t>【疾患名区分（65歳以上在院患者）】</t>
    <rPh sb="1" eb="3">
      <t>シッカン</t>
    </rPh>
    <rPh sb="3" eb="4">
      <t>メイ</t>
    </rPh>
    <rPh sb="9" eb="12">
      <t>サイイジョウ</t>
    </rPh>
    <rPh sb="12" eb="14">
      <t>ザイイン</t>
    </rPh>
    <rPh sb="14" eb="16">
      <t>カンジャ</t>
    </rPh>
    <phoneticPr fontId="2"/>
  </si>
  <si>
    <t>〔アルツハイマー病型認知症・血管性認知症以外の症状性を含む器質性精神障害（F02-F09）〕&amp;〔寛解・院内寛解群〕</t>
    <rPh sb="8" eb="9">
      <t>ビョウ</t>
    </rPh>
    <rPh sb="9" eb="10">
      <t>ガタ</t>
    </rPh>
    <rPh sb="10" eb="13">
      <t>ニンチショウ</t>
    </rPh>
    <phoneticPr fontId="2"/>
  </si>
  <si>
    <t>【退院予定の有無】</t>
    <rPh sb="3" eb="5">
      <t>ヨテイ</t>
    </rPh>
    <phoneticPr fontId="2"/>
  </si>
  <si>
    <t>病状（主症状）が落ち着き、入院によらない形で治療ができるまで回復</t>
    <rPh sb="0" eb="2">
      <t>ビョウジョウ</t>
    </rPh>
    <rPh sb="3" eb="4">
      <t>シュ</t>
    </rPh>
    <rPh sb="4" eb="6">
      <t>ショウジョウ</t>
    </rPh>
    <rPh sb="8" eb="9">
      <t>オ</t>
    </rPh>
    <rPh sb="10" eb="11">
      <t>ツ</t>
    </rPh>
    <rPh sb="13" eb="15">
      <t>ニュウイン</t>
    </rPh>
    <rPh sb="20" eb="21">
      <t>カタチ</t>
    </rPh>
    <rPh sb="22" eb="24">
      <t>チリョウ</t>
    </rPh>
    <rPh sb="30" eb="32">
      <t>カイフク</t>
    </rPh>
    <phoneticPr fontId="2"/>
  </si>
  <si>
    <t>病状（主症状）が不安定で入院による治療が必要</t>
    <rPh sb="0" eb="2">
      <t>ビョウジョウ</t>
    </rPh>
    <rPh sb="8" eb="11">
      <t>フアンテイ</t>
    </rPh>
    <rPh sb="12" eb="14">
      <t>ニュウイン</t>
    </rPh>
    <rPh sb="17" eb="19">
      <t>チリョウ</t>
    </rPh>
    <rPh sb="20" eb="22">
      <t>ヒツヨウ</t>
    </rPh>
    <phoneticPr fontId="2"/>
  </si>
  <si>
    <t>退院予定</t>
    <rPh sb="0" eb="2">
      <t>タイイン</t>
    </rPh>
    <rPh sb="2" eb="4">
      <t>ヨテイ</t>
    </rPh>
    <phoneticPr fontId="2"/>
  </si>
  <si>
    <t>病状は落ち着いているが、ときどき不安定な病状が見られ、そのことが退院を阻害する要因になっている</t>
    <rPh sb="0" eb="2">
      <t>ビョウジョウ</t>
    </rPh>
    <rPh sb="3" eb="4">
      <t>オ</t>
    </rPh>
    <rPh sb="5" eb="6">
      <t>ツ</t>
    </rPh>
    <rPh sb="16" eb="19">
      <t>フアンテイ</t>
    </rPh>
    <rPh sb="20" eb="22">
      <t>ビョウジョウ</t>
    </rPh>
    <rPh sb="23" eb="24">
      <t>ミ</t>
    </rPh>
    <rPh sb="32" eb="34">
      <t>タイイン</t>
    </rPh>
    <rPh sb="35" eb="37">
      <t>ソガイ</t>
    </rPh>
    <rPh sb="39" eb="41">
      <t>ヨウイン</t>
    </rPh>
    <phoneticPr fontId="2"/>
  </si>
  <si>
    <t>病状は落ち着いているが、ときどき不安定な病状が見られ、そのことが退院を阻害する要因になっている</t>
    <phoneticPr fontId="2"/>
  </si>
  <si>
    <t>【退院予定の有無（在院期間１年以上）】</t>
    <rPh sb="3" eb="5">
      <t>ヨテイ</t>
    </rPh>
    <phoneticPr fontId="2"/>
  </si>
  <si>
    <t>【退院予定の有無（65歳以上在院患者）】</t>
    <rPh sb="3" eb="5">
      <t>ヨテイ</t>
    </rPh>
    <rPh sb="11" eb="14">
      <t>サイイジョウ</t>
    </rPh>
    <rPh sb="14" eb="16">
      <t>ザイイン</t>
    </rPh>
    <rPh sb="16" eb="18">
      <t>カンジャ</t>
    </rPh>
    <phoneticPr fontId="2"/>
  </si>
  <si>
    <t>病状は落ち着いているが、ときどき不安定な病状が見られ、そのことが退院を阻害する要因になっている</t>
    <phoneticPr fontId="2"/>
  </si>
  <si>
    <t>退院阻害要因</t>
  </si>
  <si>
    <t>退院予定の有無</t>
    <rPh sb="0" eb="2">
      <t>タイイン</t>
    </rPh>
    <rPh sb="2" eb="4">
      <t>ヨテイ</t>
    </rPh>
    <rPh sb="5" eb="7">
      <t>ウム</t>
    </rPh>
    <phoneticPr fontId="2"/>
  </si>
  <si>
    <t>病状（主症状）が不安定で入院による治療が必要</t>
    <rPh sb="0" eb="2">
      <t>ビョウジョウ</t>
    </rPh>
    <rPh sb="3" eb="4">
      <t>シュ</t>
    </rPh>
    <rPh sb="4" eb="6">
      <t>ショウジョウ</t>
    </rPh>
    <rPh sb="8" eb="11">
      <t>フアンテイ</t>
    </rPh>
    <rPh sb="12" eb="14">
      <t>ニュウイン</t>
    </rPh>
    <rPh sb="17" eb="19">
      <t>チリョウ</t>
    </rPh>
    <rPh sb="20" eb="22">
      <t>ヒツヨウ</t>
    </rPh>
    <phoneticPr fontId="2"/>
  </si>
  <si>
    <t>退院阻害要因</t>
    <phoneticPr fontId="2"/>
  </si>
  <si>
    <t>病状は落ち着いているが、ときどき不安定な病状が見られ、そのことが退院を阻害する要因になっている</t>
    <phoneticPr fontId="2"/>
  </si>
  <si>
    <t>退院予定の有無</t>
    <phoneticPr fontId="2"/>
  </si>
  <si>
    <t>家族が退院に反対している</t>
    <rPh sb="3" eb="5">
      <t>タイイン</t>
    </rPh>
    <rPh sb="6" eb="8">
      <t>ハンタイ</t>
    </rPh>
    <phoneticPr fontId="2"/>
  </si>
  <si>
    <t>家族が退院に反対している</t>
    <phoneticPr fontId="2"/>
  </si>
  <si>
    <t>住所地と入院先の距離があり支援体制がとりにくい</t>
    <phoneticPr fontId="2"/>
  </si>
  <si>
    <t>家族が退院に反対している</t>
    <rPh sb="0" eb="2">
      <t>カゾク</t>
    </rPh>
    <rPh sb="3" eb="5">
      <t>タイイン</t>
    </rPh>
    <rPh sb="6" eb="8">
      <t>ハンタイ</t>
    </rPh>
    <phoneticPr fontId="2"/>
  </si>
  <si>
    <t>精神遅滞〔知的障害〕（F7）</t>
    <phoneticPr fontId="2"/>
  </si>
  <si>
    <t>病状は落ち着いているが、ときどき不安定な病状が見られ、そのことが退院を阻害する要因になっている</t>
    <phoneticPr fontId="2"/>
  </si>
  <si>
    <t>精神作用物質使用による精神及び行動の障害（F1）</t>
    <phoneticPr fontId="2"/>
  </si>
  <si>
    <t>統合失調症、統合失調症型障害及び妄想性障害（F2）</t>
    <phoneticPr fontId="2"/>
  </si>
  <si>
    <t>神経症性障害、ストレス関連障害及び身体表現性障害（F4）</t>
  </si>
  <si>
    <t>生理的障害及び身体的要因に関連した行動症候群（F5）</t>
  </si>
  <si>
    <t>精神遅滞〔知的障害〕（F7）</t>
  </si>
  <si>
    <t>成人のパーソナリティ及び行動の障害（F6)</t>
    <phoneticPr fontId="2"/>
  </si>
  <si>
    <t>精神遅滞〔知的障害〕（F7)</t>
    <phoneticPr fontId="2"/>
  </si>
  <si>
    <t>小児期及び青年期に通常発症する行動及び情緒の障害及び特定不能の精神障害（F9)</t>
    <phoneticPr fontId="2"/>
  </si>
  <si>
    <t>成人のパーソナリティ及び行動の障害（F6)</t>
  </si>
  <si>
    <t>小児期及び青年期に通常発症する行動及び情緒の障害及び特定不能の精神障害（F9)</t>
  </si>
  <si>
    <t>成人のパーソナリティ及び行動の障害（F6)</t>
    <phoneticPr fontId="2"/>
  </si>
  <si>
    <t>総計</t>
  </si>
  <si>
    <t>　＜複数回答＞</t>
    <rPh sb="2" eb="4">
      <t>フクスウ</t>
    </rPh>
    <rPh sb="4" eb="6">
      <t>カイトウ</t>
    </rPh>
    <phoneticPr fontId="2"/>
  </si>
  <si>
    <t>　＜複数回答＞</t>
    <phoneticPr fontId="2"/>
  </si>
  <si>
    <t>65歳以上</t>
    <rPh sb="2" eb="3">
      <t>サイ</t>
    </rPh>
    <rPh sb="3" eb="5">
      <t>イジョウ</t>
    </rPh>
    <phoneticPr fontId="2"/>
  </si>
  <si>
    <t>年齢</t>
    <rPh sb="0" eb="2">
      <t>ネンレイ</t>
    </rPh>
    <phoneticPr fontId="2"/>
  </si>
  <si>
    <t>65歳未満</t>
    <rPh sb="2" eb="5">
      <t>サイミマン</t>
    </rPh>
    <phoneticPr fontId="2"/>
  </si>
  <si>
    <t>症状性を含む器質性精神障害（F０）</t>
    <phoneticPr fontId="2"/>
  </si>
  <si>
    <t>アルツハイマー病の認知症を含む器質性精神障害（F00）</t>
    <phoneticPr fontId="2"/>
  </si>
  <si>
    <t>1年以上5年未満</t>
    <phoneticPr fontId="2"/>
  </si>
  <si>
    <t>5年以上10年未満</t>
    <phoneticPr fontId="2"/>
  </si>
  <si>
    <t>統合失調症、統合失調症型障害及び妄想性障害（F2）</t>
    <phoneticPr fontId="2"/>
  </si>
  <si>
    <t>割合には「退院阻害要因がある」それぞれの人数に対する割合を表示しています。</t>
    <rPh sb="0" eb="2">
      <t>ワリアイ</t>
    </rPh>
    <rPh sb="5" eb="7">
      <t>タイイン</t>
    </rPh>
    <rPh sb="7" eb="9">
      <t>ソガイ</t>
    </rPh>
    <rPh sb="9" eb="11">
      <t>ヨウイン</t>
    </rPh>
    <rPh sb="20" eb="22">
      <t>ニンズウ</t>
    </rPh>
    <rPh sb="23" eb="24">
      <t>タイ</t>
    </rPh>
    <rPh sb="26" eb="28">
      <t>ワリアイ</t>
    </rPh>
    <rPh sb="29" eb="31">
      <t>ヒョウジ</t>
    </rPh>
    <phoneticPr fontId="2"/>
  </si>
  <si>
    <t>割合には「退院阻害要因がある」それぞれの人数に対する割合を表示しています。</t>
    <phoneticPr fontId="2"/>
  </si>
  <si>
    <t>寛解・院内寛解</t>
    <rPh sb="0" eb="2">
      <t>カンカイ</t>
    </rPh>
    <rPh sb="3" eb="5">
      <t>インナイ</t>
    </rPh>
    <rPh sb="5" eb="7">
      <t>カンカイ</t>
    </rPh>
    <phoneticPr fontId="2"/>
  </si>
  <si>
    <t>寛解</t>
    <rPh sb="0" eb="2">
      <t>カンカイ</t>
    </rPh>
    <phoneticPr fontId="2"/>
  </si>
  <si>
    <t>院内寛解</t>
    <rPh sb="0" eb="2">
      <t>インナイ</t>
    </rPh>
    <rPh sb="2" eb="4">
      <t>カンカイ</t>
    </rPh>
    <phoneticPr fontId="2"/>
  </si>
  <si>
    <t>患者全体</t>
    <rPh sb="0" eb="2">
      <t>カンジャ</t>
    </rPh>
    <rPh sb="2" eb="4">
      <t>ゼンタイ</t>
    </rPh>
    <phoneticPr fontId="2"/>
  </si>
  <si>
    <t>合計</t>
    <rPh sb="0" eb="2">
      <t>ゴウケイ</t>
    </rPh>
    <phoneticPr fontId="2"/>
  </si>
  <si>
    <t>寛解・院内寛解群</t>
    <rPh sb="0" eb="2">
      <t>カンカイ</t>
    </rPh>
    <rPh sb="3" eb="5">
      <t>インナイ</t>
    </rPh>
    <rPh sb="5" eb="7">
      <t>カンカイ</t>
    </rPh>
    <rPh sb="7" eb="8">
      <t>グン</t>
    </rPh>
    <phoneticPr fontId="2"/>
  </si>
  <si>
    <t>入院形態</t>
    <rPh sb="0" eb="2">
      <t>ニュウイン</t>
    </rPh>
    <rPh sb="2" eb="4">
      <t>ケイタイ</t>
    </rPh>
    <phoneticPr fontId="2"/>
  </si>
  <si>
    <t>院内寛解</t>
    <rPh sb="0" eb="2">
      <t>インナイ</t>
    </rPh>
    <phoneticPr fontId="2"/>
  </si>
  <si>
    <t>疾患名</t>
    <rPh sb="0" eb="2">
      <t>シッカン</t>
    </rPh>
    <rPh sb="2" eb="3">
      <t>メイ</t>
    </rPh>
    <phoneticPr fontId="2"/>
  </si>
  <si>
    <t>F01血管性認知症</t>
  </si>
  <si>
    <t>F02-09上記以外の症状性を含む器質性精神障害</t>
  </si>
  <si>
    <t>F10アルコール使用による精神及び行動の障害</t>
  </si>
  <si>
    <t>F2統合失調症、統合失調症型障害及び妄想性障害</t>
  </si>
  <si>
    <t>F30‐31　躁病エピソード・双極性感情障害［躁うつ病］</t>
  </si>
  <si>
    <t>F32-39　その他の気分障害</t>
  </si>
  <si>
    <t>F4神経症性障害、ストレス関連障害及び身体表現性障害</t>
  </si>
  <si>
    <t>F5生理的障害及び身体的要因に関連した行動症候群</t>
  </si>
  <si>
    <t>F7精神遅滞〔知的障害〕</t>
  </si>
  <si>
    <t>F8心理的発達の障害</t>
  </si>
  <si>
    <t>てんかん（F0に属さないものを計上する）</t>
  </si>
  <si>
    <t>F00アルツハイマー病型認知症</t>
  </si>
  <si>
    <t>F6成人のパーソナリティ及び行動の障害</t>
  </si>
  <si>
    <t>F9小児期及び青年期に通常発症する行動及び情緒の障害及び特定不能の精神障害</t>
  </si>
  <si>
    <t>年齢区分</t>
    <rPh sb="0" eb="2">
      <t>ネンレイ</t>
    </rPh>
    <rPh sb="2" eb="4">
      <t>クブン</t>
    </rPh>
    <phoneticPr fontId="2"/>
  </si>
  <si>
    <t>在院期間</t>
    <rPh sb="0" eb="2">
      <t>ザイイン</t>
    </rPh>
    <rPh sb="2" eb="4">
      <t>キカン</t>
    </rPh>
    <phoneticPr fontId="2"/>
  </si>
  <si>
    <t>65-69歳</t>
  </si>
  <si>
    <t>70-74歳</t>
  </si>
  <si>
    <t>75-79歳</t>
  </si>
  <si>
    <t>80-84歳</t>
  </si>
  <si>
    <t>85-89歳</t>
  </si>
  <si>
    <t>寛解・院内寛解</t>
    <rPh sb="3" eb="7">
      <t>インナイカンカイ</t>
    </rPh>
    <phoneticPr fontId="2"/>
  </si>
  <si>
    <t>65歳未満</t>
  </si>
  <si>
    <t>65歳以上</t>
  </si>
  <si>
    <t>列1</t>
  </si>
  <si>
    <t>合計 / 病状は落ち着いているが、ときどき不安定な病状が見られ、そのことが退院を阻害する要因になっている</t>
  </si>
  <si>
    <t>合計 / 病識がなく通院服薬の中断が予測される</t>
  </si>
  <si>
    <t>〔アルツハイマー病型認知症・血管性認知症以外の症状性を含む器質性精神障害（F02-F09）〕</t>
  </si>
  <si>
    <t>アルコール覚せい剤を除く精神作用物質使用による精神及び行動の障害※</t>
    <phoneticPr fontId="2"/>
  </si>
  <si>
    <t>覚せい剤による精神及び行動の障害※</t>
    <phoneticPr fontId="2"/>
  </si>
  <si>
    <t>F1</t>
    <phoneticPr fontId="2"/>
  </si>
  <si>
    <t>F2</t>
  </si>
  <si>
    <t>F3</t>
  </si>
  <si>
    <t>F4</t>
  </si>
  <si>
    <t>F5</t>
  </si>
  <si>
    <t>F6</t>
  </si>
  <si>
    <t>F7</t>
  </si>
  <si>
    <t>F8</t>
  </si>
  <si>
    <t>F9</t>
  </si>
  <si>
    <t>てんかん</t>
    <phoneticPr fontId="2"/>
  </si>
  <si>
    <t>その他</t>
    <rPh sb="2" eb="3">
      <t>タ</t>
    </rPh>
    <phoneticPr fontId="2"/>
  </si>
  <si>
    <t>F0</t>
    <phoneticPr fontId="2"/>
  </si>
  <si>
    <t>1年以上5年未満</t>
    <rPh sb="2" eb="4">
      <t>イジョウ</t>
    </rPh>
    <phoneticPr fontId="2"/>
  </si>
  <si>
    <t>5年以上10年未満</t>
    <rPh sb="1" eb="2">
      <t>ネン</t>
    </rPh>
    <rPh sb="2" eb="4">
      <t>イジョウ</t>
    </rPh>
    <phoneticPr fontId="2"/>
  </si>
  <si>
    <t>寛解・院内寛解群</t>
    <rPh sb="0" eb="2">
      <t>カンカイ</t>
    </rPh>
    <rPh sb="3" eb="8">
      <t>インナイカンカイグン</t>
    </rPh>
    <phoneticPr fontId="2"/>
  </si>
  <si>
    <t>【在院期間　※自動入力】</t>
    <rPh sb="1" eb="3">
      <t>ザイイン</t>
    </rPh>
    <rPh sb="3" eb="5">
      <t>キカン</t>
    </rPh>
    <rPh sb="7" eb="9">
      <t>ジドウ</t>
    </rPh>
    <rPh sb="9" eb="11">
      <t>ニュウリョク</t>
    </rPh>
    <phoneticPr fontId="2"/>
  </si>
  <si>
    <t>全在院患者</t>
    <rPh sb="0" eb="1">
      <t>ゼン</t>
    </rPh>
    <rPh sb="1" eb="3">
      <t>ザイイン</t>
    </rPh>
    <rPh sb="3" eb="5">
      <t>カンジャ</t>
    </rPh>
    <phoneticPr fontId="2"/>
  </si>
  <si>
    <t>在院1年以上寛解・院内寛解群</t>
  </si>
  <si>
    <t>病状は落ち着いているが、ときどき不安定な病状が見られ、そのことが退院を阻害する要因になっている</t>
    <rPh sb="0" eb="2">
      <t>ビョウジョウ</t>
    </rPh>
    <rPh sb="3" eb="4">
      <t>オ</t>
    </rPh>
    <rPh sb="5" eb="6">
      <t>ツ</t>
    </rPh>
    <rPh sb="16" eb="19">
      <t>フアンテイ</t>
    </rPh>
    <rPh sb="20" eb="22">
      <t>ビョウジョウ</t>
    </rPh>
    <rPh sb="23" eb="24">
      <t>ミ</t>
    </rPh>
    <rPh sb="32" eb="34">
      <t>タイイン</t>
    </rPh>
    <rPh sb="35" eb="37">
      <t>ソガイ</t>
    </rPh>
    <rPh sb="39" eb="41">
      <t>ヨウイン</t>
    </rPh>
    <phoneticPr fontId="23"/>
  </si>
  <si>
    <t>退院による環境変化への不安が強い</t>
    <phoneticPr fontId="2"/>
  </si>
  <si>
    <t>家事（食事・洗濯・金銭管理など）ができない</t>
    <phoneticPr fontId="2"/>
  </si>
  <si>
    <t>家族がいない、本人をサポートする機能が実質ない</t>
    <phoneticPr fontId="2"/>
  </si>
  <si>
    <t>家族が退院に反対している</t>
    <rPh sb="3" eb="5">
      <t>タイイン</t>
    </rPh>
    <rPh sb="6" eb="8">
      <t>ハンタイ</t>
    </rPh>
    <phoneticPr fontId="23"/>
  </si>
  <si>
    <t>住所地と入院先の距離があり支援体制がとりにくい</t>
  </si>
  <si>
    <t>病状（主症状）が落ち着き、入院によらない形で治療ができる程度まで回復</t>
    <phoneticPr fontId="2"/>
  </si>
  <si>
    <t>病状（主症状）が不安定で入院による治療が必要</t>
  </si>
  <si>
    <t>退院阻害要因がない</t>
    <rPh sb="0" eb="2">
      <t>タイイン</t>
    </rPh>
    <rPh sb="2" eb="4">
      <t>ソガイ</t>
    </rPh>
    <rPh sb="4" eb="6">
      <t>ヨウイン</t>
    </rPh>
    <phoneticPr fontId="2"/>
  </si>
  <si>
    <t>阻害要因　TOP5</t>
    <rPh sb="0" eb="2">
      <t>ソガイ</t>
    </rPh>
    <rPh sb="2" eb="4">
      <t>ヨウイン</t>
    </rPh>
    <phoneticPr fontId="2"/>
  </si>
  <si>
    <t>LANK</t>
    <phoneticPr fontId="2"/>
  </si>
  <si>
    <t>病状（主症状）が不安定で入院による治療が必要</t>
    <phoneticPr fontId="2"/>
  </si>
  <si>
    <t>退院予定</t>
    <phoneticPr fontId="2"/>
  </si>
  <si>
    <t>退院予定の有無</t>
    <rPh sb="2" eb="4">
      <t>ヨテイ</t>
    </rPh>
    <rPh sb="5" eb="7">
      <t>ウム</t>
    </rPh>
    <phoneticPr fontId="2"/>
  </si>
  <si>
    <t>退院阻害要因の有無</t>
    <rPh sb="0" eb="2">
      <t>タイイン</t>
    </rPh>
    <rPh sb="2" eb="4">
      <t>ソガイ</t>
    </rPh>
    <rPh sb="4" eb="6">
      <t>ヨウイン</t>
    </rPh>
    <rPh sb="7" eb="9">
      <t>ウム</t>
    </rPh>
    <phoneticPr fontId="2"/>
  </si>
  <si>
    <t>退院阻害要因の有無2</t>
    <rPh sb="0" eb="6">
      <t>タイインソガイヨウイン</t>
    </rPh>
    <rPh sb="7" eb="9">
      <t>ウム</t>
    </rPh>
    <phoneticPr fontId="2"/>
  </si>
  <si>
    <t>【退院予定及び阻害要因　※自動入力】</t>
    <rPh sb="1" eb="3">
      <t>タイイン</t>
    </rPh>
    <rPh sb="3" eb="5">
      <t>ヨテイ</t>
    </rPh>
    <rPh sb="5" eb="6">
      <t>オヨ</t>
    </rPh>
    <rPh sb="7" eb="9">
      <t>ソガイ</t>
    </rPh>
    <rPh sb="9" eb="11">
      <t>ヨウイン</t>
    </rPh>
    <rPh sb="13" eb="15">
      <t>ジドウ</t>
    </rPh>
    <rPh sb="15" eb="17">
      <t>ニュウリョク</t>
    </rPh>
    <phoneticPr fontId="2"/>
  </si>
  <si>
    <t>全体</t>
    <rPh sb="0" eb="2">
      <t>ゼンタイ</t>
    </rPh>
    <phoneticPr fontId="2"/>
  </si>
  <si>
    <t>寛解院内寛解</t>
    <rPh sb="0" eb="6">
      <t>カンカイインナイカンカイ</t>
    </rPh>
    <phoneticPr fontId="2"/>
  </si>
  <si>
    <t>寛解院内寛解合計</t>
    <rPh sb="0" eb="2">
      <t>カンカイ</t>
    </rPh>
    <rPh sb="2" eb="4">
      <t>インナイ</t>
    </rPh>
    <rPh sb="4" eb="6">
      <t>カンカイ</t>
    </rPh>
    <rPh sb="6" eb="8">
      <t>ゴウケイ</t>
    </rPh>
    <phoneticPr fontId="2"/>
  </si>
  <si>
    <t>F0</t>
  </si>
  <si>
    <t>F1</t>
  </si>
  <si>
    <t>てんかん</t>
  </si>
  <si>
    <t>病状は落ち着いているが、ときどき不安定な病状が見られ、そのことが退院を阻害する要因になっている</t>
  </si>
  <si>
    <t>家族が退院に反対している</t>
  </si>
  <si>
    <t>家族がいない・本人をサポートする機能が実質ない</t>
  </si>
  <si>
    <t>1年未満</t>
  </si>
  <si>
    <t>1年以上5年未満</t>
  </si>
  <si>
    <t>5年以上10年未満</t>
  </si>
  <si>
    <t>10年以上</t>
  </si>
  <si>
    <t>患者全体</t>
    <rPh sb="0" eb="2">
      <t>カンジャ</t>
    </rPh>
    <rPh sb="2" eb="4">
      <t>ゼンタイ</t>
    </rPh>
    <phoneticPr fontId="2"/>
  </si>
  <si>
    <t>列14</t>
  </si>
  <si>
    <t>列15</t>
  </si>
  <si>
    <t>列16</t>
  </si>
  <si>
    <t>データ貼り付けは表の下にあります。</t>
    <rPh sb="3" eb="4">
      <t>ハ</t>
    </rPh>
    <rPh sb="5" eb="6">
      <t>ツ</t>
    </rPh>
    <rPh sb="8" eb="9">
      <t>ヒョウ</t>
    </rPh>
    <rPh sb="10" eb="11">
      <t>シタ</t>
    </rPh>
    <phoneticPr fontId="2"/>
  </si>
  <si>
    <t>直接入力しないようにご注意ください。</t>
    <rPh sb="0" eb="2">
      <t>チョクセツ</t>
    </rPh>
    <rPh sb="2" eb="4">
      <t>ニュウリョク</t>
    </rPh>
    <rPh sb="11" eb="13">
      <t>チュウイ</t>
    </rPh>
    <phoneticPr fontId="2"/>
  </si>
  <si>
    <t>列17</t>
  </si>
  <si>
    <t>院内寛解</t>
    <rPh sb="0" eb="2">
      <t>インナイ</t>
    </rPh>
    <phoneticPr fontId="2"/>
  </si>
  <si>
    <t>行ラベル</t>
  </si>
  <si>
    <t>データの個数 / 年齢</t>
  </si>
  <si>
    <t>データの個数 / 入院</t>
  </si>
  <si>
    <t>措置入院</t>
  </si>
  <si>
    <t>鑑定入院</t>
  </si>
  <si>
    <t>医療観察法による入院</t>
  </si>
  <si>
    <t>緊急措置入院</t>
  </si>
  <si>
    <t>データの個数 / 疾患名</t>
  </si>
  <si>
    <t>データの個数 / 在院</t>
  </si>
  <si>
    <t>値</t>
  </si>
  <si>
    <t>【年齢区分×病院所在地（圏域）】</t>
    <phoneticPr fontId="2"/>
  </si>
  <si>
    <t>豊能</t>
  </si>
  <si>
    <t>三島</t>
  </si>
  <si>
    <t>北河内</t>
  </si>
  <si>
    <t>中河内</t>
  </si>
  <si>
    <t>南河内</t>
  </si>
  <si>
    <t>泉州</t>
  </si>
  <si>
    <t>大阪市</t>
  </si>
  <si>
    <t>堺市</t>
  </si>
  <si>
    <t>01豊能北</t>
  </si>
  <si>
    <t>02豊能豊中</t>
  </si>
  <si>
    <t>03豊能吹田</t>
  </si>
  <si>
    <t>04三島</t>
  </si>
  <si>
    <t>05三島高槻</t>
  </si>
  <si>
    <t>06北河内枚方</t>
  </si>
  <si>
    <t>07北河内寝屋川</t>
  </si>
  <si>
    <t>08北河内西</t>
  </si>
  <si>
    <t>09北河内東</t>
  </si>
  <si>
    <t>10中河内東大阪</t>
  </si>
  <si>
    <t>11中河内南</t>
  </si>
  <si>
    <t>12南河内北</t>
  </si>
  <si>
    <t>13南河内南</t>
  </si>
  <si>
    <t>14泉州北</t>
  </si>
  <si>
    <t>15泉州中</t>
  </si>
  <si>
    <t>16泉州南</t>
  </si>
  <si>
    <t>17大阪市</t>
  </si>
  <si>
    <t>18堺市</t>
  </si>
  <si>
    <t>【入院形態区分×病院所在地（圏域）】</t>
    <phoneticPr fontId="2"/>
  </si>
  <si>
    <t>措置入院・</t>
    <phoneticPr fontId="2"/>
  </si>
  <si>
    <t>【疾患名区分×病院所在地（圏域）】</t>
    <rPh sb="1" eb="3">
      <t>シッカン</t>
    </rPh>
    <rPh sb="3" eb="4">
      <t>メイ</t>
    </rPh>
    <phoneticPr fontId="2"/>
  </si>
  <si>
    <t>症状性を含む器質性精神障害（F0）</t>
  </si>
  <si>
    <t>F００アルツハイマー病型認知症</t>
  </si>
  <si>
    <t>アルツハイマー病の認知症を含む器質性精神障害（F00）</t>
  </si>
  <si>
    <t>F０１血管性認知症</t>
  </si>
  <si>
    <t>F０２-０９上記以外の症状性を含む器質性精神障害</t>
  </si>
  <si>
    <t>血管性認知症を含む器質性精神障害（F01）</t>
  </si>
  <si>
    <t>F１０アルコール使用による精神及び行動の障害</t>
  </si>
  <si>
    <t>アルツハイマー病の認知症・血管性認知症以外の症状性を含む器質性精神障害（F02-F09）</t>
    <phoneticPr fontId="2"/>
  </si>
  <si>
    <t>F２統合失調症、統合失調症型障害及び妄想性障害</t>
  </si>
  <si>
    <t>F３０‐３１　躁病エピソード・双極性感情障害［躁うつ病］</t>
  </si>
  <si>
    <t>F３２-３９　その他の気分障害</t>
  </si>
  <si>
    <t>F４神経症性障害、ストレス関連障害及び身体表現性障害</t>
  </si>
  <si>
    <t>F５生理的障害及び身体的要因に関連した行動症候群</t>
  </si>
  <si>
    <t>F６成人のパーソナリティ及び行動の障害</t>
  </si>
  <si>
    <t>F７精神遅滞〔知的障害〕</t>
  </si>
  <si>
    <t>F８心理的発達の障害</t>
  </si>
  <si>
    <t>F９小児期及び青年期に通常発症する行動及び情緒の障害及び特定不能の精神障害</t>
  </si>
  <si>
    <t>てんかん（Ｆ０に属さないものを計上する）</t>
  </si>
  <si>
    <t>成人のパーソナリティ及び行動の障害（F6）</t>
    <phoneticPr fontId="2"/>
  </si>
  <si>
    <t>知的障害（F7）</t>
    <rPh sb="0" eb="2">
      <t>チテキ</t>
    </rPh>
    <rPh sb="2" eb="4">
      <t>ショウガイ</t>
    </rPh>
    <phoneticPr fontId="2"/>
  </si>
  <si>
    <t>小児期及び青年期の通常発症する行動及び情緒の障害及び特定不能の精神障害（F9）</t>
    <phoneticPr fontId="2"/>
  </si>
  <si>
    <t>その他</t>
    <phoneticPr fontId="2"/>
  </si>
  <si>
    <t>【在院期間区分×病院所在地（圏域）】</t>
    <rPh sb="1" eb="3">
      <t>ザイイン</t>
    </rPh>
    <rPh sb="3" eb="5">
      <t>キカン</t>
    </rPh>
    <phoneticPr fontId="2"/>
  </si>
  <si>
    <t>1ヶ月～</t>
    <phoneticPr fontId="2"/>
  </si>
  <si>
    <t>3ヶ月未満</t>
    <phoneticPr fontId="2"/>
  </si>
  <si>
    <t>3ヶ月～</t>
    <phoneticPr fontId="2"/>
  </si>
  <si>
    <t>6ヶ月未満</t>
    <phoneticPr fontId="2"/>
  </si>
  <si>
    <t>6ヶ月～</t>
    <phoneticPr fontId="2"/>
  </si>
  <si>
    <t>1年～</t>
    <phoneticPr fontId="2"/>
  </si>
  <si>
    <t>1年6ヶ月未満</t>
    <phoneticPr fontId="2"/>
  </si>
  <si>
    <t>1年6ヶ月</t>
    <phoneticPr fontId="2"/>
  </si>
  <si>
    <t>～2年未満</t>
    <phoneticPr fontId="2"/>
  </si>
  <si>
    <t>2年～</t>
    <phoneticPr fontId="2"/>
  </si>
  <si>
    <t>3年未満</t>
    <phoneticPr fontId="2"/>
  </si>
  <si>
    <t>3年～</t>
    <phoneticPr fontId="2"/>
  </si>
  <si>
    <t>4年未満</t>
    <phoneticPr fontId="2"/>
  </si>
  <si>
    <t>4年～</t>
    <phoneticPr fontId="2"/>
  </si>
  <si>
    <t>5年未満</t>
    <phoneticPr fontId="2"/>
  </si>
  <si>
    <t>5年～</t>
    <phoneticPr fontId="2"/>
  </si>
  <si>
    <t>6年未満</t>
    <phoneticPr fontId="2"/>
  </si>
  <si>
    <t>6年～</t>
    <phoneticPr fontId="2"/>
  </si>
  <si>
    <t>7年未満</t>
    <phoneticPr fontId="2"/>
  </si>
  <si>
    <t>7年～</t>
    <phoneticPr fontId="2"/>
  </si>
  <si>
    <t>8年未満</t>
    <phoneticPr fontId="2"/>
  </si>
  <si>
    <t>8年～</t>
    <phoneticPr fontId="2"/>
  </si>
  <si>
    <t>9年未満</t>
    <phoneticPr fontId="2"/>
  </si>
  <si>
    <t>9年～</t>
    <phoneticPr fontId="2"/>
  </si>
  <si>
    <t>10年未満</t>
    <phoneticPr fontId="2"/>
  </si>
  <si>
    <t>10年～</t>
    <phoneticPr fontId="2"/>
  </si>
  <si>
    <t>20年未満</t>
    <phoneticPr fontId="2"/>
  </si>
  <si>
    <t>1年以上</t>
    <rPh sb="2" eb="4">
      <t>イジョウ</t>
    </rPh>
    <phoneticPr fontId="31"/>
  </si>
  <si>
    <t>5年未満（再掲）</t>
    <phoneticPr fontId="2"/>
  </si>
  <si>
    <t>5年以上</t>
    <rPh sb="1" eb="2">
      <t>ネン</t>
    </rPh>
    <rPh sb="2" eb="4">
      <t>イジョウ</t>
    </rPh>
    <phoneticPr fontId="31"/>
  </si>
  <si>
    <t>10年未満（再掲）</t>
    <phoneticPr fontId="2"/>
  </si>
  <si>
    <t>10年以上（再掲）</t>
    <phoneticPr fontId="2"/>
  </si>
  <si>
    <t>01豊能北</t>
    <phoneticPr fontId="2"/>
  </si>
  <si>
    <t>02豊能豊中</t>
    <phoneticPr fontId="2"/>
  </si>
  <si>
    <t>03豊能吹田</t>
    <phoneticPr fontId="2"/>
  </si>
  <si>
    <t>04三島</t>
    <phoneticPr fontId="2"/>
  </si>
  <si>
    <t>05三島高槻</t>
    <phoneticPr fontId="2"/>
  </si>
  <si>
    <t>06北河内枚方</t>
    <phoneticPr fontId="2"/>
  </si>
  <si>
    <t>07北河内寝屋川</t>
    <phoneticPr fontId="2"/>
  </si>
  <si>
    <t>08北河内西</t>
    <phoneticPr fontId="2"/>
  </si>
  <si>
    <t>09北河内東</t>
    <phoneticPr fontId="2"/>
  </si>
  <si>
    <t>10中河内東大阪</t>
    <phoneticPr fontId="2"/>
  </si>
  <si>
    <t>11中河内南</t>
    <phoneticPr fontId="2"/>
  </si>
  <si>
    <t>12南河内北</t>
    <phoneticPr fontId="2"/>
  </si>
  <si>
    <t>13南河内南</t>
    <phoneticPr fontId="2"/>
  </si>
  <si>
    <t>14泉州北</t>
    <phoneticPr fontId="2"/>
  </si>
  <si>
    <t>15泉州中</t>
    <phoneticPr fontId="2"/>
  </si>
  <si>
    <t>16泉州南</t>
    <phoneticPr fontId="2"/>
  </si>
  <si>
    <t>17大阪市</t>
    <phoneticPr fontId="2"/>
  </si>
  <si>
    <t>18堺市</t>
    <phoneticPr fontId="2"/>
  </si>
  <si>
    <t>【状態像区分×病院所在地（圏域）】</t>
    <rPh sb="1" eb="3">
      <t>ジョウタイ</t>
    </rPh>
    <rPh sb="3" eb="4">
      <t>ゾウ</t>
    </rPh>
    <phoneticPr fontId="2"/>
  </si>
  <si>
    <t>【退院阻害要因の有無×病院所在地（圏域）】</t>
    <phoneticPr fontId="2"/>
  </si>
  <si>
    <t>病状（主症状）が落ち着き、入院によらない形で治療ができるまで回復</t>
    <rPh sb="0" eb="2">
      <t>ビョウジョウ</t>
    </rPh>
    <phoneticPr fontId="2"/>
  </si>
  <si>
    <t>退院阻害要因はない</t>
    <rPh sb="0" eb="2">
      <t>タイイン</t>
    </rPh>
    <rPh sb="2" eb="4">
      <t>ソガイ</t>
    </rPh>
    <rPh sb="4" eb="6">
      <t>ヨウイン</t>
    </rPh>
    <phoneticPr fontId="2"/>
  </si>
  <si>
    <t>【退院阻害要因（複数回答）×病院所在地（圏域）】</t>
    <phoneticPr fontId="2"/>
  </si>
  <si>
    <t>反社会的行動が予測される</t>
    <phoneticPr fontId="2"/>
  </si>
  <si>
    <t>退院意欲が乏しい</t>
    <phoneticPr fontId="2"/>
  </si>
  <si>
    <t>現実認識が乏しい</t>
    <phoneticPr fontId="2"/>
  </si>
  <si>
    <t>援助者との対人関係がもてない</t>
    <phoneticPr fontId="2"/>
  </si>
  <si>
    <t>住まいの確保ができない</t>
    <phoneticPr fontId="2"/>
  </si>
  <si>
    <t>生活費の確保ができない</t>
    <phoneticPr fontId="2"/>
  </si>
  <si>
    <t>日常生活を支える制度がない</t>
    <phoneticPr fontId="2"/>
  </si>
  <si>
    <t>救急診療体制がない</t>
    <phoneticPr fontId="2"/>
  </si>
  <si>
    <t>退院に向けてサポートする人的資源が乏しい</t>
    <phoneticPr fontId="2"/>
  </si>
  <si>
    <t>退院後サポート・マネジメントする人的資源が乏しい</t>
    <phoneticPr fontId="2"/>
  </si>
  <si>
    <t>その他の退院阻害要因がある</t>
    <phoneticPr fontId="2"/>
  </si>
  <si>
    <t>合計 / 病状が不安定</t>
  </si>
  <si>
    <t>合計 / 病識がなく通院服薬の中断が予測される。</t>
  </si>
  <si>
    <t>【年齢区分×入院時住所地（圏域）】</t>
    <rPh sb="6" eb="8">
      <t>ニュウイン</t>
    </rPh>
    <rPh sb="8" eb="9">
      <t>ジ</t>
    </rPh>
    <rPh sb="9" eb="11">
      <t>ジュウショ</t>
    </rPh>
    <phoneticPr fontId="2"/>
  </si>
  <si>
    <t>府外・
その他</t>
    <rPh sb="0" eb="1">
      <t>フ</t>
    </rPh>
    <rPh sb="1" eb="2">
      <t>ガイ</t>
    </rPh>
    <rPh sb="6" eb="7">
      <t>タ</t>
    </rPh>
    <phoneticPr fontId="2"/>
  </si>
  <si>
    <t>98他府県</t>
  </si>
  <si>
    <t>99不明</t>
  </si>
  <si>
    <t>19歳以下</t>
    <phoneticPr fontId="2"/>
  </si>
  <si>
    <t>20歳代</t>
    <phoneticPr fontId="2"/>
  </si>
  <si>
    <t>30歳代</t>
    <phoneticPr fontId="2"/>
  </si>
  <si>
    <t>40歳代</t>
    <phoneticPr fontId="2"/>
  </si>
  <si>
    <t>50歳代</t>
    <phoneticPr fontId="2"/>
  </si>
  <si>
    <t>60歳代</t>
    <phoneticPr fontId="2"/>
  </si>
  <si>
    <t>70歳代</t>
    <phoneticPr fontId="2"/>
  </si>
  <si>
    <t>80歳代</t>
    <phoneticPr fontId="2"/>
  </si>
  <si>
    <t>90歳以上</t>
    <phoneticPr fontId="2"/>
  </si>
  <si>
    <t>【入院形態区分×入院時住所地（圏域）】</t>
    <rPh sb="8" eb="10">
      <t>ニュウイン</t>
    </rPh>
    <rPh sb="10" eb="11">
      <t>ジ</t>
    </rPh>
    <rPh sb="11" eb="13">
      <t>ジュウショ</t>
    </rPh>
    <rPh sb="13" eb="14">
      <t>チ</t>
    </rPh>
    <rPh sb="15" eb="17">
      <t>ケンイキ</t>
    </rPh>
    <phoneticPr fontId="2"/>
  </si>
  <si>
    <t>鑑定入院</t>
    <rPh sb="0" eb="2">
      <t>カンテイ</t>
    </rPh>
    <rPh sb="2" eb="4">
      <t>ニュウイン</t>
    </rPh>
    <phoneticPr fontId="2"/>
  </si>
  <si>
    <t>緊急措置入院</t>
    <rPh sb="0" eb="2">
      <t>キンキュウ</t>
    </rPh>
    <rPh sb="2" eb="4">
      <t>ソチ</t>
    </rPh>
    <rPh sb="4" eb="6">
      <t>ニュウイン</t>
    </rPh>
    <phoneticPr fontId="2"/>
  </si>
  <si>
    <t>【疾患名区分×入院時住所地（圏域）】</t>
    <rPh sb="1" eb="3">
      <t>シッカン</t>
    </rPh>
    <rPh sb="3" eb="4">
      <t>メイ</t>
    </rPh>
    <phoneticPr fontId="2"/>
  </si>
  <si>
    <t>【在院期間区分×入院時住所地（圏域）】</t>
    <rPh sb="1" eb="3">
      <t>ザイイン</t>
    </rPh>
    <rPh sb="3" eb="5">
      <t>キカン</t>
    </rPh>
    <phoneticPr fontId="2"/>
  </si>
  <si>
    <t>【状態像区分×入院時住所地（圏域）】</t>
    <rPh sb="1" eb="3">
      <t>ジョウタイ</t>
    </rPh>
    <rPh sb="3" eb="4">
      <t>ゾウ</t>
    </rPh>
    <phoneticPr fontId="2"/>
  </si>
  <si>
    <t>【退院阻害要因の有無×入院時住所地（圏域）】</t>
    <phoneticPr fontId="2"/>
  </si>
  <si>
    <t>【退院阻害要因（複数回答）×入院時住所地（圏域）】</t>
    <phoneticPr fontId="2"/>
  </si>
  <si>
    <t>【病院所在地（圏域）×入院時住所地（圏域）】</t>
    <rPh sb="1" eb="3">
      <t>ビョウイン</t>
    </rPh>
    <rPh sb="3" eb="6">
      <t>ショザイチ</t>
    </rPh>
    <rPh sb="7" eb="9">
      <t>ケンイキ</t>
    </rPh>
    <rPh sb="11" eb="13">
      <t>ニュウイン</t>
    </rPh>
    <rPh sb="13" eb="14">
      <t>ジ</t>
    </rPh>
    <rPh sb="14" eb="16">
      <t>ジュウショ</t>
    </rPh>
    <rPh sb="16" eb="17">
      <t>チ</t>
    </rPh>
    <rPh sb="18" eb="20">
      <t>ケンイキ</t>
    </rPh>
    <phoneticPr fontId="2"/>
  </si>
  <si>
    <t>病院所在地</t>
    <rPh sb="0" eb="2">
      <t>ビョウイン</t>
    </rPh>
    <rPh sb="2" eb="5">
      <t>ショザイチ</t>
    </rPh>
    <phoneticPr fontId="2"/>
  </si>
  <si>
    <t>入院時住所地</t>
    <rPh sb="0" eb="2">
      <t>ニュウイン</t>
    </rPh>
    <rPh sb="2" eb="3">
      <t>ジ</t>
    </rPh>
    <rPh sb="3" eb="5">
      <t>ジュウショ</t>
    </rPh>
    <rPh sb="5" eb="6">
      <t>チ</t>
    </rPh>
    <phoneticPr fontId="2"/>
  </si>
  <si>
    <t>（触らない）</t>
    <rPh sb="1" eb="2">
      <t>サワ</t>
    </rPh>
    <phoneticPr fontId="2"/>
  </si>
  <si>
    <t>1_豊能</t>
    <rPh sb="2" eb="4">
      <t>トヨノ</t>
    </rPh>
    <phoneticPr fontId="31"/>
  </si>
  <si>
    <t>2_三島</t>
    <rPh sb="2" eb="4">
      <t>ミシマ</t>
    </rPh>
    <phoneticPr fontId="31"/>
  </si>
  <si>
    <t>3_北河内</t>
    <rPh sb="2" eb="5">
      <t>キタカワチ</t>
    </rPh>
    <phoneticPr fontId="31"/>
  </si>
  <si>
    <t>4_中河内</t>
    <rPh sb="2" eb="3">
      <t>ナカ</t>
    </rPh>
    <rPh sb="3" eb="5">
      <t>カワチ</t>
    </rPh>
    <phoneticPr fontId="31"/>
  </si>
  <si>
    <t>5_南河内</t>
    <rPh sb="2" eb="5">
      <t>ミナミカワチ</t>
    </rPh>
    <phoneticPr fontId="31"/>
  </si>
  <si>
    <t>6_泉州</t>
    <rPh sb="2" eb="4">
      <t>センシュウ</t>
    </rPh>
    <phoneticPr fontId="31"/>
  </si>
  <si>
    <t>7_大阪市</t>
    <rPh sb="2" eb="5">
      <t>オオサカシ</t>
    </rPh>
    <phoneticPr fontId="31"/>
  </si>
  <si>
    <t>8_堺市</t>
    <rPh sb="2" eb="4">
      <t>サカイシ</t>
    </rPh>
    <phoneticPr fontId="31"/>
  </si>
  <si>
    <t>他府県・不明</t>
    <rPh sb="0" eb="1">
      <t>タ</t>
    </rPh>
    <rPh sb="1" eb="3">
      <t>フケン</t>
    </rPh>
    <rPh sb="4" eb="6">
      <t>フメイ</t>
    </rPh>
    <phoneticPr fontId="31"/>
  </si>
  <si>
    <t>大阪市</t>
    <rPh sb="0" eb="3">
      <t>オオサカシ</t>
    </rPh>
    <phoneticPr fontId="2"/>
  </si>
  <si>
    <t>堺市</t>
    <rPh sb="0" eb="2">
      <t>サカイシ</t>
    </rPh>
    <phoneticPr fontId="2"/>
  </si>
  <si>
    <t>【病院所在地（圏域）×入院時住所地（圏域）】〔１年以上入院患者〕</t>
    <rPh sb="1" eb="3">
      <t>ビョウイン</t>
    </rPh>
    <rPh sb="3" eb="6">
      <t>ショザイチ</t>
    </rPh>
    <rPh sb="7" eb="9">
      <t>ケンイキ</t>
    </rPh>
    <rPh sb="11" eb="13">
      <t>ニュウイン</t>
    </rPh>
    <rPh sb="13" eb="14">
      <t>ジ</t>
    </rPh>
    <rPh sb="14" eb="16">
      <t>ジュウショ</t>
    </rPh>
    <rPh sb="16" eb="17">
      <t>チ</t>
    </rPh>
    <rPh sb="18" eb="20">
      <t>ケンイキ</t>
    </rPh>
    <rPh sb="24" eb="27">
      <t>ネンイジョウ</t>
    </rPh>
    <rPh sb="27" eb="29">
      <t>ニュウイン</t>
    </rPh>
    <rPh sb="29" eb="31">
      <t>カンジャ</t>
    </rPh>
    <phoneticPr fontId="2"/>
  </si>
  <si>
    <t>【入院時住所地別在院患者の状況】</t>
    <rPh sb="1" eb="3">
      <t>ニュウイン</t>
    </rPh>
    <rPh sb="3" eb="4">
      <t>ジ</t>
    </rPh>
    <rPh sb="4" eb="6">
      <t>ジュウショ</t>
    </rPh>
    <rPh sb="6" eb="7">
      <t>チ</t>
    </rPh>
    <rPh sb="7" eb="8">
      <t>ベツ</t>
    </rPh>
    <rPh sb="8" eb="10">
      <t>ザイイン</t>
    </rPh>
    <rPh sb="10" eb="12">
      <t>カンジャ</t>
    </rPh>
    <rPh sb="13" eb="15">
      <t>ジョウキョウ</t>
    </rPh>
    <phoneticPr fontId="2"/>
  </si>
  <si>
    <t>在院1年以上</t>
    <rPh sb="0" eb="2">
      <t>ザイイン</t>
    </rPh>
    <rPh sb="3" eb="6">
      <t>ネンイジョウ</t>
    </rPh>
    <phoneticPr fontId="2"/>
  </si>
  <si>
    <t>在院1年未満</t>
    <rPh sb="0" eb="2">
      <t>ザイイン</t>
    </rPh>
    <rPh sb="3" eb="4">
      <t>ネン</t>
    </rPh>
    <rPh sb="4" eb="6">
      <t>ミマン</t>
    </rPh>
    <phoneticPr fontId="2"/>
  </si>
  <si>
    <t>軽度</t>
    <rPh sb="0" eb="2">
      <t>ケイド</t>
    </rPh>
    <phoneticPr fontId="2"/>
  </si>
  <si>
    <t>中等度</t>
    <rPh sb="0" eb="2">
      <t>チュウトウ</t>
    </rPh>
    <rPh sb="2" eb="3">
      <t>ド</t>
    </rPh>
    <phoneticPr fontId="2"/>
  </si>
  <si>
    <t>重度</t>
    <rPh sb="0" eb="2">
      <t>ジュウド</t>
    </rPh>
    <phoneticPr fontId="2"/>
  </si>
  <si>
    <t>最重度</t>
    <rPh sb="0" eb="1">
      <t>サイ</t>
    </rPh>
    <rPh sb="1" eb="3">
      <t>ジュウド</t>
    </rPh>
    <phoneticPr fontId="2"/>
  </si>
  <si>
    <t>小計</t>
    <rPh sb="0" eb="2">
      <t>ショウケイ</t>
    </rPh>
    <phoneticPr fontId="2"/>
  </si>
  <si>
    <t>池田市</t>
  </si>
  <si>
    <t>箕面市</t>
  </si>
  <si>
    <t>能勢町</t>
  </si>
  <si>
    <t>豊能町</t>
  </si>
  <si>
    <t>豊中市</t>
  </si>
  <si>
    <t>吹田市</t>
  </si>
  <si>
    <t>摂津市</t>
  </si>
  <si>
    <t>茨木市</t>
  </si>
  <si>
    <t>枚方市</t>
  </si>
  <si>
    <t>寝屋川市</t>
  </si>
  <si>
    <t>交野市</t>
  </si>
  <si>
    <t>東大阪市</t>
  </si>
  <si>
    <t>八尾市</t>
  </si>
  <si>
    <t>柏原市</t>
  </si>
  <si>
    <t>松原市</t>
  </si>
  <si>
    <t>藤井寺市</t>
  </si>
  <si>
    <t>羽曳野市</t>
  </si>
  <si>
    <t>大阪狭山市</t>
  </si>
  <si>
    <t>富田林市</t>
  </si>
  <si>
    <t>太子町</t>
  </si>
  <si>
    <t>河南町</t>
  </si>
  <si>
    <t>千早赤阪村</t>
  </si>
  <si>
    <t>河内長野市</t>
  </si>
  <si>
    <t>和泉市</t>
  </si>
  <si>
    <t>泉大津市</t>
  </si>
  <si>
    <t>高石市</t>
  </si>
  <si>
    <t>忠岡町</t>
  </si>
  <si>
    <t>岸和田市</t>
  </si>
  <si>
    <t>貝塚市</t>
  </si>
  <si>
    <t>熊取町</t>
  </si>
  <si>
    <t>泉佐野市</t>
  </si>
  <si>
    <t>田尻町</t>
  </si>
  <si>
    <t>泉南市</t>
  </si>
  <si>
    <t>阪南市</t>
  </si>
  <si>
    <t>岬町</t>
  </si>
  <si>
    <t>大阪市</t>
    <phoneticPr fontId="2"/>
  </si>
  <si>
    <t>北区</t>
  </si>
  <si>
    <t>都島区</t>
  </si>
  <si>
    <t>福島区</t>
  </si>
  <si>
    <t>此花区</t>
  </si>
  <si>
    <t>中央区</t>
  </si>
  <si>
    <t>西区</t>
  </si>
  <si>
    <t>港区</t>
  </si>
  <si>
    <t>大正区</t>
  </si>
  <si>
    <t>天王寺区</t>
  </si>
  <si>
    <t>浪速区</t>
  </si>
  <si>
    <t>西淀川区</t>
  </si>
  <si>
    <t>淀川区</t>
  </si>
  <si>
    <t>東淀川区</t>
  </si>
  <si>
    <t>東成区</t>
  </si>
  <si>
    <t>生野区</t>
  </si>
  <si>
    <t>旭区</t>
  </si>
  <si>
    <t>城東区</t>
  </si>
  <si>
    <t>鶴見区</t>
  </si>
  <si>
    <t>阿倍野区</t>
  </si>
  <si>
    <t>住之江区</t>
  </si>
  <si>
    <t>住吉区</t>
  </si>
  <si>
    <t>東住吉区</t>
  </si>
  <si>
    <t>平野区</t>
  </si>
  <si>
    <t>西成区</t>
  </si>
  <si>
    <t>　　堺区</t>
    <rPh sb="2" eb="4">
      <t>サカイク</t>
    </rPh>
    <phoneticPr fontId="2"/>
  </si>
  <si>
    <t>　　西区</t>
    <rPh sb="2" eb="3">
      <t>ニシ</t>
    </rPh>
    <phoneticPr fontId="2"/>
  </si>
  <si>
    <t>　　中区</t>
    <rPh sb="2" eb="3">
      <t>ナカ</t>
    </rPh>
    <rPh sb="3" eb="4">
      <t>ク</t>
    </rPh>
    <phoneticPr fontId="2"/>
  </si>
  <si>
    <t>　　南区</t>
    <rPh sb="2" eb="4">
      <t>ミナミク</t>
    </rPh>
    <phoneticPr fontId="2"/>
  </si>
  <si>
    <t>　　北区</t>
    <rPh sb="2" eb="4">
      <t>キタク</t>
    </rPh>
    <phoneticPr fontId="2"/>
  </si>
  <si>
    <t>　　東区</t>
    <rPh sb="2" eb="4">
      <t>ヒガシク</t>
    </rPh>
    <phoneticPr fontId="2"/>
  </si>
  <si>
    <t>　　美原区</t>
    <rPh sb="2" eb="5">
      <t>ミハラク</t>
    </rPh>
    <phoneticPr fontId="2"/>
  </si>
  <si>
    <t>他府県</t>
    <rPh sb="0" eb="1">
      <t>タ</t>
    </rPh>
    <rPh sb="1" eb="3">
      <t>フケン</t>
    </rPh>
    <phoneticPr fontId="2"/>
  </si>
  <si>
    <t>滋賀県</t>
  </si>
  <si>
    <t>京都府</t>
  </si>
  <si>
    <t>奈良県</t>
  </si>
  <si>
    <t>兵庫県</t>
  </si>
  <si>
    <t>和歌山県</t>
  </si>
  <si>
    <t>不明</t>
  </si>
  <si>
    <t>巻末資料</t>
    <rPh sb="0" eb="2">
      <t>カンマツ</t>
    </rPh>
    <rPh sb="2" eb="4">
      <t>シリョウ</t>
    </rPh>
    <phoneticPr fontId="2"/>
  </si>
  <si>
    <t>島本町</t>
    <phoneticPr fontId="2"/>
  </si>
  <si>
    <t>高槻市</t>
    <rPh sb="0" eb="3">
      <t>タカツキシ</t>
    </rPh>
    <phoneticPr fontId="2"/>
  </si>
  <si>
    <t>四條畷市</t>
    <phoneticPr fontId="2"/>
  </si>
  <si>
    <t>大東市</t>
    <rPh sb="0" eb="2">
      <t>ダイトウ</t>
    </rPh>
    <phoneticPr fontId="2"/>
  </si>
  <si>
    <t>守口市</t>
    <rPh sb="0" eb="3">
      <t>モリグチシ</t>
    </rPh>
    <phoneticPr fontId="2"/>
  </si>
  <si>
    <t>門真市</t>
    <rPh sb="0" eb="3">
      <t>カドマシ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</si>
</sst>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176" formatCode="#,##0_ ;[Red]\-#,##0\ "/>
    <numFmt numFmtId="177" formatCode="0.0%"/>
    <numFmt numFmtId="178" formatCode="\(#,##0\)"/>
    <numFmt numFmtId="179" formatCode="0_);[Red]\(0\)"/>
    <numFmt numFmtId="180" formatCode="\(0.0%\)"/>
    <numFmt numFmtId="181" formatCode="#,##0_);[Red]\(#,##0\)"/>
    <numFmt numFmtId="182" formatCode="#,##0_ "/>
    <numFmt numFmtId="183" formatCode="&quot;「割合」には退院阻害要因がある&quot;#,##0&quot;人に対する割合を表示しています。&quot;"/>
    <numFmt numFmtId="184" formatCode="&quot;「割合」には退院阻害要因がある人の合計&quot;#,##0&quot;人に対する割合を表示しています。&quot;"/>
    <numFmt numFmtId="185" formatCode="#,###&quot;人&quot;"/>
    <numFmt numFmtId="186" formatCode="#,##0&quot;人&quot;"/>
  </numFmts>
  <fonts count="39"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scheme val="minor"/>
    </font>
    <font>
      <sz val="11"/>
      <name val="ＭＳ Ｐゴシック"/>
      <family val="3"/>
      <charset val="128"/>
    </font>
    <font>
      <sz val="11"/>
      <color theme="1"/>
      <name val="メイリオ"/>
      <family val="3"/>
      <charset val="128"/>
    </font>
    <font>
      <b/>
      <sz val="12"/>
      <color theme="1"/>
      <name val="メイリオ"/>
      <family val="3"/>
      <charset val="128"/>
    </font>
    <font>
      <sz val="12"/>
      <color theme="1"/>
      <name val="メイリオ"/>
      <family val="3"/>
      <charset val="128"/>
    </font>
    <font>
      <b/>
      <sz val="11"/>
      <color theme="1"/>
      <name val="メイリオ"/>
      <family val="3"/>
      <charset val="128"/>
    </font>
    <font>
      <sz val="11"/>
      <color rgb="FFFF0000"/>
      <name val="メイリオ"/>
      <family val="3"/>
      <charset val="128"/>
    </font>
    <font>
      <b/>
      <sz val="11"/>
      <color rgb="FFFF0000"/>
      <name val="メイリオ"/>
      <family val="3"/>
      <charset val="128"/>
    </font>
    <font>
      <sz val="11"/>
      <color theme="0"/>
      <name val="メイリオ"/>
      <family val="3"/>
      <charset val="128"/>
    </font>
    <font>
      <sz val="8"/>
      <color theme="1"/>
      <name val="メイリオ"/>
      <family val="3"/>
      <charset val="128"/>
    </font>
    <font>
      <sz val="9"/>
      <color theme="1"/>
      <name val="メイリオ"/>
      <family val="3"/>
      <charset val="128"/>
    </font>
    <font>
      <b/>
      <sz val="9"/>
      <color theme="1"/>
      <name val="メイリオ"/>
      <family val="3"/>
      <charset val="128"/>
    </font>
    <font>
      <b/>
      <sz val="10"/>
      <color theme="1"/>
      <name val="メイリオ"/>
      <family val="3"/>
      <charset val="128"/>
    </font>
    <font>
      <sz val="10"/>
      <color theme="1"/>
      <name val="メイリオ"/>
      <family val="3"/>
      <charset val="128"/>
    </font>
    <font>
      <sz val="11"/>
      <name val="メイリオ"/>
      <family val="3"/>
      <charset val="128"/>
    </font>
    <font>
      <b/>
      <sz val="12"/>
      <name val="メイリオ"/>
      <family val="3"/>
      <charset val="128"/>
    </font>
    <font>
      <sz val="10.5"/>
      <color theme="1"/>
      <name val="メイリオ"/>
      <family val="3"/>
      <charset val="128"/>
    </font>
    <font>
      <sz val="7.5"/>
      <color theme="1"/>
      <name val="メイリオ"/>
      <family val="3"/>
      <charset val="128"/>
    </font>
    <font>
      <b/>
      <sz val="12"/>
      <color theme="0"/>
      <name val="メイリオ"/>
      <family val="3"/>
      <charset val="128"/>
    </font>
    <font>
      <b/>
      <sz val="11"/>
      <color theme="0"/>
      <name val="メイリオ"/>
      <family val="3"/>
      <charset val="128"/>
    </font>
    <font>
      <b/>
      <sz val="11"/>
      <color theme="1"/>
      <name val="ＭＳ Ｐゴシック"/>
      <family val="3"/>
      <charset val="128"/>
    </font>
    <font>
      <b/>
      <sz val="14"/>
      <color theme="1"/>
      <name val="メイリオ"/>
      <family val="3"/>
      <charset val="128"/>
    </font>
    <font>
      <b/>
      <sz val="18"/>
      <color theme="1"/>
      <name val="メイリオ"/>
      <family val="3"/>
      <charset val="128"/>
    </font>
    <font>
      <sz val="9"/>
      <color theme="0"/>
      <name val="メイリオ"/>
      <family val="3"/>
      <charset val="128"/>
    </font>
    <font>
      <sz val="11"/>
      <color rgb="FFFF0000"/>
      <name val="ＭＳ Ｐゴシック"/>
      <family val="2"/>
      <charset val="128"/>
      <scheme val="minor"/>
    </font>
    <font>
      <b/>
      <sz val="10"/>
      <color rgb="FFFF0000"/>
      <name val="メイリオ"/>
      <family val="3"/>
      <charset val="128"/>
    </font>
    <font>
      <sz val="11"/>
      <color rgb="FF0066CC"/>
      <name val="メイリオ"/>
      <family val="3"/>
      <charset val="128"/>
    </font>
    <font>
      <sz val="12"/>
      <color rgb="FF0066CC"/>
      <name val="メイリオ"/>
      <family val="3"/>
      <charset val="128"/>
    </font>
    <font>
      <b/>
      <sz val="11"/>
      <color theme="1"/>
      <name val="ＭＳ Ｐゴシック"/>
      <family val="2"/>
      <charset val="128"/>
      <scheme val="minor"/>
    </font>
    <font>
      <sz val="7.8"/>
      <color theme="1"/>
      <name val="メイリオ"/>
      <family val="3"/>
      <charset val="128"/>
    </font>
    <font>
      <sz val="12"/>
      <color theme="0"/>
      <name val="メイリオ"/>
      <family val="3"/>
      <charset val="128"/>
    </font>
    <font>
      <b/>
      <sz val="6"/>
      <color theme="1"/>
      <name val="メイリオ"/>
      <family val="3"/>
      <charset val="128"/>
    </font>
    <font>
      <b/>
      <sz val="12"/>
      <color rgb="FFFF0000"/>
      <name val="メイリオ"/>
      <family val="3"/>
      <charset val="128"/>
    </font>
    <font>
      <sz val="9"/>
      <color rgb="FFFF0000"/>
      <name val="メイリオ"/>
      <family val="3"/>
      <charset val="128"/>
    </font>
    <font>
      <sz val="10"/>
      <color rgb="FFFF0000"/>
      <name val="メイリオ"/>
      <family val="3"/>
      <charset val="128"/>
    </font>
    <font>
      <b/>
      <sz val="48"/>
      <color theme="1"/>
      <name val="游ゴシック"/>
      <family val="3"/>
      <charset val="128"/>
    </font>
  </fonts>
  <fills count="20">
    <fill>
      <patternFill patternType="none"/>
    </fill>
    <fill>
      <patternFill patternType="gray125"/>
    </fill>
    <fill>
      <patternFill patternType="solid">
        <fgColor theme="6" tint="0.59999389629810485"/>
        <bgColor theme="4" tint="0.79998168889431442"/>
      </patternFill>
    </fill>
    <fill>
      <patternFill patternType="solid">
        <fgColor theme="5" tint="-0.499984740745262"/>
        <bgColor indexed="64"/>
      </patternFill>
    </fill>
    <fill>
      <patternFill patternType="solid">
        <fgColor theme="8" tint="0.79998168889431442"/>
        <bgColor indexed="64"/>
      </patternFill>
    </fill>
    <fill>
      <patternFill patternType="solid">
        <fgColor rgb="FFFFFF00"/>
        <bgColor indexed="64"/>
      </patternFill>
    </fill>
    <fill>
      <patternFill patternType="solid">
        <fgColor theme="4" tint="0.79998168889431442"/>
        <bgColor theme="4" tint="0.79998168889431442"/>
      </patternFill>
    </fill>
    <fill>
      <patternFill patternType="solid">
        <fgColor theme="6" tint="0.39997558519241921"/>
        <bgColor indexed="64"/>
      </patternFill>
    </fill>
    <fill>
      <patternFill patternType="solid">
        <fgColor theme="0"/>
        <bgColor indexed="64"/>
      </patternFill>
    </fill>
    <fill>
      <patternFill patternType="solid">
        <fgColor theme="4" tint="0.79998168889431442"/>
        <bgColor indexed="64"/>
      </patternFill>
    </fill>
    <fill>
      <patternFill patternType="solid">
        <fgColor theme="3" tint="0.79998168889431442"/>
        <bgColor theme="4" tint="0.79998168889431442"/>
      </patternFill>
    </fill>
    <fill>
      <patternFill patternType="solid">
        <fgColor theme="3" tint="0.79998168889431442"/>
        <bgColor indexed="64"/>
      </patternFill>
    </fill>
    <fill>
      <patternFill patternType="solid">
        <fgColor rgb="FFFFC000"/>
        <bgColor indexed="64"/>
      </patternFill>
    </fill>
    <fill>
      <patternFill patternType="solid">
        <fgColor rgb="FFFFC000"/>
        <bgColor theme="4" tint="0.79998168889431442"/>
      </patternFill>
    </fill>
    <fill>
      <patternFill patternType="solid">
        <fgColor rgb="FF00B050"/>
        <bgColor indexed="64"/>
      </patternFill>
    </fill>
    <fill>
      <patternFill patternType="solid">
        <fgColor theme="4"/>
        <bgColor theme="4"/>
      </patternFill>
    </fill>
    <fill>
      <patternFill patternType="solid">
        <fgColor theme="5" tint="0.79998168889431442"/>
        <bgColor indexed="64"/>
      </patternFill>
    </fill>
    <fill>
      <patternFill patternType="solid">
        <fgColor rgb="FF00B0F0"/>
        <bgColor theme="4" tint="0.79998168889431442"/>
      </patternFill>
    </fill>
    <fill>
      <patternFill patternType="solid">
        <fgColor theme="9" tint="0.59996337778862885"/>
        <bgColor theme="4" tint="0.79998168889431442"/>
      </patternFill>
    </fill>
    <fill>
      <patternFill patternType="solid">
        <fgColor theme="9" tint="0.59996337778862885"/>
        <bgColor indexed="64"/>
      </patternFill>
    </fill>
  </fills>
  <borders count="106">
    <border>
      <left/>
      <right/>
      <top/>
      <bottom/>
      <diagonal/>
    </border>
    <border>
      <left/>
      <right/>
      <top style="thin">
        <color theme="6" tint="-0.499984740745262"/>
      </top>
      <bottom/>
      <diagonal/>
    </border>
    <border>
      <left/>
      <right/>
      <top style="thin">
        <color theme="6" tint="-0.499984740745262"/>
      </top>
      <bottom style="thin">
        <color theme="6" tint="-0.499984740745262"/>
      </bottom>
      <diagonal/>
    </border>
    <border>
      <left/>
      <right/>
      <top/>
      <bottom style="thin">
        <color auto="1"/>
      </bottom>
      <diagonal/>
    </border>
    <border>
      <left/>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style="thin">
        <color auto="1"/>
      </left>
      <right style="dotted">
        <color auto="1"/>
      </right>
      <top style="thin">
        <color auto="1"/>
      </top>
      <bottom/>
      <diagonal/>
    </border>
    <border>
      <left style="dotted">
        <color auto="1"/>
      </left>
      <right style="thin">
        <color auto="1"/>
      </right>
      <top style="thin">
        <color auto="1"/>
      </top>
      <bottom/>
      <diagonal/>
    </border>
    <border>
      <left style="thin">
        <color auto="1"/>
      </left>
      <right style="dotted">
        <color auto="1"/>
      </right>
      <top style="thin">
        <color auto="1"/>
      </top>
      <bottom style="hair">
        <color auto="1"/>
      </bottom>
      <diagonal/>
    </border>
    <border>
      <left style="dotted">
        <color auto="1"/>
      </left>
      <right style="thin">
        <color auto="1"/>
      </right>
      <top style="thin">
        <color auto="1"/>
      </top>
      <bottom style="hair">
        <color auto="1"/>
      </bottom>
      <diagonal/>
    </border>
    <border>
      <left style="thin">
        <color auto="1"/>
      </left>
      <right style="dotted">
        <color auto="1"/>
      </right>
      <top style="hair">
        <color auto="1"/>
      </top>
      <bottom style="hair">
        <color auto="1"/>
      </bottom>
      <diagonal/>
    </border>
    <border>
      <left style="dotted">
        <color auto="1"/>
      </left>
      <right style="thin">
        <color auto="1"/>
      </right>
      <top style="hair">
        <color auto="1"/>
      </top>
      <bottom style="hair">
        <color auto="1"/>
      </bottom>
      <diagonal/>
    </border>
    <border>
      <left style="thin">
        <color auto="1"/>
      </left>
      <right style="dotted">
        <color auto="1"/>
      </right>
      <top style="hair">
        <color auto="1"/>
      </top>
      <bottom style="thin">
        <color auto="1"/>
      </bottom>
      <diagonal/>
    </border>
    <border>
      <left style="dotted">
        <color auto="1"/>
      </left>
      <right style="thin">
        <color auto="1"/>
      </right>
      <top style="hair">
        <color auto="1"/>
      </top>
      <bottom style="thin">
        <color auto="1"/>
      </bottom>
      <diagonal/>
    </border>
    <border>
      <left style="thin">
        <color auto="1"/>
      </left>
      <right style="dotted">
        <color auto="1"/>
      </right>
      <top style="thin">
        <color auto="1"/>
      </top>
      <bottom style="thin">
        <color auto="1"/>
      </bottom>
      <diagonal/>
    </border>
    <border>
      <left style="dotted">
        <color auto="1"/>
      </left>
      <right style="thin">
        <color auto="1"/>
      </right>
      <top style="thin">
        <color auto="1"/>
      </top>
      <bottom style="thin">
        <color auto="1"/>
      </bottom>
      <diagonal/>
    </border>
    <border>
      <left style="thin">
        <color auto="1"/>
      </left>
      <right/>
      <top style="thin">
        <color auto="1"/>
      </top>
      <bottom style="hair">
        <color auto="1"/>
      </bottom>
      <diagonal/>
    </border>
    <border>
      <left style="thin">
        <color auto="1"/>
      </left>
      <right/>
      <top style="hair">
        <color auto="1"/>
      </top>
      <bottom style="thin">
        <color auto="1"/>
      </bottom>
      <diagonal/>
    </border>
    <border>
      <left style="thin">
        <color auto="1"/>
      </left>
      <right/>
      <top style="hair">
        <color auto="1"/>
      </top>
      <bottom style="hair">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right/>
      <top/>
      <bottom style="thin">
        <color theme="4" tint="0.39997558519241921"/>
      </bottom>
      <diagonal/>
    </border>
    <border>
      <left/>
      <right/>
      <top style="thin">
        <color theme="4" tint="0.39997558519241921"/>
      </top>
      <bottom/>
      <diagonal/>
    </border>
    <border>
      <left/>
      <right/>
      <top style="thin">
        <color rgb="FF0070C0"/>
      </top>
      <bottom/>
      <diagonal/>
    </border>
    <border>
      <left/>
      <right/>
      <top/>
      <bottom style="thin">
        <color rgb="FF0070C0"/>
      </bottom>
      <diagonal/>
    </border>
    <border>
      <left style="dotted">
        <color auto="1"/>
      </left>
      <right style="thin">
        <color auto="1"/>
      </right>
      <top/>
      <bottom style="hair">
        <color auto="1"/>
      </bottom>
      <diagonal/>
    </border>
    <border>
      <left style="dotted">
        <color auto="1"/>
      </left>
      <right style="thin">
        <color auto="1"/>
      </right>
      <top style="hair">
        <color auto="1"/>
      </top>
      <bottom/>
      <diagonal/>
    </border>
    <border>
      <left style="thin">
        <color auto="1"/>
      </left>
      <right style="dotted">
        <color auto="1"/>
      </right>
      <top style="hair">
        <color indexed="64"/>
      </top>
      <bottom/>
      <diagonal/>
    </border>
    <border>
      <left style="thin">
        <color auto="1"/>
      </left>
      <right style="dotted">
        <color auto="1"/>
      </right>
      <top/>
      <bottom style="hair">
        <color auto="1"/>
      </bottom>
      <diagonal/>
    </border>
    <border>
      <left style="thin">
        <color auto="1"/>
      </left>
      <right style="dotted">
        <color auto="1"/>
      </right>
      <top/>
      <bottom/>
      <diagonal/>
    </border>
    <border>
      <left style="hair">
        <color indexed="64"/>
      </left>
      <right style="dotted">
        <color auto="1"/>
      </right>
      <top style="hair">
        <color indexed="64"/>
      </top>
      <bottom style="hair">
        <color indexed="64"/>
      </bottom>
      <diagonal/>
    </border>
    <border>
      <left/>
      <right/>
      <top style="thin">
        <color theme="6" tint="-0.499984740745262"/>
      </top>
      <bottom style="thin">
        <color indexed="64"/>
      </bottom>
      <diagonal/>
    </border>
    <border>
      <left style="hair">
        <color auto="1"/>
      </left>
      <right style="thin">
        <color auto="1"/>
      </right>
      <top style="thin">
        <color auto="1"/>
      </top>
      <bottom style="thin">
        <color auto="1"/>
      </bottom>
      <diagonal/>
    </border>
    <border>
      <left style="thin">
        <color auto="1"/>
      </left>
      <right/>
      <top/>
      <bottom/>
      <diagonal/>
    </border>
    <border>
      <left style="thin">
        <color auto="1"/>
      </left>
      <right style="hair">
        <color indexed="64"/>
      </right>
      <top style="thin">
        <color auto="1"/>
      </top>
      <bottom style="thin">
        <color auto="1"/>
      </bottom>
      <diagonal/>
    </border>
    <border>
      <left style="thin">
        <color auto="1"/>
      </left>
      <right/>
      <top/>
      <bottom style="thin">
        <color auto="1"/>
      </bottom>
      <diagonal/>
    </border>
    <border>
      <left style="thin">
        <color auto="1"/>
      </left>
      <right style="thin">
        <color auto="1"/>
      </right>
      <top style="hair">
        <color auto="1"/>
      </top>
      <bottom/>
      <diagonal/>
    </border>
    <border>
      <left/>
      <right style="thin">
        <color indexed="64"/>
      </right>
      <top/>
      <bottom style="thin">
        <color indexed="64"/>
      </bottom>
      <diagonal/>
    </border>
    <border>
      <left/>
      <right style="double">
        <color indexed="64"/>
      </right>
      <top style="thin">
        <color indexed="64"/>
      </top>
      <bottom style="thin">
        <color indexed="64"/>
      </bottom>
      <diagonal/>
    </border>
    <border>
      <left style="hair">
        <color indexed="64"/>
      </left>
      <right style="double">
        <color indexed="64"/>
      </right>
      <top style="thin">
        <color auto="1"/>
      </top>
      <bottom style="thin">
        <color auto="1"/>
      </bottom>
      <diagonal/>
    </border>
    <border>
      <left style="double">
        <color indexed="64"/>
      </left>
      <right style="hair">
        <color indexed="64"/>
      </right>
      <top style="thin">
        <color indexed="64"/>
      </top>
      <bottom style="thin">
        <color indexed="64"/>
      </bottom>
      <diagonal/>
    </border>
    <border>
      <left/>
      <right style="dotted">
        <color auto="1"/>
      </right>
      <top style="hair">
        <color indexed="64"/>
      </top>
      <bottom style="hair">
        <color indexed="64"/>
      </bottom>
      <diagonal/>
    </border>
    <border>
      <left/>
      <right style="hair">
        <color indexed="64"/>
      </right>
      <top style="hair">
        <color indexed="64"/>
      </top>
      <bottom style="hair">
        <color indexed="64"/>
      </bottom>
      <diagonal/>
    </border>
    <border>
      <left/>
      <right style="dotted">
        <color auto="1"/>
      </right>
      <top/>
      <bottom/>
      <diagonal/>
    </border>
    <border>
      <left/>
      <right style="dotted">
        <color auto="1"/>
      </right>
      <top style="hair">
        <color auto="1"/>
      </top>
      <bottom/>
      <diagonal/>
    </border>
    <border>
      <left/>
      <right style="hair">
        <color indexed="64"/>
      </right>
      <top style="hair">
        <color indexed="64"/>
      </top>
      <bottom/>
      <diagonal/>
    </border>
    <border>
      <left style="thin">
        <color theme="0"/>
      </left>
      <right style="thin">
        <color theme="0"/>
      </right>
      <top style="thin">
        <color theme="0"/>
      </top>
      <bottom style="thin">
        <color theme="0"/>
      </bottom>
      <diagonal/>
    </border>
    <border>
      <left/>
      <right style="dotted">
        <color auto="1"/>
      </right>
      <top style="thin">
        <color auto="1"/>
      </top>
      <bottom style="hair">
        <color auto="1"/>
      </bottom>
      <diagonal/>
    </border>
    <border>
      <left/>
      <right style="dotted">
        <color auto="1"/>
      </right>
      <top style="thin">
        <color auto="1"/>
      </top>
      <bottom style="thin">
        <color auto="1"/>
      </bottom>
      <diagonal/>
    </border>
    <border>
      <left/>
      <right style="dotted">
        <color auto="1"/>
      </right>
      <top/>
      <bottom style="hair">
        <color auto="1"/>
      </bottom>
      <diagonal/>
    </border>
    <border>
      <left/>
      <right style="dotted">
        <color auto="1"/>
      </right>
      <top/>
      <bottom style="thin">
        <color auto="1"/>
      </bottom>
      <diagonal/>
    </border>
    <border>
      <left style="thin">
        <color auto="1"/>
      </left>
      <right style="dotted">
        <color auto="1"/>
      </right>
      <top/>
      <bottom style="thin">
        <color auto="1"/>
      </bottom>
      <diagonal/>
    </border>
    <border>
      <left style="dotted">
        <color auto="1"/>
      </left>
      <right style="thin">
        <color auto="1"/>
      </right>
      <top/>
      <bottom/>
      <diagonal/>
    </border>
    <border>
      <left/>
      <right style="thin">
        <color theme="0"/>
      </right>
      <top style="thin">
        <color theme="0"/>
      </top>
      <bottom style="thin">
        <color theme="0"/>
      </bottom>
      <diagonal/>
    </border>
    <border>
      <left style="dotted">
        <color auto="1"/>
      </left>
      <right/>
      <top style="thin">
        <color auto="1"/>
      </top>
      <bottom style="thin">
        <color auto="1"/>
      </bottom>
      <diagonal/>
    </border>
    <border>
      <left style="dotted">
        <color auto="1"/>
      </left>
      <right style="thin">
        <color auto="1"/>
      </right>
      <top/>
      <bottom style="thin">
        <color auto="1"/>
      </bottom>
      <diagonal/>
    </border>
    <border>
      <left style="thin">
        <color indexed="64"/>
      </left>
      <right/>
      <top style="thin">
        <color theme="6" tint="-0.499984740745262"/>
      </top>
      <bottom/>
      <diagonal/>
    </border>
    <border>
      <left style="thin">
        <color auto="1"/>
      </left>
      <right/>
      <top style="thin">
        <color auto="1"/>
      </top>
      <bottom style="thin">
        <color theme="6" tint="-0.499984740745262"/>
      </bottom>
      <diagonal/>
    </border>
    <border>
      <left/>
      <right/>
      <top style="thin">
        <color auto="1"/>
      </top>
      <bottom style="thin">
        <color theme="6" tint="-0.499984740745262"/>
      </bottom>
      <diagonal/>
    </border>
    <border>
      <left style="thin">
        <color auto="1"/>
      </left>
      <right style="thin">
        <color theme="6" tint="-0.499984740745262"/>
      </right>
      <top/>
      <bottom/>
      <diagonal/>
    </border>
    <border>
      <left style="thin">
        <color auto="1"/>
      </left>
      <right style="thin">
        <color theme="6" tint="-0.499984740745262"/>
      </right>
      <top/>
      <bottom style="thin">
        <color theme="6" tint="-0.499984740745262"/>
      </bottom>
      <diagonal/>
    </border>
    <border>
      <left style="thin">
        <color auto="1"/>
      </left>
      <right/>
      <top style="thin">
        <color theme="6" tint="-0.499984740745262"/>
      </top>
      <bottom style="thin">
        <color theme="6" tint="-0.499984740745262"/>
      </bottom>
      <diagonal/>
    </border>
    <border>
      <left style="thin">
        <color auto="1"/>
      </left>
      <right/>
      <top style="thin">
        <color theme="6" tint="-0.499984740745262"/>
      </top>
      <bottom style="thin">
        <color auto="1"/>
      </bottom>
      <diagonal/>
    </border>
    <border>
      <left style="thin">
        <color theme="6" tint="-0.499984740745262"/>
      </left>
      <right/>
      <top style="thin">
        <color theme="6" tint="-0.499984740745262"/>
      </top>
      <bottom style="hair">
        <color theme="6" tint="-0.499984740745262"/>
      </bottom>
      <diagonal/>
    </border>
    <border>
      <left style="thin">
        <color theme="6" tint="-0.499984740745262"/>
      </left>
      <right/>
      <top style="hair">
        <color theme="6" tint="-0.499984740745262"/>
      </top>
      <bottom style="hair">
        <color theme="6" tint="-0.499984740745262"/>
      </bottom>
      <diagonal/>
    </border>
    <border>
      <left style="thin">
        <color theme="6" tint="-0.499984740745262"/>
      </left>
      <right/>
      <top style="hair">
        <color theme="6" tint="-0.499984740745262"/>
      </top>
      <bottom style="thin">
        <color theme="6" tint="-0.499984740745262"/>
      </bottom>
      <diagonal/>
    </border>
    <border>
      <left style="thin">
        <color theme="6" tint="-0.499984740745262"/>
      </left>
      <right/>
      <top style="thin">
        <color auto="1"/>
      </top>
      <bottom style="hair">
        <color theme="6" tint="-0.499984740745262"/>
      </bottom>
      <diagonal/>
    </border>
    <border>
      <left style="thin">
        <color theme="6" tint="-0.499984740745262"/>
      </left>
      <right/>
      <top style="hair">
        <color theme="6" tint="-0.499984740745262"/>
      </top>
      <bottom style="thin">
        <color auto="1"/>
      </bottom>
      <diagonal/>
    </border>
    <border>
      <left style="thin">
        <color auto="1"/>
      </left>
      <right style="thin">
        <color auto="1"/>
      </right>
      <top style="thin">
        <color auto="1"/>
      </top>
      <bottom style="hair">
        <color theme="6" tint="-0.499984740745262"/>
      </bottom>
      <diagonal/>
    </border>
    <border>
      <left style="thin">
        <color auto="1"/>
      </left>
      <right style="thin">
        <color auto="1"/>
      </right>
      <top style="hair">
        <color theme="6" tint="-0.499984740745262"/>
      </top>
      <bottom style="hair">
        <color theme="6" tint="-0.499984740745262"/>
      </bottom>
      <diagonal/>
    </border>
    <border>
      <left style="thin">
        <color auto="1"/>
      </left>
      <right style="thin">
        <color auto="1"/>
      </right>
      <top style="hair">
        <color theme="6" tint="-0.499984740745262"/>
      </top>
      <bottom style="thin">
        <color auto="1"/>
      </bottom>
      <diagonal/>
    </border>
    <border>
      <left style="thin">
        <color auto="1"/>
      </left>
      <right style="thin">
        <color theme="6" tint="-0.499984740745262"/>
      </right>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thin">
        <color theme="4" tint="0.39997558519241921"/>
      </left>
      <right/>
      <top style="thin">
        <color theme="4" tint="0.39997558519241921"/>
      </top>
      <bottom style="thin">
        <color theme="4" tint="0.39997558519241921"/>
      </bottom>
      <diagonal/>
    </border>
    <border>
      <left/>
      <right/>
      <top style="thin">
        <color theme="4" tint="0.39997558519241921"/>
      </top>
      <bottom style="thin">
        <color theme="4" tint="0.39997558519241921"/>
      </bottom>
      <diagonal/>
    </border>
    <border>
      <left style="thin">
        <color theme="0"/>
      </left>
      <right style="thin">
        <color theme="0"/>
      </right>
      <top style="thin">
        <color theme="0"/>
      </top>
      <bottom/>
      <diagonal/>
    </border>
    <border>
      <left style="thin">
        <color theme="0"/>
      </left>
      <right/>
      <top style="thin">
        <color theme="0"/>
      </top>
      <bottom style="thin">
        <color theme="0"/>
      </bottom>
      <diagonal/>
    </border>
    <border>
      <left style="thin">
        <color theme="0"/>
      </left>
      <right style="thin">
        <color theme="0"/>
      </right>
      <top/>
      <bottom/>
      <diagonal/>
    </border>
    <border>
      <left style="thick">
        <color rgb="FFFFFF00"/>
      </left>
      <right style="thick">
        <color rgb="FFFFFF00"/>
      </right>
      <top style="thick">
        <color rgb="FFFFFF00"/>
      </top>
      <bottom style="thick">
        <color rgb="FFFFFF00"/>
      </bottom>
      <diagonal/>
    </border>
    <border>
      <left style="thin">
        <color theme="4" tint="0.39997558519241921"/>
      </left>
      <right/>
      <top style="thin">
        <color theme="4" tint="0.39997558519241921"/>
      </top>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dotted">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dotted">
        <color auto="1"/>
      </right>
      <top style="thin">
        <color auto="1"/>
      </top>
      <bottom style="medium">
        <color auto="1"/>
      </bottom>
      <diagonal/>
    </border>
    <border>
      <left style="dotted">
        <color auto="1"/>
      </left>
      <right style="thin">
        <color auto="1"/>
      </right>
      <top style="thin">
        <color auto="1"/>
      </top>
      <bottom style="medium">
        <color auto="1"/>
      </bottom>
      <diagonal/>
    </border>
    <border>
      <left style="dotted">
        <color auto="1"/>
      </left>
      <right style="medium">
        <color auto="1"/>
      </right>
      <top style="thin">
        <color auto="1"/>
      </top>
      <bottom style="medium">
        <color auto="1"/>
      </bottom>
      <diagonal/>
    </border>
    <border>
      <left/>
      <right style="thin">
        <color auto="1"/>
      </right>
      <top style="thin">
        <color theme="6" tint="-0.499984740745262"/>
      </top>
      <bottom style="thin">
        <color theme="6" tint="-0.499984740745262"/>
      </bottom>
      <diagonal/>
    </border>
    <border>
      <left/>
      <right style="thin">
        <color theme="4" tint="0.39997558519241921"/>
      </right>
      <top style="thin">
        <color theme="4" tint="0.39997558519241921"/>
      </top>
      <bottom style="thin">
        <color theme="4" tint="0.39997558519241921"/>
      </bottom>
      <diagonal/>
    </border>
    <border>
      <left/>
      <right/>
      <top style="thick">
        <color rgb="FFFFFF00"/>
      </top>
      <bottom/>
      <diagonal/>
    </border>
    <border>
      <left style="thin">
        <color theme="0"/>
      </left>
      <right style="thin">
        <color theme="0"/>
      </right>
      <top/>
      <bottom style="thin">
        <color theme="0"/>
      </bottom>
      <diagonal/>
    </border>
    <border>
      <left/>
      <right style="thin">
        <color auto="1"/>
      </right>
      <top/>
      <bottom style="hair">
        <color auto="1"/>
      </bottom>
      <diagonal/>
    </border>
    <border>
      <left style="thin">
        <color auto="1"/>
      </left>
      <right style="thin">
        <color auto="1"/>
      </right>
      <top/>
      <bottom style="hair">
        <color auto="1"/>
      </bottom>
      <diagonal/>
    </border>
    <border>
      <left style="hair">
        <color indexed="64"/>
      </left>
      <right style="hair">
        <color indexed="64"/>
      </right>
      <top style="hair">
        <color indexed="64"/>
      </top>
      <bottom style="hair">
        <color indexed="64"/>
      </bottom>
      <diagonal/>
    </border>
  </borders>
  <cellStyleXfs count="9">
    <xf numFmtId="0" fontId="0" fillId="0" borderId="0">
      <alignment vertical="center"/>
    </xf>
    <xf numFmtId="9" fontId="1" fillId="0" borderId="0" applyFont="0" applyFill="0" applyBorder="0" applyAlignment="0" applyProtection="0">
      <alignment vertical="center"/>
    </xf>
    <xf numFmtId="0" fontId="3" fillId="0" borderId="0">
      <alignment vertical="center"/>
    </xf>
    <xf numFmtId="0" fontId="4" fillId="0" borderId="0">
      <alignment vertical="center"/>
    </xf>
    <xf numFmtId="0" fontId="4" fillId="0" borderId="0">
      <alignment vertical="center"/>
    </xf>
    <xf numFmtId="0" fontId="3" fillId="0" borderId="0">
      <alignment vertical="center"/>
    </xf>
    <xf numFmtId="0" fontId="4" fillId="0" borderId="0"/>
    <xf numFmtId="38" fontId="1" fillId="0" borderId="0" applyFont="0" applyFill="0" applyBorder="0" applyAlignment="0" applyProtection="0">
      <alignment vertical="center"/>
    </xf>
    <xf numFmtId="38" fontId="4" fillId="0" borderId="0" applyFont="0" applyFill="0" applyBorder="0" applyAlignment="0" applyProtection="0">
      <alignment vertical="center"/>
    </xf>
  </cellStyleXfs>
  <cellXfs count="759">
    <xf numFmtId="0" fontId="0" fillId="0" borderId="0" xfId="0">
      <alignment vertical="center"/>
    </xf>
    <xf numFmtId="0" fontId="5" fillId="0" borderId="0" xfId="0" applyFont="1">
      <alignmen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8" fillId="0" borderId="0" xfId="0" applyFont="1" applyBorder="1">
      <alignment vertical="center"/>
    </xf>
    <xf numFmtId="0" fontId="7" fillId="0" borderId="0" xfId="0" applyFont="1" applyBorder="1">
      <alignment vertical="center"/>
    </xf>
    <xf numFmtId="0" fontId="5" fillId="0" borderId="0" xfId="0" applyFont="1" applyBorder="1" applyAlignment="1">
      <alignment horizontal="left" vertical="center"/>
    </xf>
    <xf numFmtId="176" fontId="5" fillId="0" borderId="0" xfId="0" applyNumberFormat="1" applyFont="1" applyBorder="1">
      <alignment vertical="center"/>
    </xf>
    <xf numFmtId="0" fontId="9" fillId="0" borderId="0" xfId="0" applyFont="1">
      <alignment vertical="center"/>
    </xf>
    <xf numFmtId="0" fontId="10" fillId="6" borderId="0" xfId="0" applyFont="1" applyFill="1" applyBorder="1" applyAlignment="1">
      <alignment horizontal="center" vertical="center"/>
    </xf>
    <xf numFmtId="0" fontId="10" fillId="6" borderId="0" xfId="0" applyFont="1" applyFill="1" applyBorder="1" applyAlignment="1">
      <alignment horizontal="center" vertical="center" wrapText="1"/>
    </xf>
    <xf numFmtId="0" fontId="9" fillId="0" borderId="0" xfId="0" applyFont="1" applyBorder="1">
      <alignment vertical="center"/>
    </xf>
    <xf numFmtId="176" fontId="9" fillId="0" borderId="0" xfId="0" applyNumberFormat="1" applyFont="1" applyBorder="1">
      <alignment vertical="center"/>
    </xf>
    <xf numFmtId="10" fontId="9" fillId="0" borderId="0" xfId="0" applyNumberFormat="1" applyFont="1" applyBorder="1" applyAlignment="1">
      <alignment horizontal="right" vertical="center" indent="1"/>
    </xf>
    <xf numFmtId="0" fontId="9" fillId="0" borderId="0" xfId="0" applyFont="1" applyAlignment="1">
      <alignment horizontal="left" vertical="center"/>
    </xf>
    <xf numFmtId="176" fontId="9" fillId="0" borderId="0" xfId="0" applyNumberFormat="1" applyFont="1">
      <alignment vertical="center"/>
    </xf>
    <xf numFmtId="10" fontId="9" fillId="0" borderId="0" xfId="0" applyNumberFormat="1" applyFont="1" applyAlignment="1">
      <alignment horizontal="right" vertical="center" indent="1"/>
    </xf>
    <xf numFmtId="0" fontId="8" fillId="2" borderId="40" xfId="0" applyFont="1" applyFill="1" applyBorder="1" applyAlignment="1">
      <alignment horizontal="left" vertical="center" indent="1"/>
    </xf>
    <xf numFmtId="10" fontId="9" fillId="0" borderId="0" xfId="0" applyNumberFormat="1" applyFont="1">
      <alignment vertical="center"/>
    </xf>
    <xf numFmtId="0" fontId="5" fillId="0" borderId="4" xfId="0" applyFont="1" applyBorder="1">
      <alignment vertical="center"/>
    </xf>
    <xf numFmtId="177" fontId="5" fillId="0" borderId="4" xfId="1" applyNumberFormat="1" applyFont="1" applyBorder="1">
      <alignment vertical="center"/>
    </xf>
    <xf numFmtId="0" fontId="5" fillId="0" borderId="0" xfId="0" applyFont="1" applyBorder="1">
      <alignment vertical="center"/>
    </xf>
    <xf numFmtId="38" fontId="5" fillId="0" borderId="0" xfId="0" applyNumberFormat="1" applyFont="1">
      <alignment vertical="center"/>
    </xf>
    <xf numFmtId="177" fontId="5" fillId="0" borderId="0" xfId="1" applyNumberFormat="1" applyFont="1" applyBorder="1">
      <alignment vertical="center"/>
    </xf>
    <xf numFmtId="3" fontId="9" fillId="0" borderId="0" xfId="0" applyNumberFormat="1" applyFont="1">
      <alignment vertical="center"/>
    </xf>
    <xf numFmtId="10" fontId="10" fillId="6" borderId="0" xfId="0" applyNumberFormat="1" applyFont="1" applyFill="1" applyBorder="1" applyAlignment="1">
      <alignment horizontal="center" vertical="center"/>
    </xf>
    <xf numFmtId="0" fontId="9" fillId="0" borderId="0" xfId="0" applyFont="1" applyBorder="1" applyAlignment="1">
      <alignment horizontal="left" vertical="center"/>
    </xf>
    <xf numFmtId="10" fontId="9" fillId="0" borderId="0" xfId="0" applyNumberFormat="1" applyFont="1" applyBorder="1" applyAlignment="1">
      <alignment horizontal="left" vertical="center"/>
    </xf>
    <xf numFmtId="0" fontId="10" fillId="6" borderId="0" xfId="0" applyFont="1" applyFill="1" applyBorder="1" applyAlignment="1">
      <alignment horizontal="left" vertical="center"/>
    </xf>
    <xf numFmtId="176" fontId="10" fillId="6" borderId="0" xfId="0" applyNumberFormat="1" applyFont="1" applyFill="1" applyBorder="1">
      <alignment vertical="center"/>
    </xf>
    <xf numFmtId="10" fontId="10" fillId="6" borderId="0" xfId="0" applyNumberFormat="1" applyFont="1" applyFill="1" applyBorder="1" applyAlignment="1">
      <alignment horizontal="right" vertical="center" indent="1"/>
    </xf>
    <xf numFmtId="0" fontId="9" fillId="0" borderId="0" xfId="0" applyNumberFormat="1" applyFont="1">
      <alignment vertical="center"/>
    </xf>
    <xf numFmtId="0" fontId="5" fillId="0" borderId="0" xfId="0" applyFont="1" applyAlignment="1">
      <alignment horizontal="center" vertical="center" wrapText="1"/>
    </xf>
    <xf numFmtId="0" fontId="11" fillId="3" borderId="0" xfId="0" applyFont="1" applyFill="1" applyAlignment="1">
      <alignment horizontal="right" vertical="center"/>
    </xf>
    <xf numFmtId="0" fontId="11" fillId="0" borderId="0" xfId="0" applyFont="1" applyAlignment="1">
      <alignment horizontal="center" vertical="center"/>
    </xf>
    <xf numFmtId="10" fontId="5" fillId="0" borderId="0" xfId="0" applyNumberFormat="1" applyFont="1" applyAlignment="1">
      <alignment horizontal="right" vertical="center" indent="1"/>
    </xf>
    <xf numFmtId="0" fontId="12" fillId="0" borderId="0" xfId="0" applyFont="1" applyAlignment="1">
      <alignment vertical="center" wrapText="1"/>
    </xf>
    <xf numFmtId="0" fontId="5" fillId="0" borderId="0" xfId="0" applyFont="1" applyAlignment="1">
      <alignment horizontal="left" vertical="center"/>
    </xf>
    <xf numFmtId="176" fontId="5" fillId="0" borderId="0" xfId="0" applyNumberFormat="1" applyFont="1">
      <alignment vertical="center"/>
    </xf>
    <xf numFmtId="176" fontId="11" fillId="0" borderId="0" xfId="0" applyNumberFormat="1" applyFont="1">
      <alignment vertical="center"/>
    </xf>
    <xf numFmtId="181" fontId="5" fillId="0" borderId="55" xfId="0" applyNumberFormat="1" applyFont="1" applyBorder="1" applyAlignment="1">
      <alignment vertical="center"/>
    </xf>
    <xf numFmtId="0" fontId="5" fillId="0" borderId="0" xfId="0" applyFont="1" applyAlignment="1">
      <alignment vertical="center"/>
    </xf>
    <xf numFmtId="0" fontId="11" fillId="0" borderId="0" xfId="0" applyFont="1">
      <alignment vertical="center"/>
    </xf>
    <xf numFmtId="0" fontId="5" fillId="0" borderId="0" xfId="0" applyNumberFormat="1" applyFont="1">
      <alignment vertical="center"/>
    </xf>
    <xf numFmtId="177" fontId="5" fillId="0" borderId="0" xfId="0" applyNumberFormat="1" applyFont="1">
      <alignment vertical="center"/>
    </xf>
    <xf numFmtId="0" fontId="8" fillId="6" borderId="0" xfId="0" applyFont="1" applyFill="1" applyBorder="1" applyAlignment="1">
      <alignment horizontal="center" vertical="center"/>
    </xf>
    <xf numFmtId="0" fontId="8" fillId="6" borderId="0" xfId="0" applyFont="1" applyFill="1" applyBorder="1" applyAlignment="1">
      <alignment horizontal="center" vertical="center" wrapText="1"/>
    </xf>
    <xf numFmtId="176" fontId="5" fillId="0" borderId="55" xfId="0" applyNumberFormat="1" applyFont="1" applyBorder="1" applyAlignment="1">
      <alignment vertical="center"/>
    </xf>
    <xf numFmtId="10" fontId="5" fillId="0" borderId="0" xfId="0" applyNumberFormat="1" applyFont="1" applyBorder="1" applyAlignment="1">
      <alignment horizontal="right" vertical="center" indent="1"/>
    </xf>
    <xf numFmtId="0" fontId="8" fillId="6" borderId="0" xfId="0" applyFont="1" applyFill="1" applyBorder="1" applyAlignment="1">
      <alignment horizontal="left" vertical="center"/>
    </xf>
    <xf numFmtId="176" fontId="8" fillId="6" borderId="0" xfId="0" applyNumberFormat="1" applyFont="1" applyFill="1" applyBorder="1">
      <alignment vertical="center"/>
    </xf>
    <xf numFmtId="10" fontId="8" fillId="6" borderId="0" xfId="0" applyNumberFormat="1" applyFont="1" applyFill="1" applyBorder="1" applyAlignment="1">
      <alignment horizontal="right" vertical="center" indent="1"/>
    </xf>
    <xf numFmtId="0" fontId="11" fillId="3" borderId="0" xfId="0" applyFont="1" applyFill="1" applyAlignment="1">
      <alignment horizontal="center" vertical="center"/>
    </xf>
    <xf numFmtId="0" fontId="11" fillId="3" borderId="0" xfId="0" applyFont="1" applyFill="1">
      <alignment vertical="center"/>
    </xf>
    <xf numFmtId="0" fontId="11" fillId="0" borderId="0" xfId="0" applyFont="1" applyAlignment="1">
      <alignment vertical="center"/>
    </xf>
    <xf numFmtId="0" fontId="11" fillId="3" borderId="0" xfId="0" applyFont="1" applyFill="1" applyAlignment="1">
      <alignment horizontal="left" vertical="center"/>
    </xf>
    <xf numFmtId="0" fontId="5" fillId="0" borderId="7" xfId="0" applyFont="1" applyBorder="1">
      <alignment vertical="center"/>
    </xf>
    <xf numFmtId="0" fontId="8" fillId="0" borderId="0" xfId="0" applyFont="1" applyFill="1" applyBorder="1" applyAlignment="1">
      <alignment horizontal="left" vertical="center" indent="1"/>
    </xf>
    <xf numFmtId="0" fontId="5" fillId="0" borderId="0" xfId="0" applyFont="1" applyFill="1" applyBorder="1">
      <alignment vertical="center"/>
    </xf>
    <xf numFmtId="0" fontId="5" fillId="0" borderId="55" xfId="0" applyFont="1" applyBorder="1">
      <alignment vertical="center"/>
    </xf>
    <xf numFmtId="176" fontId="17" fillId="0" borderId="0" xfId="0" applyNumberFormat="1" applyFont="1">
      <alignment vertical="center"/>
    </xf>
    <xf numFmtId="0" fontId="11" fillId="3" borderId="0" xfId="0" applyFont="1" applyFill="1" applyAlignment="1">
      <alignment horizontal="center" vertical="center" wrapText="1"/>
    </xf>
    <xf numFmtId="176" fontId="5" fillId="0" borderId="13" xfId="0" applyNumberFormat="1" applyFont="1" applyBorder="1">
      <alignment vertical="center"/>
    </xf>
    <xf numFmtId="177" fontId="5" fillId="0" borderId="14" xfId="0" applyNumberFormat="1" applyFont="1" applyBorder="1" applyAlignment="1">
      <alignment horizontal="right" vertical="center"/>
    </xf>
    <xf numFmtId="176" fontId="5" fillId="0" borderId="15" xfId="0" applyNumberFormat="1" applyFont="1" applyBorder="1">
      <alignment vertical="center"/>
    </xf>
    <xf numFmtId="176" fontId="5" fillId="0" borderId="55" xfId="0" applyNumberFormat="1" applyFont="1" applyBorder="1">
      <alignment vertical="center"/>
    </xf>
    <xf numFmtId="179" fontId="5" fillId="0" borderId="0" xfId="0" applyNumberFormat="1" applyFont="1">
      <alignment vertical="center"/>
    </xf>
    <xf numFmtId="176" fontId="5" fillId="0" borderId="36" xfId="0" applyNumberFormat="1" applyFont="1" applyBorder="1">
      <alignment vertical="center"/>
    </xf>
    <xf numFmtId="177" fontId="5" fillId="0" borderId="18" xfId="0" applyNumberFormat="1" applyFont="1" applyBorder="1" applyAlignment="1">
      <alignment horizontal="right" vertical="center"/>
    </xf>
    <xf numFmtId="176" fontId="5" fillId="0" borderId="17" xfId="0" applyNumberFormat="1" applyFont="1" applyBorder="1">
      <alignment vertical="center"/>
    </xf>
    <xf numFmtId="176" fontId="5" fillId="0" borderId="38" xfId="0" applyNumberFormat="1" applyFont="1" applyBorder="1">
      <alignment vertical="center"/>
    </xf>
    <xf numFmtId="176" fontId="5" fillId="0" borderId="37" xfId="0" applyNumberFormat="1" applyFont="1" applyBorder="1">
      <alignment vertical="center"/>
    </xf>
    <xf numFmtId="177" fontId="5" fillId="0" borderId="35" xfId="0" applyNumberFormat="1" applyFont="1" applyBorder="1" applyAlignment="1">
      <alignment horizontal="right" vertical="center"/>
    </xf>
    <xf numFmtId="176" fontId="5" fillId="0" borderId="19" xfId="0" applyNumberFormat="1" applyFont="1" applyBorder="1">
      <alignment vertical="center"/>
    </xf>
    <xf numFmtId="177" fontId="5" fillId="0" borderId="61" xfId="0" applyNumberFormat="1" applyFont="1" applyBorder="1" applyAlignment="1">
      <alignment horizontal="right" vertical="center"/>
    </xf>
    <xf numFmtId="177" fontId="5" fillId="0" borderId="16" xfId="0" applyNumberFormat="1" applyFont="1" applyBorder="1" applyAlignment="1">
      <alignment horizontal="right" vertical="center"/>
    </xf>
    <xf numFmtId="177" fontId="5" fillId="0" borderId="20" xfId="0" applyNumberFormat="1" applyFont="1" applyBorder="1" applyAlignment="1">
      <alignment horizontal="right" vertical="center"/>
    </xf>
    <xf numFmtId="0" fontId="5" fillId="0" borderId="42" xfId="0" applyFont="1" applyBorder="1">
      <alignment vertical="center"/>
    </xf>
    <xf numFmtId="0" fontId="8" fillId="6" borderId="0" xfId="0" applyFont="1" applyFill="1" applyAlignment="1">
      <alignment horizontal="left" vertical="center"/>
    </xf>
    <xf numFmtId="38" fontId="8" fillId="6" borderId="0" xfId="0" applyNumberFormat="1" applyFont="1" applyFill="1">
      <alignment vertical="center"/>
    </xf>
    <xf numFmtId="179" fontId="5" fillId="0" borderId="0" xfId="0" applyNumberFormat="1" applyFont="1" applyBorder="1">
      <alignment vertical="center"/>
    </xf>
    <xf numFmtId="177" fontId="5" fillId="0" borderId="34" xfId="0" applyNumberFormat="1" applyFont="1" applyBorder="1" applyAlignment="1">
      <alignment horizontal="right" vertical="center"/>
    </xf>
    <xf numFmtId="0" fontId="11" fillId="3" borderId="0" xfId="0" applyFont="1" applyFill="1" applyBorder="1">
      <alignment vertical="center"/>
    </xf>
    <xf numFmtId="0" fontId="11" fillId="3" borderId="0" xfId="0" applyFont="1" applyFill="1" applyBorder="1" applyAlignment="1">
      <alignment horizontal="center" vertical="center"/>
    </xf>
    <xf numFmtId="38" fontId="8" fillId="6" borderId="0" xfId="0" applyNumberFormat="1" applyFont="1" applyFill="1" applyBorder="1">
      <alignment vertical="center"/>
    </xf>
    <xf numFmtId="38" fontId="5" fillId="0" borderId="0" xfId="0" applyNumberFormat="1" applyFont="1" applyBorder="1">
      <alignment vertical="center"/>
    </xf>
    <xf numFmtId="0" fontId="11" fillId="0" borderId="0" xfId="0" applyFont="1" applyAlignment="1">
      <alignment vertical="center" wrapText="1"/>
    </xf>
    <xf numFmtId="0" fontId="15" fillId="0" borderId="23" xfId="0" applyFont="1" applyBorder="1" applyAlignment="1">
      <alignment vertical="center" wrapText="1"/>
    </xf>
    <xf numFmtId="176" fontId="8" fillId="0" borderId="15" xfId="0" applyNumberFormat="1" applyFont="1" applyBorder="1">
      <alignment vertical="center"/>
    </xf>
    <xf numFmtId="177" fontId="8" fillId="0" borderId="16" xfId="0" applyNumberFormat="1" applyFont="1" applyBorder="1" applyAlignment="1">
      <alignment horizontal="right" vertical="center"/>
    </xf>
    <xf numFmtId="0" fontId="16" fillId="0" borderId="25" xfId="0" applyFont="1" applyBorder="1" applyAlignment="1">
      <alignment vertical="center" shrinkToFit="1"/>
    </xf>
    <xf numFmtId="0" fontId="16" fillId="0" borderId="25" xfId="0" applyFont="1" applyBorder="1">
      <alignment vertical="center"/>
    </xf>
    <xf numFmtId="0" fontId="15" fillId="4" borderId="5" xfId="0" applyFont="1" applyFill="1" applyBorder="1" applyAlignment="1">
      <alignment horizontal="left" vertical="center"/>
    </xf>
    <xf numFmtId="176" fontId="8" fillId="4" borderId="57" xfId="0" applyNumberFormat="1" applyFont="1" applyFill="1" applyBorder="1">
      <alignment vertical="center"/>
    </xf>
    <xf numFmtId="177" fontId="8" fillId="4" borderId="22" xfId="0" applyNumberFormat="1" applyFont="1" applyFill="1" applyBorder="1" applyAlignment="1">
      <alignment horizontal="right" vertical="center"/>
    </xf>
    <xf numFmtId="182" fontId="8" fillId="4" borderId="63" xfId="0" applyNumberFormat="1" applyFont="1" applyFill="1" applyBorder="1" applyAlignment="1">
      <alignment horizontal="right" vertical="center"/>
    </xf>
    <xf numFmtId="0" fontId="8" fillId="0" borderId="0" xfId="0" applyFont="1" applyBorder="1" applyAlignment="1">
      <alignment horizontal="left" vertical="center"/>
    </xf>
    <xf numFmtId="176" fontId="8" fillId="0" borderId="0" xfId="0" applyNumberFormat="1" applyFont="1" applyBorder="1">
      <alignment vertical="center"/>
    </xf>
    <xf numFmtId="177" fontId="8" fillId="0" borderId="0" xfId="0" applyNumberFormat="1" applyFont="1" applyBorder="1" applyAlignment="1">
      <alignment horizontal="right" vertical="center"/>
    </xf>
    <xf numFmtId="182" fontId="8" fillId="0" borderId="0" xfId="0" applyNumberFormat="1" applyFont="1" applyBorder="1" applyAlignment="1">
      <alignment horizontal="right" vertical="center"/>
    </xf>
    <xf numFmtId="0" fontId="15" fillId="4" borderId="5" xfId="0" applyFont="1" applyFill="1" applyBorder="1" applyAlignment="1">
      <alignment horizontal="center" vertical="center"/>
    </xf>
    <xf numFmtId="0" fontId="15" fillId="0" borderId="23" xfId="0" applyFont="1" applyBorder="1">
      <alignment vertical="center"/>
    </xf>
    <xf numFmtId="0" fontId="15" fillId="4" borderId="5" xfId="0" applyFont="1" applyFill="1" applyBorder="1">
      <alignment vertical="center"/>
    </xf>
    <xf numFmtId="0" fontId="13" fillId="0" borderId="10" xfId="0" applyFont="1" applyBorder="1" applyAlignment="1">
      <alignment horizontal="left" vertical="center" wrapText="1" indent="1"/>
    </xf>
    <xf numFmtId="0" fontId="13" fillId="0" borderId="11" xfId="0" applyFont="1" applyBorder="1" applyAlignment="1">
      <alignment horizontal="left" vertical="center" indent="1"/>
    </xf>
    <xf numFmtId="176" fontId="5" fillId="0" borderId="39" xfId="0" applyNumberFormat="1" applyFont="1" applyBorder="1">
      <alignment vertical="center"/>
    </xf>
    <xf numFmtId="0" fontId="13" fillId="0" borderId="12" xfId="0" applyFont="1" applyBorder="1" applyAlignment="1">
      <alignment horizontal="left" vertical="center" indent="1"/>
    </xf>
    <xf numFmtId="0" fontId="15" fillId="0" borderId="10" xfId="0" applyFont="1" applyBorder="1" applyAlignment="1">
      <alignment vertical="center" wrapText="1"/>
    </xf>
    <xf numFmtId="176" fontId="8" fillId="0" borderId="56" xfId="0" applyNumberFormat="1" applyFont="1" applyBorder="1">
      <alignment vertical="center"/>
    </xf>
    <xf numFmtId="177" fontId="8" fillId="0" borderId="14" xfId="0" applyNumberFormat="1" applyFont="1" applyBorder="1" applyAlignment="1">
      <alignment horizontal="right" vertical="center"/>
    </xf>
    <xf numFmtId="0" fontId="16" fillId="0" borderId="11" xfId="0" applyFont="1" applyBorder="1" applyAlignment="1">
      <alignment vertical="center" shrinkToFit="1"/>
    </xf>
    <xf numFmtId="176" fontId="5" fillId="0" borderId="50" xfId="0" applyNumberFormat="1" applyFont="1" applyBorder="1">
      <alignment vertical="center"/>
    </xf>
    <xf numFmtId="0" fontId="16" fillId="0" borderId="45" xfId="0" applyFont="1" applyBorder="1">
      <alignment vertical="center"/>
    </xf>
    <xf numFmtId="176" fontId="5" fillId="0" borderId="53" xfId="0" applyNumberFormat="1" applyFont="1" applyBorder="1">
      <alignment vertical="center"/>
    </xf>
    <xf numFmtId="0" fontId="8" fillId="4" borderId="5" xfId="0" applyFont="1" applyFill="1" applyBorder="1" applyAlignment="1">
      <alignment horizontal="left" vertical="center"/>
    </xf>
    <xf numFmtId="182" fontId="8" fillId="4" borderId="21" xfId="0" applyNumberFormat="1" applyFont="1" applyFill="1" applyBorder="1" applyAlignment="1">
      <alignment horizontal="right" vertical="center"/>
    </xf>
    <xf numFmtId="177" fontId="8" fillId="4" borderId="27" xfId="0" applyNumberFormat="1" applyFont="1" applyFill="1" applyBorder="1" applyAlignment="1">
      <alignment horizontal="right" vertical="center"/>
    </xf>
    <xf numFmtId="0" fontId="15" fillId="0" borderId="10" xfId="0" applyFont="1" applyBorder="1">
      <alignment vertical="center"/>
    </xf>
    <xf numFmtId="0" fontId="16" fillId="0" borderId="11" xfId="0" applyFont="1" applyBorder="1">
      <alignment vertical="center"/>
    </xf>
    <xf numFmtId="176" fontId="5" fillId="0" borderId="52" xfId="0" applyNumberFormat="1" applyFont="1" applyBorder="1">
      <alignment vertical="center"/>
    </xf>
    <xf numFmtId="176" fontId="5" fillId="0" borderId="58" xfId="0" applyNumberFormat="1" applyFont="1" applyBorder="1">
      <alignment vertical="center"/>
    </xf>
    <xf numFmtId="0" fontId="5" fillId="0" borderId="3" xfId="0" applyFont="1" applyBorder="1">
      <alignment vertical="center"/>
    </xf>
    <xf numFmtId="0" fontId="16" fillId="0" borderId="24" xfId="0" applyFont="1" applyBorder="1">
      <alignment vertical="center"/>
    </xf>
    <xf numFmtId="176" fontId="5" fillId="0" borderId="60" xfId="0" applyNumberFormat="1" applyFont="1" applyBorder="1">
      <alignment vertical="center"/>
    </xf>
    <xf numFmtId="177" fontId="5" fillId="0" borderId="64" xfId="0" applyNumberFormat="1" applyFont="1" applyBorder="1" applyAlignment="1">
      <alignment horizontal="right" vertical="center"/>
    </xf>
    <xf numFmtId="176" fontId="5" fillId="0" borderId="54" xfId="0" applyNumberFormat="1" applyFont="1" applyBorder="1">
      <alignment vertical="center"/>
    </xf>
    <xf numFmtId="176" fontId="5" fillId="0" borderId="51" xfId="0" applyNumberFormat="1" applyFont="1" applyBorder="1">
      <alignment vertical="center"/>
    </xf>
    <xf numFmtId="176" fontId="5" fillId="0" borderId="59" xfId="0" applyNumberFormat="1" applyFont="1" applyBorder="1">
      <alignment vertical="center"/>
    </xf>
    <xf numFmtId="179" fontId="5" fillId="0" borderId="4" xfId="0" applyNumberFormat="1" applyFont="1" applyBorder="1">
      <alignment vertical="center"/>
    </xf>
    <xf numFmtId="0" fontId="5" fillId="0" borderId="62" xfId="0" applyFont="1" applyBorder="1">
      <alignment vertical="center"/>
    </xf>
    <xf numFmtId="0" fontId="15" fillId="4" borderId="8" xfId="0" applyFont="1" applyFill="1" applyBorder="1" applyAlignment="1">
      <alignment horizontal="center" vertical="center"/>
    </xf>
    <xf numFmtId="0" fontId="16" fillId="0" borderId="10" xfId="0" applyFont="1" applyBorder="1" applyAlignment="1">
      <alignment horizontal="left" vertical="center" wrapText="1" indent="1"/>
    </xf>
    <xf numFmtId="0" fontId="16" fillId="0" borderId="11" xfId="0" applyFont="1" applyBorder="1" applyAlignment="1">
      <alignment horizontal="left" vertical="center" indent="1"/>
    </xf>
    <xf numFmtId="0" fontId="16" fillId="0" borderId="12" xfId="0" applyFont="1" applyBorder="1" applyAlignment="1">
      <alignment horizontal="left" vertical="center" indent="1"/>
    </xf>
    <xf numFmtId="0" fontId="15" fillId="4" borderId="26" xfId="0" applyFont="1" applyFill="1" applyBorder="1" applyAlignment="1">
      <alignment horizontal="center" vertical="center"/>
    </xf>
    <xf numFmtId="0" fontId="8" fillId="0" borderId="0" xfId="0" applyFont="1" applyFill="1" applyBorder="1" applyAlignment="1">
      <alignment horizontal="left" vertical="center"/>
    </xf>
    <xf numFmtId="38" fontId="8" fillId="0" borderId="0" xfId="0" applyNumberFormat="1" applyFont="1" applyFill="1" applyBorder="1">
      <alignment vertical="center"/>
    </xf>
    <xf numFmtId="177" fontId="8" fillId="0" borderId="0" xfId="1" applyNumberFormat="1" applyFont="1" applyFill="1" applyBorder="1">
      <alignment vertical="center"/>
    </xf>
    <xf numFmtId="0" fontId="5" fillId="0" borderId="0" xfId="0" applyFont="1" applyFill="1">
      <alignment vertical="center"/>
    </xf>
    <xf numFmtId="0" fontId="13" fillId="0" borderId="0" xfId="0" applyFont="1" applyBorder="1" applyAlignment="1">
      <alignment horizontal="left" vertical="center"/>
    </xf>
    <xf numFmtId="38" fontId="5" fillId="0" borderId="4" xfId="0" applyNumberFormat="1" applyFont="1" applyBorder="1">
      <alignment vertical="center"/>
    </xf>
    <xf numFmtId="0" fontId="5" fillId="0" borderId="0" xfId="0" applyFont="1" applyAlignment="1">
      <alignment horizontal="center" vertical="center"/>
    </xf>
    <xf numFmtId="0" fontId="8" fillId="0" borderId="0" xfId="0" applyFont="1" applyFill="1">
      <alignment vertical="center"/>
    </xf>
    <xf numFmtId="177" fontId="5" fillId="0" borderId="0" xfId="1" applyNumberFormat="1" applyFont="1">
      <alignment vertical="center"/>
    </xf>
    <xf numFmtId="177" fontId="5" fillId="8" borderId="0" xfId="1" applyNumberFormat="1" applyFont="1" applyFill="1">
      <alignment vertical="center"/>
    </xf>
    <xf numFmtId="38" fontId="5" fillId="0" borderId="0" xfId="7" applyFont="1">
      <alignment vertical="center"/>
    </xf>
    <xf numFmtId="177" fontId="8" fillId="8" borderId="0" xfId="1" applyNumberFormat="1" applyFont="1" applyFill="1">
      <alignment vertical="center"/>
    </xf>
    <xf numFmtId="0" fontId="5" fillId="8" borderId="0" xfId="0" applyFont="1" applyFill="1">
      <alignment vertical="center"/>
    </xf>
    <xf numFmtId="10" fontId="5" fillId="0" borderId="0" xfId="0" applyNumberFormat="1" applyFont="1">
      <alignment vertical="center"/>
    </xf>
    <xf numFmtId="0" fontId="5" fillId="7" borderId="0" xfId="0" applyFont="1" applyFill="1">
      <alignment vertical="center"/>
    </xf>
    <xf numFmtId="0" fontId="8" fillId="0" borderId="0" xfId="0" applyFont="1" applyAlignment="1">
      <alignment horizontal="center" vertical="center" wrapText="1"/>
    </xf>
    <xf numFmtId="0" fontId="8" fillId="8" borderId="0" xfId="0" applyFont="1" applyFill="1" applyBorder="1">
      <alignment vertical="center"/>
    </xf>
    <xf numFmtId="176" fontId="8" fillId="8" borderId="5" xfId="0" applyNumberFormat="1" applyFont="1" applyFill="1" applyBorder="1">
      <alignment vertical="center"/>
    </xf>
    <xf numFmtId="177" fontId="8" fillId="8" borderId="5" xfId="0" applyNumberFormat="1" applyFont="1" applyFill="1" applyBorder="1">
      <alignment vertical="center"/>
    </xf>
    <xf numFmtId="177" fontId="8" fillId="8" borderId="0" xfId="0" applyNumberFormat="1" applyFont="1" applyFill="1" applyBorder="1">
      <alignment vertical="center"/>
    </xf>
    <xf numFmtId="176" fontId="8" fillId="8" borderId="5" xfId="7" applyNumberFormat="1" applyFont="1" applyFill="1" applyBorder="1">
      <alignment vertical="center"/>
    </xf>
    <xf numFmtId="177" fontId="8" fillId="0" borderId="5" xfId="1" applyNumberFormat="1" applyFont="1" applyBorder="1">
      <alignment vertical="center"/>
    </xf>
    <xf numFmtId="0" fontId="5" fillId="0" borderId="0" xfId="0" applyFont="1" applyAlignment="1">
      <alignment horizontal="right" vertical="center"/>
    </xf>
    <xf numFmtId="0" fontId="13" fillId="8" borderId="42" xfId="0" applyFont="1" applyFill="1" applyBorder="1" applyAlignment="1">
      <alignment vertical="center"/>
    </xf>
    <xf numFmtId="0" fontId="12" fillId="0" borderId="6" xfId="0" applyFont="1" applyBorder="1" applyAlignment="1">
      <alignment vertical="center" wrapText="1"/>
    </xf>
    <xf numFmtId="182" fontId="5" fillId="0" borderId="55" xfId="0" applyNumberFormat="1" applyFont="1" applyBorder="1">
      <alignment vertical="center"/>
    </xf>
    <xf numFmtId="0" fontId="12" fillId="0" borderId="11" xfId="0" applyFont="1" applyBorder="1" applyAlignment="1">
      <alignment vertical="center" wrapText="1"/>
    </xf>
    <xf numFmtId="0" fontId="13" fillId="8" borderId="44" xfId="0" applyFont="1" applyFill="1" applyBorder="1" applyAlignment="1">
      <alignment vertical="center"/>
    </xf>
    <xf numFmtId="0" fontId="12" fillId="0" borderId="29" xfId="0" applyFont="1" applyBorder="1" applyAlignment="1">
      <alignment vertical="center" wrapText="1"/>
    </xf>
    <xf numFmtId="176" fontId="8" fillId="0" borderId="5" xfId="7" applyNumberFormat="1" applyFont="1" applyBorder="1">
      <alignment vertical="center"/>
    </xf>
    <xf numFmtId="177" fontId="8" fillId="0" borderId="0" xfId="1" applyNumberFormat="1" applyFont="1" applyBorder="1">
      <alignment vertical="center"/>
    </xf>
    <xf numFmtId="177" fontId="8" fillId="8" borderId="0" xfId="1" applyNumberFormat="1" applyFont="1" applyFill="1" applyBorder="1">
      <alignment vertical="center"/>
    </xf>
    <xf numFmtId="176" fontId="8" fillId="0" borderId="5" xfId="0" applyNumberFormat="1" applyFont="1" applyFill="1" applyBorder="1">
      <alignment vertical="center"/>
    </xf>
    <xf numFmtId="177" fontId="8" fillId="0" borderId="5" xfId="1" applyNumberFormat="1" applyFont="1" applyFill="1" applyBorder="1">
      <alignment vertical="center"/>
    </xf>
    <xf numFmtId="176" fontId="8" fillId="0" borderId="5" xfId="7" applyNumberFormat="1" applyFont="1" applyFill="1" applyBorder="1">
      <alignment vertical="center"/>
    </xf>
    <xf numFmtId="176" fontId="8" fillId="0" borderId="5" xfId="0" applyNumberFormat="1" applyFont="1" applyBorder="1">
      <alignment vertical="center"/>
    </xf>
    <xf numFmtId="0" fontId="5" fillId="0" borderId="0" xfId="0" applyFont="1" applyBorder="1" applyAlignment="1">
      <alignment horizontal="left" vertical="center" wrapText="1"/>
    </xf>
    <xf numFmtId="0" fontId="5" fillId="5" borderId="0" xfId="0" applyFont="1" applyFill="1" applyBorder="1" applyAlignment="1">
      <alignment horizontal="left" vertical="center" wrapText="1"/>
    </xf>
    <xf numFmtId="177" fontId="5" fillId="0" borderId="0" xfId="0" applyNumberFormat="1" applyFont="1" applyAlignment="1">
      <alignment horizontal="right" vertical="center" indent="1"/>
    </xf>
    <xf numFmtId="176" fontId="5" fillId="0" borderId="0" xfId="0" applyNumberFormat="1" applyFont="1" applyFill="1">
      <alignment vertical="center"/>
    </xf>
    <xf numFmtId="177" fontId="5" fillId="0" borderId="0" xfId="1" applyNumberFormat="1" applyFont="1" applyFill="1">
      <alignment vertical="center"/>
    </xf>
    <xf numFmtId="176" fontId="5" fillId="7" borderId="0" xfId="0" applyNumberFormat="1" applyFont="1" applyFill="1">
      <alignment vertical="center"/>
    </xf>
    <xf numFmtId="177" fontId="5" fillId="7" borderId="0" xfId="1" applyNumberFormat="1" applyFont="1" applyFill="1">
      <alignment vertical="center"/>
    </xf>
    <xf numFmtId="176" fontId="5" fillId="0" borderId="0" xfId="0" applyNumberFormat="1" applyFont="1" applyFill="1" applyBorder="1">
      <alignment vertical="center"/>
    </xf>
    <xf numFmtId="176" fontId="8" fillId="0" borderId="0" xfId="0" applyNumberFormat="1" applyFont="1" applyFill="1" applyBorder="1" applyAlignment="1">
      <alignment horizontal="right" vertical="center"/>
    </xf>
    <xf numFmtId="177" fontId="8" fillId="0" borderId="0" xfId="1" applyNumberFormat="1" applyFont="1" applyFill="1" applyBorder="1" applyAlignment="1">
      <alignment horizontal="right" vertical="center"/>
    </xf>
    <xf numFmtId="0" fontId="5" fillId="0" borderId="0" xfId="0" applyFont="1" applyFill="1" applyAlignment="1">
      <alignment horizontal="left" vertical="center"/>
    </xf>
    <xf numFmtId="38" fontId="5" fillId="0" borderId="0" xfId="0" applyNumberFormat="1" applyFont="1" applyFill="1">
      <alignment vertical="center"/>
    </xf>
    <xf numFmtId="0" fontId="5" fillId="0" borderId="0" xfId="0" applyFont="1" applyBorder="1" applyAlignment="1">
      <alignment horizontal="center" vertical="center"/>
    </xf>
    <xf numFmtId="176" fontId="5" fillId="0" borderId="0" xfId="0" applyNumberFormat="1" applyFont="1" applyFill="1" applyBorder="1" applyAlignment="1">
      <alignment horizontal="right" vertical="center"/>
    </xf>
    <xf numFmtId="177" fontId="5" fillId="0" borderId="0" xfId="0" applyNumberFormat="1" applyFont="1" applyFill="1" applyBorder="1" applyAlignment="1">
      <alignment horizontal="right" vertical="center"/>
    </xf>
    <xf numFmtId="0" fontId="5" fillId="0" borderId="0" xfId="0" applyFont="1" applyBorder="1" applyAlignment="1">
      <alignment horizontal="right" vertical="center" wrapText="1"/>
    </xf>
    <xf numFmtId="0" fontId="5" fillId="5" borderId="0" xfId="0" applyFont="1" applyFill="1" applyBorder="1" applyAlignment="1">
      <alignment horizontal="right" vertical="center" wrapText="1"/>
    </xf>
    <xf numFmtId="0" fontId="5" fillId="0" borderId="0" xfId="0" applyFont="1" applyBorder="1" applyAlignment="1">
      <alignment horizontal="right" vertical="center"/>
    </xf>
    <xf numFmtId="0" fontId="8" fillId="6" borderId="30" xfId="0" applyFont="1" applyFill="1" applyBorder="1" applyAlignment="1">
      <alignment horizontal="center" vertical="center" wrapText="1"/>
    </xf>
    <xf numFmtId="0" fontId="8" fillId="6" borderId="31" xfId="0" applyFont="1" applyFill="1" applyBorder="1" applyAlignment="1">
      <alignment horizontal="left" vertical="center"/>
    </xf>
    <xf numFmtId="176" fontId="8" fillId="6" borderId="31" xfId="0" applyNumberFormat="1" applyFont="1" applyFill="1" applyBorder="1">
      <alignment vertical="center"/>
    </xf>
    <xf numFmtId="10" fontId="8" fillId="6" borderId="31" xfId="0" applyNumberFormat="1" applyFont="1" applyFill="1" applyBorder="1" applyAlignment="1">
      <alignment horizontal="right" vertical="center" indent="1"/>
    </xf>
    <xf numFmtId="0" fontId="18" fillId="0" borderId="0" xfId="0" applyFont="1">
      <alignment vertical="center"/>
    </xf>
    <xf numFmtId="38" fontId="5" fillId="0" borderId="0" xfId="0" applyNumberFormat="1" applyFont="1" applyFill="1" applyBorder="1">
      <alignment vertical="center"/>
    </xf>
    <xf numFmtId="0" fontId="5" fillId="0" borderId="32" xfId="0" applyFont="1" applyBorder="1">
      <alignment vertical="center"/>
    </xf>
    <xf numFmtId="0" fontId="5" fillId="0" borderId="32" xfId="0" applyFont="1" applyBorder="1" applyAlignment="1">
      <alignment horizontal="left" vertical="center"/>
    </xf>
    <xf numFmtId="38" fontId="5" fillId="0" borderId="32" xfId="0" applyNumberFormat="1" applyFont="1" applyBorder="1">
      <alignment vertical="center"/>
    </xf>
    <xf numFmtId="0" fontId="5" fillId="0" borderId="33" xfId="0" applyFont="1" applyBorder="1">
      <alignment vertical="center"/>
    </xf>
    <xf numFmtId="0" fontId="5" fillId="0" borderId="33" xfId="0" applyFont="1" applyBorder="1" applyAlignment="1">
      <alignment horizontal="left" vertical="center"/>
    </xf>
    <xf numFmtId="38" fontId="5" fillId="0" borderId="33" xfId="0" applyNumberFormat="1" applyFont="1" applyBorder="1">
      <alignment vertical="center"/>
    </xf>
    <xf numFmtId="0" fontId="5" fillId="0" borderId="0" xfId="0" applyFont="1" applyFill="1" applyBorder="1" applyAlignment="1">
      <alignment horizontal="left" vertical="center"/>
    </xf>
    <xf numFmtId="10" fontId="5" fillId="0" borderId="0" xfId="0" applyNumberFormat="1" applyFont="1" applyBorder="1">
      <alignment vertical="center"/>
    </xf>
    <xf numFmtId="10" fontId="8" fillId="6" borderId="0" xfId="0" applyNumberFormat="1" applyFont="1" applyFill="1" applyBorder="1">
      <alignment vertical="center"/>
    </xf>
    <xf numFmtId="176" fontId="8" fillId="0" borderId="15" xfId="0" applyNumberFormat="1" applyFont="1" applyBorder="1" applyAlignment="1">
      <alignment vertical="center" shrinkToFit="1"/>
    </xf>
    <xf numFmtId="177" fontId="8" fillId="0" borderId="14" xfId="0" applyNumberFormat="1" applyFont="1" applyBorder="1" applyAlignment="1">
      <alignment horizontal="right" vertical="center" shrinkToFit="1"/>
    </xf>
    <xf numFmtId="177" fontId="8" fillId="0" borderId="16" xfId="0" applyNumberFormat="1" applyFont="1" applyBorder="1" applyAlignment="1">
      <alignment horizontal="right" vertical="center" shrinkToFit="1"/>
    </xf>
    <xf numFmtId="176" fontId="5" fillId="0" borderId="17" xfId="0" applyNumberFormat="1" applyFont="1" applyBorder="1" applyAlignment="1">
      <alignment vertical="center" shrinkToFit="1"/>
    </xf>
    <xf numFmtId="177" fontId="5" fillId="0" borderId="18" xfId="0" applyNumberFormat="1" applyFont="1" applyBorder="1" applyAlignment="1">
      <alignment horizontal="right" vertical="center" shrinkToFit="1"/>
    </xf>
    <xf numFmtId="177" fontId="5" fillId="0" borderId="61" xfId="0" applyNumberFormat="1" applyFont="1" applyBorder="1" applyAlignment="1">
      <alignment horizontal="right" vertical="center" shrinkToFit="1"/>
    </xf>
    <xf numFmtId="176" fontId="5" fillId="0" borderId="19" xfId="0" applyNumberFormat="1" applyFont="1" applyBorder="1" applyAlignment="1">
      <alignment vertical="center" shrinkToFit="1"/>
    </xf>
    <xf numFmtId="177" fontId="5" fillId="0" borderId="34" xfId="0" applyNumberFormat="1" applyFont="1" applyBorder="1" applyAlignment="1">
      <alignment horizontal="right" vertical="center" shrinkToFit="1"/>
    </xf>
    <xf numFmtId="177" fontId="5" fillId="0" borderId="20" xfId="0" applyNumberFormat="1" applyFont="1" applyBorder="1" applyAlignment="1">
      <alignment horizontal="right" vertical="center" shrinkToFit="1"/>
    </xf>
    <xf numFmtId="176" fontId="8" fillId="4" borderId="57" xfId="0" applyNumberFormat="1" applyFont="1" applyFill="1" applyBorder="1" applyAlignment="1">
      <alignment vertical="center" shrinkToFit="1"/>
    </xf>
    <xf numFmtId="177" fontId="8" fillId="4" borderId="22" xfId="0" applyNumberFormat="1" applyFont="1" applyFill="1" applyBorder="1" applyAlignment="1">
      <alignment horizontal="right" vertical="center" shrinkToFit="1"/>
    </xf>
    <xf numFmtId="182" fontId="8" fillId="4" borderId="63" xfId="0" applyNumberFormat="1" applyFont="1" applyFill="1" applyBorder="1" applyAlignment="1">
      <alignment horizontal="right" vertical="center" shrinkToFit="1"/>
    </xf>
    <xf numFmtId="176" fontId="8" fillId="0" borderId="0" xfId="0" applyNumberFormat="1" applyFont="1" applyBorder="1" applyAlignment="1">
      <alignment vertical="center" shrinkToFit="1"/>
    </xf>
    <xf numFmtId="177" fontId="8" fillId="0" borderId="0" xfId="0" applyNumberFormat="1" applyFont="1" applyBorder="1" applyAlignment="1">
      <alignment horizontal="right" vertical="center" shrinkToFit="1"/>
    </xf>
    <xf numFmtId="182" fontId="8" fillId="0" borderId="0" xfId="0" applyNumberFormat="1" applyFont="1" applyBorder="1" applyAlignment="1">
      <alignment horizontal="right" vertical="center" shrinkToFit="1"/>
    </xf>
    <xf numFmtId="176" fontId="5" fillId="4" borderId="26" xfId="0" applyNumberFormat="1" applyFont="1" applyFill="1" applyBorder="1" applyAlignment="1">
      <alignment vertical="center" shrinkToFit="1"/>
    </xf>
    <xf numFmtId="176" fontId="5" fillId="4" borderId="28" xfId="0" applyNumberFormat="1" applyFont="1" applyFill="1" applyBorder="1" applyAlignment="1">
      <alignment vertical="center" shrinkToFit="1"/>
    </xf>
    <xf numFmtId="176" fontId="5" fillId="4" borderId="27" xfId="0" applyNumberFormat="1" applyFont="1" applyFill="1" applyBorder="1" applyAlignment="1">
      <alignment vertical="center" shrinkToFit="1"/>
    </xf>
    <xf numFmtId="176" fontId="5" fillId="0" borderId="15" xfId="0" applyNumberFormat="1" applyFont="1" applyBorder="1" applyAlignment="1">
      <alignment vertical="center" shrinkToFit="1"/>
    </xf>
    <xf numFmtId="177" fontId="5" fillId="0" borderId="14" xfId="0" applyNumberFormat="1" applyFont="1" applyBorder="1" applyAlignment="1">
      <alignment horizontal="right" vertical="center" shrinkToFit="1"/>
    </xf>
    <xf numFmtId="177" fontId="5" fillId="0" borderId="35" xfId="0" applyNumberFormat="1" applyFont="1" applyBorder="1" applyAlignment="1">
      <alignment horizontal="right" vertical="center" shrinkToFit="1"/>
    </xf>
    <xf numFmtId="0" fontId="5" fillId="0" borderId="0" xfId="0" applyFont="1" applyAlignment="1">
      <alignment vertical="center" shrinkToFit="1"/>
    </xf>
    <xf numFmtId="0" fontId="5" fillId="0" borderId="0" xfId="0" applyFont="1" applyBorder="1" applyAlignment="1">
      <alignment vertical="center" shrinkToFit="1"/>
    </xf>
    <xf numFmtId="0" fontId="5" fillId="0" borderId="10" xfId="0" applyFont="1" applyBorder="1" applyAlignment="1">
      <alignment vertical="center" shrinkToFit="1"/>
    </xf>
    <xf numFmtId="176" fontId="5" fillId="0" borderId="13" xfId="0" applyNumberFormat="1" applyFont="1" applyBorder="1" applyAlignment="1">
      <alignment vertical="center" shrinkToFit="1"/>
    </xf>
    <xf numFmtId="0" fontId="5" fillId="0" borderId="11" xfId="0" applyFont="1" applyBorder="1" applyAlignment="1">
      <alignment vertical="center" shrinkToFit="1"/>
    </xf>
    <xf numFmtId="176" fontId="5" fillId="0" borderId="36" xfId="0" applyNumberFormat="1" applyFont="1" applyBorder="1" applyAlignment="1">
      <alignment vertical="center" shrinkToFit="1"/>
    </xf>
    <xf numFmtId="176" fontId="5" fillId="0" borderId="38" xfId="0" applyNumberFormat="1" applyFont="1" applyBorder="1" applyAlignment="1">
      <alignment vertical="center" shrinkToFit="1"/>
    </xf>
    <xf numFmtId="0" fontId="5" fillId="0" borderId="12" xfId="0" applyFont="1" applyBorder="1" applyAlignment="1">
      <alignment vertical="center" shrinkToFit="1"/>
    </xf>
    <xf numFmtId="176" fontId="5" fillId="0" borderId="37" xfId="0" applyNumberFormat="1" applyFont="1" applyBorder="1" applyAlignment="1">
      <alignment vertical="center" shrinkToFit="1"/>
    </xf>
    <xf numFmtId="0" fontId="8" fillId="4" borderId="5" xfId="0" applyFont="1" applyFill="1" applyBorder="1" applyAlignment="1">
      <alignment vertical="center" shrinkToFit="1"/>
    </xf>
    <xf numFmtId="176" fontId="8" fillId="4" borderId="21" xfId="0" applyNumberFormat="1" applyFont="1" applyFill="1" applyBorder="1" applyAlignment="1">
      <alignment vertical="center" shrinkToFit="1"/>
    </xf>
    <xf numFmtId="177" fontId="8" fillId="9" borderId="22" xfId="0" applyNumberFormat="1" applyFont="1" applyFill="1" applyBorder="1" applyAlignment="1">
      <alignment horizontal="right" vertical="center" shrinkToFit="1"/>
    </xf>
    <xf numFmtId="0" fontId="13" fillId="0" borderId="26" xfId="0" applyFont="1" applyFill="1" applyBorder="1" applyAlignment="1">
      <alignment vertical="center" shrinkToFit="1"/>
    </xf>
    <xf numFmtId="176" fontId="5" fillId="0" borderId="21" xfId="0" applyNumberFormat="1" applyFont="1" applyFill="1" applyBorder="1" applyAlignment="1">
      <alignment vertical="center" shrinkToFit="1"/>
    </xf>
    <xf numFmtId="0" fontId="13" fillId="0" borderId="5" xfId="0" applyFont="1" applyFill="1" applyBorder="1" applyAlignment="1">
      <alignment vertical="center" shrinkToFit="1"/>
    </xf>
    <xf numFmtId="177" fontId="5" fillId="0" borderId="22" xfId="0" applyNumberFormat="1" applyFont="1" applyBorder="1" applyAlignment="1">
      <alignment horizontal="right" vertical="center" shrinkToFit="1"/>
    </xf>
    <xf numFmtId="177" fontId="5" fillId="0" borderId="16" xfId="0" applyNumberFormat="1" applyFont="1" applyBorder="1" applyAlignment="1">
      <alignment horizontal="right" vertical="center" shrinkToFit="1"/>
    </xf>
    <xf numFmtId="177" fontId="8" fillId="9" borderId="61" xfId="0" applyNumberFormat="1" applyFont="1" applyFill="1" applyBorder="1" applyAlignment="1">
      <alignment horizontal="right" vertical="center" shrinkToFit="1"/>
    </xf>
    <xf numFmtId="177" fontId="8" fillId="4" borderId="16" xfId="0" applyNumberFormat="1" applyFont="1" applyFill="1" applyBorder="1" applyAlignment="1">
      <alignment horizontal="right" vertical="center" shrinkToFit="1"/>
    </xf>
    <xf numFmtId="177" fontId="8" fillId="9" borderId="64" xfId="0" applyNumberFormat="1" applyFont="1" applyFill="1" applyBorder="1" applyAlignment="1">
      <alignment horizontal="right" vertical="center" shrinkToFit="1"/>
    </xf>
    <xf numFmtId="177" fontId="8" fillId="9" borderId="14" xfId="0" applyNumberFormat="1" applyFont="1" applyFill="1" applyBorder="1" applyAlignment="1">
      <alignment horizontal="right" vertical="center" shrinkToFit="1"/>
    </xf>
    <xf numFmtId="0" fontId="13" fillId="0" borderId="26" xfId="0" applyFont="1" applyBorder="1" applyAlignment="1">
      <alignment vertical="center" shrinkToFit="1"/>
    </xf>
    <xf numFmtId="176" fontId="5" fillId="0" borderId="21" xfId="0" applyNumberFormat="1" applyFont="1" applyBorder="1" applyAlignment="1">
      <alignment vertical="center" shrinkToFit="1"/>
    </xf>
    <xf numFmtId="0" fontId="13" fillId="0" borderId="5" xfId="0" applyFont="1" applyBorder="1" applyAlignment="1">
      <alignment vertical="center" shrinkToFit="1"/>
    </xf>
    <xf numFmtId="0" fontId="8" fillId="2" borderId="66" xfId="0" applyFont="1" applyFill="1" applyBorder="1" applyAlignment="1">
      <alignment horizontal="center" vertical="center"/>
    </xf>
    <xf numFmtId="0" fontId="8" fillId="2" borderId="67" xfId="0" applyFont="1" applyFill="1" applyBorder="1" applyAlignment="1">
      <alignment horizontal="center" vertical="center"/>
    </xf>
    <xf numFmtId="0" fontId="5" fillId="0" borderId="68" xfId="0" applyFont="1" applyBorder="1">
      <alignment vertical="center"/>
    </xf>
    <xf numFmtId="0" fontId="5" fillId="0" borderId="69" xfId="0" applyFont="1" applyBorder="1">
      <alignment vertical="center"/>
    </xf>
    <xf numFmtId="0" fontId="8" fillId="2" borderId="71" xfId="0" applyFont="1" applyFill="1" applyBorder="1" applyAlignment="1">
      <alignment horizontal="left" vertical="center" indent="1"/>
    </xf>
    <xf numFmtId="0" fontId="5" fillId="0" borderId="72" xfId="0" applyFont="1" applyBorder="1" applyAlignment="1">
      <alignment horizontal="left" vertical="center" indent="1"/>
    </xf>
    <xf numFmtId="0" fontId="5" fillId="0" borderId="73" xfId="0" applyFont="1" applyBorder="1" applyAlignment="1">
      <alignment horizontal="left" vertical="center" indent="1"/>
    </xf>
    <xf numFmtId="0" fontId="5" fillId="0" borderId="74" xfId="0" applyFont="1" applyBorder="1" applyAlignment="1">
      <alignment horizontal="left" vertical="center" wrapText="1" indent="1"/>
    </xf>
    <xf numFmtId="0" fontId="8" fillId="2" borderId="5" xfId="0" applyFont="1" applyFill="1" applyBorder="1" applyAlignment="1">
      <alignment horizontal="center" vertical="center"/>
    </xf>
    <xf numFmtId="176" fontId="5" fillId="0" borderId="5" xfId="0" applyNumberFormat="1" applyFont="1" applyBorder="1" applyAlignment="1">
      <alignment horizontal="right" vertical="center"/>
    </xf>
    <xf numFmtId="177" fontId="5" fillId="0" borderId="5" xfId="0" applyNumberFormat="1" applyFont="1" applyBorder="1" applyAlignment="1">
      <alignment vertical="center"/>
    </xf>
    <xf numFmtId="176" fontId="5" fillId="0" borderId="5" xfId="0" applyNumberFormat="1" applyFont="1" applyBorder="1">
      <alignment vertical="center"/>
    </xf>
    <xf numFmtId="176" fontId="8" fillId="2" borderId="5" xfId="0" applyNumberFormat="1" applyFont="1" applyFill="1" applyBorder="1" applyAlignment="1">
      <alignment horizontal="right" vertical="center"/>
    </xf>
    <xf numFmtId="177" fontId="8" fillId="2" borderId="5" xfId="1" applyNumberFormat="1" applyFont="1" applyFill="1" applyBorder="1" applyAlignment="1">
      <alignment horizontal="right" vertical="center"/>
    </xf>
    <xf numFmtId="178" fontId="5" fillId="0" borderId="10" xfId="0" applyNumberFormat="1" applyFont="1" applyBorder="1">
      <alignment vertical="center"/>
    </xf>
    <xf numFmtId="180" fontId="5" fillId="0" borderId="10" xfId="1" applyNumberFormat="1" applyFont="1" applyBorder="1" applyAlignment="1">
      <alignment horizontal="right" vertical="center"/>
    </xf>
    <xf numFmtId="178" fontId="5" fillId="0" borderId="11" xfId="0" applyNumberFormat="1" applyFont="1" applyBorder="1">
      <alignment vertical="center"/>
    </xf>
    <xf numFmtId="180" fontId="5" fillId="0" borderId="11" xfId="1" applyNumberFormat="1" applyFont="1" applyBorder="1" applyAlignment="1">
      <alignment horizontal="right" vertical="center"/>
    </xf>
    <xf numFmtId="178" fontId="5" fillId="0" borderId="12" xfId="0" applyNumberFormat="1" applyFont="1" applyBorder="1">
      <alignment vertical="center"/>
    </xf>
    <xf numFmtId="180" fontId="5" fillId="0" borderId="12" xfId="1" applyNumberFormat="1" applyFont="1" applyBorder="1" applyAlignment="1">
      <alignment horizontal="right" vertical="center"/>
    </xf>
    <xf numFmtId="0" fontId="8" fillId="2" borderId="26" xfId="0" applyFont="1" applyFill="1" applyBorder="1" applyAlignment="1">
      <alignment horizontal="center" vertical="center"/>
    </xf>
    <xf numFmtId="0" fontId="8" fillId="2" borderId="28" xfId="0" applyFont="1" applyFill="1" applyBorder="1" applyAlignment="1">
      <alignment horizontal="center" vertical="center"/>
    </xf>
    <xf numFmtId="0" fontId="8" fillId="2" borderId="26" xfId="0" applyFont="1" applyFill="1" applyBorder="1" applyAlignment="1">
      <alignment horizontal="left" vertical="center" indent="1"/>
    </xf>
    <xf numFmtId="0" fontId="8" fillId="2" borderId="28" xfId="0" applyFont="1" applyFill="1" applyBorder="1" applyAlignment="1">
      <alignment horizontal="left" vertical="center" indent="1"/>
    </xf>
    <xf numFmtId="0" fontId="5" fillId="0" borderId="75" xfId="0" applyFont="1" applyBorder="1" applyAlignment="1">
      <alignment horizontal="left" vertical="center" indent="1"/>
    </xf>
    <xf numFmtId="0" fontId="19" fillId="0" borderId="76" xfId="0" applyFont="1" applyBorder="1" applyAlignment="1">
      <alignment horizontal="left" vertical="center" wrapText="1" indent="1"/>
    </xf>
    <xf numFmtId="178" fontId="5" fillId="0" borderId="77" xfId="0" applyNumberFormat="1" applyFont="1" applyBorder="1">
      <alignment vertical="center"/>
    </xf>
    <xf numFmtId="178" fontId="5" fillId="0" borderId="77" xfId="0" applyNumberFormat="1" applyFont="1" applyBorder="1" applyAlignment="1">
      <alignment horizontal="right" vertical="center"/>
    </xf>
    <xf numFmtId="180" fontId="5" fillId="0" borderId="77" xfId="1" applyNumberFormat="1" applyFont="1" applyBorder="1" applyAlignment="1">
      <alignment horizontal="right" vertical="center"/>
    </xf>
    <xf numFmtId="178" fontId="5" fillId="0" borderId="78" xfId="0" applyNumberFormat="1" applyFont="1" applyBorder="1">
      <alignment vertical="center"/>
    </xf>
    <xf numFmtId="178" fontId="5" fillId="0" borderId="78" xfId="0" applyNumberFormat="1" applyFont="1" applyBorder="1" applyAlignment="1">
      <alignment horizontal="right" vertical="center"/>
    </xf>
    <xf numFmtId="180" fontId="5" fillId="0" borderId="78" xfId="1" applyNumberFormat="1" applyFont="1" applyBorder="1" applyAlignment="1">
      <alignment horizontal="right" vertical="center"/>
    </xf>
    <xf numFmtId="178" fontId="5" fillId="0" borderId="79" xfId="0" applyNumberFormat="1" applyFont="1" applyBorder="1">
      <alignment vertical="center"/>
    </xf>
    <xf numFmtId="178" fontId="5" fillId="0" borderId="79" xfId="0" applyNumberFormat="1" applyFont="1" applyBorder="1" applyAlignment="1">
      <alignment horizontal="right" vertical="center"/>
    </xf>
    <xf numFmtId="180" fontId="5" fillId="0" borderId="79" xfId="1" applyNumberFormat="1" applyFont="1" applyBorder="1" applyAlignment="1">
      <alignment horizontal="right" vertical="center"/>
    </xf>
    <xf numFmtId="0" fontId="5" fillId="0" borderId="80" xfId="0" applyFont="1" applyBorder="1">
      <alignment vertical="center"/>
    </xf>
    <xf numFmtId="0" fontId="5" fillId="0" borderId="5" xfId="0" applyFont="1" applyBorder="1" applyAlignment="1">
      <alignment vertical="center"/>
    </xf>
    <xf numFmtId="38" fontId="5" fillId="0" borderId="5" xfId="7" applyFont="1" applyBorder="1">
      <alignment vertical="center"/>
    </xf>
    <xf numFmtId="0" fontId="13" fillId="0" borderId="5" xfId="0" applyFont="1" applyFill="1" applyBorder="1" applyAlignment="1">
      <alignment horizontal="left" vertical="center" wrapText="1"/>
    </xf>
    <xf numFmtId="38" fontId="5" fillId="0" borderId="43" xfId="0" applyNumberFormat="1" applyFont="1" applyFill="1" applyBorder="1">
      <alignment vertical="center"/>
    </xf>
    <xf numFmtId="38" fontId="5" fillId="0" borderId="49" xfId="7" applyFont="1" applyFill="1" applyBorder="1" applyAlignment="1">
      <alignment horizontal="right" vertical="center"/>
    </xf>
    <xf numFmtId="0" fontId="13" fillId="0" borderId="5" xfId="0" applyFont="1" applyFill="1" applyBorder="1" applyAlignment="1">
      <alignment horizontal="left" vertical="center"/>
    </xf>
    <xf numFmtId="38" fontId="5" fillId="0" borderId="49" xfId="0" applyNumberFormat="1" applyFont="1" applyFill="1" applyBorder="1">
      <alignment vertical="center"/>
    </xf>
    <xf numFmtId="38" fontId="5" fillId="0" borderId="43" xfId="0" applyNumberFormat="1" applyFont="1" applyBorder="1">
      <alignment vertical="center"/>
    </xf>
    <xf numFmtId="0" fontId="13" fillId="0" borderId="5" xfId="0" applyFont="1" applyBorder="1" applyAlignment="1">
      <alignment horizontal="left" vertical="center" wrapText="1"/>
    </xf>
    <xf numFmtId="38" fontId="5" fillId="0" borderId="49" xfId="0" applyNumberFormat="1" applyFont="1" applyBorder="1">
      <alignment vertical="center"/>
    </xf>
    <xf numFmtId="0" fontId="13" fillId="0" borderId="5" xfId="0" applyFont="1" applyBorder="1" applyAlignment="1">
      <alignment horizontal="left" vertical="center"/>
    </xf>
    <xf numFmtId="38" fontId="5" fillId="0" borderId="28" xfId="0" applyNumberFormat="1" applyFont="1" applyBorder="1">
      <alignment vertical="center"/>
    </xf>
    <xf numFmtId="0" fontId="5" fillId="0" borderId="26" xfId="0" applyFont="1" applyBorder="1" applyAlignment="1">
      <alignment horizontal="left" vertical="center"/>
    </xf>
    <xf numFmtId="0" fontId="5" fillId="0" borderId="5" xfId="0" applyFont="1" applyBorder="1" applyAlignment="1">
      <alignment horizontal="left" vertical="center"/>
    </xf>
    <xf numFmtId="176" fontId="5" fillId="0" borderId="5" xfId="7" applyNumberFormat="1" applyFont="1" applyBorder="1">
      <alignment vertical="center"/>
    </xf>
    <xf numFmtId="177" fontId="5" fillId="0" borderId="5" xfId="0" applyNumberFormat="1" applyFont="1" applyBorder="1" applyAlignment="1">
      <alignment horizontal="right" vertical="center"/>
    </xf>
    <xf numFmtId="0" fontId="8" fillId="2" borderId="5" xfId="0" applyFont="1" applyFill="1" applyBorder="1" applyAlignment="1">
      <alignment horizontal="left" vertical="center" indent="1"/>
    </xf>
    <xf numFmtId="0" fontId="5" fillId="0" borderId="5" xfId="0" applyFont="1" applyBorder="1">
      <alignment vertical="center"/>
    </xf>
    <xf numFmtId="176" fontId="5" fillId="0" borderId="5" xfId="7" applyNumberFormat="1" applyFont="1" applyBorder="1" applyAlignment="1">
      <alignment horizontal="right" vertical="center"/>
    </xf>
    <xf numFmtId="38" fontId="5" fillId="0" borderId="5" xfId="0" applyNumberFormat="1" applyFont="1" applyBorder="1">
      <alignment vertical="center"/>
    </xf>
    <xf numFmtId="0" fontId="8" fillId="2" borderId="5" xfId="0" applyFont="1" applyFill="1" applyBorder="1" applyAlignment="1">
      <alignment horizontal="right" vertical="center"/>
    </xf>
    <xf numFmtId="0" fontId="8" fillId="2" borderId="5" xfId="0" applyFont="1" applyFill="1" applyBorder="1">
      <alignment vertical="center"/>
    </xf>
    <xf numFmtId="0" fontId="5" fillId="0" borderId="5" xfId="0" applyFont="1" applyBorder="1" applyAlignment="1">
      <alignment vertical="center" wrapText="1"/>
    </xf>
    <xf numFmtId="176" fontId="5" fillId="0" borderId="5" xfId="0" applyNumberFormat="1" applyFont="1" applyBorder="1" applyAlignment="1">
      <alignment vertical="center"/>
    </xf>
    <xf numFmtId="0" fontId="5" fillId="0" borderId="5" xfId="0" applyFont="1" applyFill="1" applyBorder="1" applyAlignment="1">
      <alignment vertical="center" wrapText="1"/>
    </xf>
    <xf numFmtId="38" fontId="5" fillId="0" borderId="5" xfId="0" applyNumberFormat="1" applyFont="1" applyFill="1" applyBorder="1">
      <alignment vertical="center"/>
    </xf>
    <xf numFmtId="177" fontId="5" fillId="0" borderId="5" xfId="0" applyNumberFormat="1" applyFont="1" applyFill="1" applyBorder="1" applyAlignment="1">
      <alignment horizontal="right" vertical="center"/>
    </xf>
    <xf numFmtId="0" fontId="5" fillId="0" borderId="5" xfId="0" applyFont="1" applyFill="1" applyBorder="1">
      <alignment vertical="center"/>
    </xf>
    <xf numFmtId="179" fontId="5" fillId="0" borderId="5" xfId="0" applyNumberFormat="1" applyFont="1" applyBorder="1">
      <alignment vertical="center"/>
    </xf>
    <xf numFmtId="0" fontId="8" fillId="10" borderId="5" xfId="0" applyFont="1" applyFill="1" applyBorder="1" applyAlignment="1">
      <alignment horizontal="center" vertical="center"/>
    </xf>
    <xf numFmtId="0" fontId="15" fillId="10" borderId="5" xfId="0" applyFont="1" applyFill="1" applyBorder="1" applyAlignment="1">
      <alignment horizontal="center" vertical="center"/>
    </xf>
    <xf numFmtId="0" fontId="8" fillId="10" borderId="5" xfId="0" applyFont="1" applyFill="1" applyBorder="1" applyAlignment="1">
      <alignment horizontal="left" vertical="center" indent="1"/>
    </xf>
    <xf numFmtId="176" fontId="8" fillId="10" borderId="5" xfId="0" applyNumberFormat="1" applyFont="1" applyFill="1" applyBorder="1" applyAlignment="1">
      <alignment horizontal="right" vertical="center"/>
    </xf>
    <xf numFmtId="177" fontId="8" fillId="10" borderId="5" xfId="1" applyNumberFormat="1" applyFont="1" applyFill="1" applyBorder="1" applyAlignment="1">
      <alignment horizontal="right" vertical="center"/>
    </xf>
    <xf numFmtId="0" fontId="8" fillId="10" borderId="66" xfId="0" applyFont="1" applyFill="1" applyBorder="1" applyAlignment="1">
      <alignment horizontal="center" vertical="center"/>
    </xf>
    <xf numFmtId="0" fontId="8" fillId="10" borderId="67" xfId="0" applyFont="1" applyFill="1" applyBorder="1" applyAlignment="1">
      <alignment horizontal="center" vertical="center"/>
    </xf>
    <xf numFmtId="0" fontId="8" fillId="10" borderId="26" xfId="0" applyFont="1" applyFill="1" applyBorder="1" applyAlignment="1">
      <alignment horizontal="center" vertical="center"/>
    </xf>
    <xf numFmtId="0" fontId="8" fillId="10" borderId="28" xfId="0" applyFont="1" applyFill="1" applyBorder="1" applyAlignment="1">
      <alignment horizontal="center" vertical="center"/>
    </xf>
    <xf numFmtId="0" fontId="8" fillId="10" borderId="71" xfId="0" applyFont="1" applyFill="1" applyBorder="1" applyAlignment="1">
      <alignment horizontal="left" vertical="center" indent="1"/>
    </xf>
    <xf numFmtId="0" fontId="8" fillId="10" borderId="40" xfId="0" applyFont="1" applyFill="1" applyBorder="1" applyAlignment="1">
      <alignment horizontal="left" vertical="center" indent="1"/>
    </xf>
    <xf numFmtId="0" fontId="8" fillId="10" borderId="26" xfId="0" applyFont="1" applyFill="1" applyBorder="1" applyAlignment="1">
      <alignment horizontal="left" vertical="center" indent="1"/>
    </xf>
    <xf numFmtId="0" fontId="8" fillId="10" borderId="28" xfId="0" applyFont="1" applyFill="1" applyBorder="1" applyAlignment="1">
      <alignment horizontal="left" vertical="center" indent="1"/>
    </xf>
    <xf numFmtId="0" fontId="11" fillId="6" borderId="0" xfId="0" applyFont="1" applyFill="1" applyBorder="1" applyAlignment="1">
      <alignment horizontal="center" vertical="center"/>
    </xf>
    <xf numFmtId="38" fontId="5" fillId="0" borderId="5" xfId="7" applyFont="1" applyBorder="1" applyAlignment="1">
      <alignment horizontal="right" vertical="center"/>
    </xf>
    <xf numFmtId="38" fontId="5" fillId="0" borderId="5" xfId="7" applyFont="1" applyBorder="1" applyAlignment="1">
      <alignment vertical="center"/>
    </xf>
    <xf numFmtId="38" fontId="5" fillId="0" borderId="5" xfId="7" applyFont="1" applyBorder="1" applyAlignment="1">
      <alignment horizontal="right"/>
    </xf>
    <xf numFmtId="0" fontId="16" fillId="0" borderId="5" xfId="0" applyFont="1" applyBorder="1" applyAlignment="1">
      <alignment vertical="center" wrapText="1"/>
    </xf>
    <xf numFmtId="0" fontId="8" fillId="10" borderId="5" xfId="0" applyFont="1" applyFill="1" applyBorder="1">
      <alignment vertical="center"/>
    </xf>
    <xf numFmtId="0" fontId="8" fillId="10" borderId="5" xfId="0" applyFont="1" applyFill="1" applyBorder="1" applyAlignment="1">
      <alignment horizontal="right" vertical="center"/>
    </xf>
    <xf numFmtId="176" fontId="17" fillId="0" borderId="5" xfId="0" applyNumberFormat="1" applyFont="1" applyBorder="1">
      <alignment vertical="center"/>
    </xf>
    <xf numFmtId="0" fontId="8" fillId="12" borderId="5" xfId="0" applyFont="1" applyFill="1" applyBorder="1">
      <alignment vertical="center"/>
    </xf>
    <xf numFmtId="0" fontId="8" fillId="12" borderId="5" xfId="0" applyFont="1" applyFill="1" applyBorder="1" applyAlignment="1">
      <alignment horizontal="center" vertical="center"/>
    </xf>
    <xf numFmtId="176" fontId="8" fillId="12" borderId="5" xfId="0" applyNumberFormat="1" applyFont="1" applyFill="1" applyBorder="1">
      <alignment vertical="center"/>
    </xf>
    <xf numFmtId="177" fontId="8" fillId="12" borderId="5" xfId="1" applyNumberFormat="1" applyFont="1" applyFill="1" applyBorder="1">
      <alignment vertical="center"/>
    </xf>
    <xf numFmtId="176" fontId="8" fillId="12" borderId="5" xfId="7" applyNumberFormat="1" applyFont="1" applyFill="1" applyBorder="1">
      <alignment vertical="center"/>
    </xf>
    <xf numFmtId="0" fontId="8" fillId="12" borderId="43" xfId="0" applyFont="1" applyFill="1" applyBorder="1" applyAlignment="1">
      <alignment horizontal="center" vertical="center"/>
    </xf>
    <xf numFmtId="0" fontId="8" fillId="12" borderId="27" xfId="0" applyFont="1" applyFill="1" applyBorder="1" applyAlignment="1">
      <alignment horizontal="center" vertical="center"/>
    </xf>
    <xf numFmtId="176" fontId="5" fillId="0" borderId="43" xfId="0" applyNumberFormat="1" applyFont="1" applyBorder="1">
      <alignment vertical="center"/>
    </xf>
    <xf numFmtId="176" fontId="5" fillId="0" borderId="43" xfId="0" applyNumberFormat="1" applyFont="1" applyFill="1" applyBorder="1">
      <alignment vertical="center"/>
    </xf>
    <xf numFmtId="176" fontId="5" fillId="0" borderId="43" xfId="0" applyNumberFormat="1" applyFont="1" applyBorder="1" applyAlignment="1">
      <alignment horizontal="right" vertical="center"/>
    </xf>
    <xf numFmtId="177" fontId="5" fillId="0" borderId="41" xfId="0" applyNumberFormat="1" applyFont="1" applyBorder="1" applyAlignment="1">
      <alignment horizontal="right" vertical="center"/>
    </xf>
    <xf numFmtId="176" fontId="5" fillId="0" borderId="43" xfId="7" applyNumberFormat="1" applyFont="1" applyBorder="1">
      <alignment vertical="center"/>
    </xf>
    <xf numFmtId="177" fontId="5" fillId="0" borderId="27" xfId="1" applyNumberFormat="1" applyFont="1" applyBorder="1" applyAlignment="1">
      <alignment horizontal="right" vertical="center"/>
    </xf>
    <xf numFmtId="177" fontId="5" fillId="0" borderId="41" xfId="1" applyNumberFormat="1" applyFont="1" applyFill="1" applyBorder="1" applyAlignment="1">
      <alignment horizontal="right" vertical="center"/>
    </xf>
    <xf numFmtId="0" fontId="8" fillId="12" borderId="5" xfId="0" applyFont="1" applyFill="1" applyBorder="1" applyAlignment="1">
      <alignment vertical="center"/>
    </xf>
    <xf numFmtId="176" fontId="8" fillId="13" borderId="43" xfId="0" applyNumberFormat="1" applyFont="1" applyFill="1" applyBorder="1">
      <alignment vertical="center"/>
    </xf>
    <xf numFmtId="177" fontId="8" fillId="12" borderId="27" xfId="1" applyNumberFormat="1" applyFont="1" applyFill="1" applyBorder="1">
      <alignment vertical="center"/>
    </xf>
    <xf numFmtId="177" fontId="8" fillId="13" borderId="27" xfId="0" applyNumberFormat="1" applyFont="1" applyFill="1" applyBorder="1">
      <alignment vertical="center"/>
    </xf>
    <xf numFmtId="177" fontId="8" fillId="12" borderId="27" xfId="0" applyNumberFormat="1" applyFont="1" applyFill="1" applyBorder="1">
      <alignment vertical="center"/>
    </xf>
    <xf numFmtId="176" fontId="8" fillId="12" borderId="43" xfId="0" applyNumberFormat="1" applyFont="1" applyFill="1" applyBorder="1">
      <alignment vertical="center"/>
    </xf>
    <xf numFmtId="176" fontId="8" fillId="13" borderId="5" xfId="0" applyNumberFormat="1" applyFont="1" applyFill="1" applyBorder="1">
      <alignment vertical="center"/>
    </xf>
    <xf numFmtId="38" fontId="8" fillId="12" borderId="5" xfId="7" applyFont="1" applyFill="1" applyBorder="1">
      <alignment vertical="center"/>
    </xf>
    <xf numFmtId="0" fontId="14" fillId="12" borderId="43" xfId="0" applyFont="1" applyFill="1" applyBorder="1" applyAlignment="1">
      <alignment horizontal="center" vertical="center" wrapText="1"/>
    </xf>
    <xf numFmtId="0" fontId="14" fillId="12" borderId="47" xfId="0" applyFont="1" applyFill="1" applyBorder="1" applyAlignment="1">
      <alignment horizontal="center" vertical="center" wrapText="1"/>
    </xf>
    <xf numFmtId="0" fontId="14" fillId="12" borderId="49" xfId="0" applyFont="1" applyFill="1" applyBorder="1" applyAlignment="1">
      <alignment horizontal="center" vertical="center" wrapText="1"/>
    </xf>
    <xf numFmtId="0" fontId="14" fillId="12" borderId="27" xfId="0" applyFont="1" applyFill="1" applyBorder="1" applyAlignment="1">
      <alignment horizontal="center" vertical="center" wrapText="1"/>
    </xf>
    <xf numFmtId="0" fontId="8" fillId="12" borderId="5" xfId="0" applyFont="1" applyFill="1" applyBorder="1" applyAlignment="1">
      <alignment horizontal="left" vertical="center"/>
    </xf>
    <xf numFmtId="38" fontId="8" fillId="12" borderId="43" xfId="0" applyNumberFormat="1" applyFont="1" applyFill="1" applyBorder="1">
      <alignment vertical="center"/>
    </xf>
    <xf numFmtId="177" fontId="8" fillId="12" borderId="41" xfId="1" applyNumberFormat="1" applyFont="1" applyFill="1" applyBorder="1">
      <alignment vertical="center"/>
    </xf>
    <xf numFmtId="38" fontId="8" fillId="12" borderId="49" xfId="0" applyNumberFormat="1" applyFont="1" applyFill="1" applyBorder="1" applyAlignment="1">
      <alignment vertical="center" shrinkToFit="1"/>
    </xf>
    <xf numFmtId="38" fontId="8" fillId="12" borderId="49" xfId="0" applyNumberFormat="1" applyFont="1" applyFill="1" applyBorder="1">
      <alignment vertical="center"/>
    </xf>
    <xf numFmtId="0" fontId="14" fillId="12" borderId="26" xfId="0" applyFont="1" applyFill="1" applyBorder="1" applyAlignment="1">
      <alignment horizontal="center" vertical="center" wrapText="1"/>
    </xf>
    <xf numFmtId="0" fontId="14" fillId="12" borderId="48" xfId="0" applyFont="1" applyFill="1" applyBorder="1" applyAlignment="1">
      <alignment horizontal="center" vertical="center" wrapText="1"/>
    </xf>
    <xf numFmtId="177" fontId="8" fillId="12" borderId="47" xfId="1" applyNumberFormat="1" applyFont="1" applyFill="1" applyBorder="1">
      <alignment vertical="center"/>
    </xf>
    <xf numFmtId="0" fontId="20" fillId="0" borderId="0" xfId="0" applyFont="1" applyAlignment="1">
      <alignment vertical="center"/>
    </xf>
    <xf numFmtId="178" fontId="5" fillId="0" borderId="7" xfId="7" applyNumberFormat="1" applyFont="1" applyBorder="1">
      <alignment vertical="center"/>
    </xf>
    <xf numFmtId="178" fontId="5" fillId="0" borderId="45" xfId="7" applyNumberFormat="1" applyFont="1" applyBorder="1">
      <alignment vertical="center"/>
    </xf>
    <xf numFmtId="178" fontId="5" fillId="0" borderId="12" xfId="7" applyNumberFormat="1" applyFont="1" applyBorder="1">
      <alignment vertical="center"/>
    </xf>
    <xf numFmtId="178" fontId="5" fillId="0" borderId="6" xfId="7" applyNumberFormat="1" applyFont="1" applyBorder="1">
      <alignment vertical="center"/>
    </xf>
    <xf numFmtId="178" fontId="5" fillId="0" borderId="11" xfId="7" applyNumberFormat="1" applyFont="1" applyBorder="1">
      <alignment vertical="center"/>
    </xf>
    <xf numFmtId="178" fontId="5" fillId="0" borderId="29" xfId="7" applyNumberFormat="1" applyFont="1" applyBorder="1">
      <alignment vertical="center"/>
    </xf>
    <xf numFmtId="178" fontId="5" fillId="0" borderId="6" xfId="0" applyNumberFormat="1" applyFont="1" applyBorder="1">
      <alignment vertical="center"/>
    </xf>
    <xf numFmtId="0" fontId="11" fillId="3" borderId="0" xfId="0" applyFont="1" applyFill="1" applyAlignment="1">
      <alignment horizontal="center" vertical="center"/>
    </xf>
    <xf numFmtId="0" fontId="5" fillId="0" borderId="5" xfId="0" applyFont="1" applyBorder="1" applyAlignment="1">
      <alignment vertical="center" shrinkToFit="1"/>
    </xf>
    <xf numFmtId="0" fontId="11" fillId="3" borderId="0" xfId="0" applyFont="1" applyFill="1" applyAlignment="1">
      <alignment horizontal="left" vertical="center" shrinkToFit="1"/>
    </xf>
    <xf numFmtId="176" fontId="17" fillId="0" borderId="55" xfId="0" applyNumberFormat="1" applyFont="1" applyBorder="1">
      <alignment vertical="center"/>
    </xf>
    <xf numFmtId="0" fontId="11" fillId="0" borderId="0" xfId="0" applyFont="1" applyBorder="1" applyAlignment="1">
      <alignment horizontal="left" vertical="center"/>
    </xf>
    <xf numFmtId="0" fontId="11" fillId="0" borderId="0" xfId="0" applyFont="1" applyBorder="1" applyAlignment="1">
      <alignment horizontal="left" vertical="center" shrinkToFit="1"/>
    </xf>
    <xf numFmtId="0" fontId="11" fillId="3" borderId="0" xfId="0" applyFont="1" applyFill="1" applyBorder="1" applyAlignment="1">
      <alignment horizontal="left" vertical="center"/>
    </xf>
    <xf numFmtId="0" fontId="11" fillId="0" borderId="0" xfId="0" applyFont="1" applyAlignment="1">
      <alignment horizontal="center" vertical="center" shrinkToFit="1"/>
    </xf>
    <xf numFmtId="176" fontId="8" fillId="0" borderId="13" xfId="0" applyNumberFormat="1" applyFont="1" applyBorder="1" applyAlignment="1">
      <alignment vertical="center" shrinkToFit="1"/>
    </xf>
    <xf numFmtId="181" fontId="5" fillId="0" borderId="0" xfId="0" applyNumberFormat="1" applyFont="1" applyBorder="1" applyAlignment="1">
      <alignment vertical="center"/>
    </xf>
    <xf numFmtId="0" fontId="22" fillId="15" borderId="83" xfId="0" applyFont="1" applyFill="1" applyBorder="1" applyAlignment="1">
      <alignment horizontal="center" vertical="center"/>
    </xf>
    <xf numFmtId="182" fontId="5" fillId="6" borderId="55" xfId="0" applyNumberFormat="1" applyFont="1" applyFill="1" applyBorder="1">
      <alignment vertical="center"/>
    </xf>
    <xf numFmtId="0" fontId="11" fillId="6" borderId="84" xfId="0" applyFont="1" applyFill="1" applyBorder="1">
      <alignment vertical="center"/>
    </xf>
    <xf numFmtId="0" fontId="11" fillId="6" borderId="31" xfId="0" applyFont="1" applyFill="1" applyBorder="1" applyAlignment="1">
      <alignment vertical="center" wrapText="1"/>
    </xf>
    <xf numFmtId="182" fontId="5" fillId="6" borderId="85" xfId="0" applyNumberFormat="1" applyFont="1" applyFill="1" applyBorder="1">
      <alignment vertical="center"/>
    </xf>
    <xf numFmtId="0" fontId="11" fillId="0" borderId="31" xfId="0" applyFont="1" applyBorder="1" applyAlignment="1">
      <alignment vertical="center" wrapText="1"/>
    </xf>
    <xf numFmtId="182" fontId="5" fillId="0" borderId="85" xfId="0" applyNumberFormat="1" applyFont="1" applyBorder="1">
      <alignment vertical="center"/>
    </xf>
    <xf numFmtId="0" fontId="11" fillId="0" borderId="31" xfId="0" applyFont="1" applyBorder="1">
      <alignment vertical="center"/>
    </xf>
    <xf numFmtId="0" fontId="21" fillId="15" borderId="0" xfId="0" applyFont="1" applyFill="1" applyBorder="1" applyAlignment="1">
      <alignment horizontal="center" vertical="center"/>
    </xf>
    <xf numFmtId="0" fontId="11" fillId="6" borderId="0" xfId="0" applyFont="1" applyFill="1" applyBorder="1" applyAlignment="1">
      <alignment vertical="center"/>
    </xf>
    <xf numFmtId="0" fontId="11" fillId="0" borderId="0" xfId="0" applyFont="1" applyBorder="1" applyAlignment="1">
      <alignment vertical="center"/>
    </xf>
    <xf numFmtId="0" fontId="7" fillId="0" borderId="0" xfId="0" applyFont="1" applyAlignment="1">
      <alignment vertical="center"/>
    </xf>
    <xf numFmtId="0" fontId="5" fillId="0" borderId="86" xfId="0" applyFont="1" applyBorder="1">
      <alignment vertical="center"/>
    </xf>
    <xf numFmtId="176" fontId="17" fillId="0" borderId="55" xfId="0" applyNumberFormat="1" applyFont="1" applyBorder="1" applyProtection="1">
      <alignment vertical="center"/>
      <protection locked="0"/>
    </xf>
    <xf numFmtId="0" fontId="5" fillId="0" borderId="0" xfId="0" applyFont="1" applyBorder="1" applyAlignment="1">
      <alignment vertical="center"/>
    </xf>
    <xf numFmtId="182" fontId="5" fillId="0" borderId="0" xfId="0" applyNumberFormat="1" applyFont="1" applyBorder="1" applyAlignment="1">
      <alignment vertical="center"/>
    </xf>
    <xf numFmtId="0" fontId="11" fillId="0" borderId="83" xfId="0" applyFont="1" applyBorder="1">
      <alignment vertical="center"/>
    </xf>
    <xf numFmtId="0" fontId="11" fillId="6" borderId="83" xfId="0" applyFont="1" applyFill="1" applyBorder="1">
      <alignment vertical="center"/>
    </xf>
    <xf numFmtId="0" fontId="11" fillId="3" borderId="83" xfId="0" applyFont="1" applyFill="1" applyBorder="1" applyAlignment="1">
      <alignment horizontal="left" vertical="center"/>
    </xf>
    <xf numFmtId="0" fontId="11" fillId="0" borderId="0" xfId="0" applyFont="1" applyBorder="1">
      <alignment vertical="center"/>
    </xf>
    <xf numFmtId="0" fontId="11" fillId="6" borderId="0" xfId="0" applyFont="1" applyFill="1" applyBorder="1">
      <alignment vertical="center"/>
    </xf>
    <xf numFmtId="0" fontId="11" fillId="0" borderId="87" xfId="0" applyFont="1" applyBorder="1">
      <alignment vertical="center"/>
    </xf>
    <xf numFmtId="176" fontId="5" fillId="0" borderId="56" xfId="0" applyNumberFormat="1" applyFont="1" applyBorder="1">
      <alignment vertical="center"/>
    </xf>
    <xf numFmtId="176" fontId="11" fillId="0" borderId="15" xfId="0" applyNumberFormat="1" applyFont="1" applyBorder="1" applyAlignment="1">
      <alignment horizontal="left" vertical="center"/>
    </xf>
    <xf numFmtId="0" fontId="11" fillId="0" borderId="0" xfId="0" applyFont="1" applyAlignment="1">
      <alignment horizontal="left" vertical="center"/>
    </xf>
    <xf numFmtId="0" fontId="11" fillId="0" borderId="0" xfId="0" applyFont="1" applyAlignment="1">
      <alignment horizontal="right" vertical="center"/>
    </xf>
    <xf numFmtId="0" fontId="5" fillId="0" borderId="0" xfId="0" applyFont="1" applyAlignment="1">
      <alignment vertical="center" wrapText="1"/>
    </xf>
    <xf numFmtId="176" fontId="5" fillId="0" borderId="0" xfId="0" applyNumberFormat="1" applyFont="1" applyAlignment="1">
      <alignment vertical="center" wrapText="1"/>
    </xf>
    <xf numFmtId="0" fontId="11" fillId="0" borderId="0" xfId="0" applyFont="1" applyAlignment="1">
      <alignment horizontal="right" vertical="center" wrapText="1"/>
    </xf>
    <xf numFmtId="0" fontId="6" fillId="0" borderId="0" xfId="0" applyFont="1" applyAlignment="1">
      <alignment horizontal="center" vertical="center" shrinkToFit="1"/>
    </xf>
    <xf numFmtId="0" fontId="6" fillId="0" borderId="0" xfId="0" applyFont="1" applyAlignment="1">
      <alignment horizontal="left" vertical="center"/>
    </xf>
    <xf numFmtId="0" fontId="6" fillId="0" borderId="0" xfId="0" applyFont="1" applyAlignment="1">
      <alignment vertical="center"/>
    </xf>
    <xf numFmtId="176" fontId="11" fillId="14" borderId="88" xfId="0" applyNumberFormat="1" applyFont="1" applyFill="1" applyBorder="1" applyAlignment="1">
      <alignment vertical="center" shrinkToFit="1"/>
    </xf>
    <xf numFmtId="0" fontId="11" fillId="5" borderId="88" xfId="0" applyFont="1" applyFill="1" applyBorder="1" applyAlignment="1">
      <alignment horizontal="left" vertical="center" shrinkToFit="1"/>
    </xf>
    <xf numFmtId="176" fontId="11" fillId="5" borderId="88" xfId="0" applyNumberFormat="1" applyFont="1" applyFill="1" applyBorder="1" applyAlignment="1">
      <alignment vertical="center" shrinkToFit="1"/>
    </xf>
    <xf numFmtId="182" fontId="5" fillId="0" borderId="62" xfId="0" applyNumberFormat="1" applyFont="1" applyBorder="1">
      <alignment vertical="center"/>
    </xf>
    <xf numFmtId="0" fontId="11" fillId="0" borderId="88" xfId="0" applyFont="1" applyBorder="1">
      <alignment vertical="center"/>
    </xf>
    <xf numFmtId="0" fontId="11" fillId="0" borderId="0" xfId="0" applyFont="1" applyBorder="1" applyAlignment="1">
      <alignment vertical="center" wrapText="1"/>
    </xf>
    <xf numFmtId="0" fontId="11" fillId="5" borderId="0" xfId="0" applyFont="1" applyFill="1" applyBorder="1" applyAlignment="1">
      <alignment horizontal="left" vertical="center" shrinkToFit="1"/>
    </xf>
    <xf numFmtId="176" fontId="11" fillId="0" borderId="88" xfId="0" applyNumberFormat="1" applyFont="1" applyBorder="1">
      <alignment vertical="center"/>
    </xf>
    <xf numFmtId="0" fontId="11" fillId="5" borderId="88" xfId="0" applyFont="1" applyFill="1" applyBorder="1" applyAlignment="1">
      <alignment horizontal="center" vertical="center" shrinkToFit="1"/>
    </xf>
    <xf numFmtId="0" fontId="22" fillId="15" borderId="89" xfId="0" applyFont="1" applyFill="1" applyBorder="1" applyAlignment="1">
      <alignment horizontal="center" vertical="center"/>
    </xf>
    <xf numFmtId="0" fontId="11" fillId="3" borderId="88" xfId="0" applyFont="1" applyFill="1" applyBorder="1">
      <alignment vertical="center"/>
    </xf>
    <xf numFmtId="0" fontId="11" fillId="3" borderId="88" xfId="0" applyFont="1" applyFill="1" applyBorder="1" applyAlignment="1" applyProtection="1">
      <alignment horizontal="left" vertical="center"/>
      <protection locked="0"/>
    </xf>
    <xf numFmtId="0" fontId="11" fillId="3" borderId="0" xfId="0" applyFont="1" applyFill="1" applyAlignment="1" applyProtection="1">
      <alignment horizontal="left" vertical="center"/>
      <protection locked="0"/>
    </xf>
    <xf numFmtId="0" fontId="9" fillId="0" borderId="0" xfId="0" applyFont="1" applyAlignment="1" applyProtection="1">
      <alignment horizontal="left" vertical="center"/>
      <protection locked="0"/>
    </xf>
    <xf numFmtId="176" fontId="17" fillId="0" borderId="0" xfId="0" applyNumberFormat="1" applyFont="1" applyProtection="1">
      <alignment vertical="center"/>
      <protection locked="0"/>
    </xf>
    <xf numFmtId="0" fontId="11" fillId="3" borderId="0" xfId="0" applyFont="1" applyFill="1" applyAlignment="1" applyProtection="1">
      <alignment horizontal="left" vertical="center" shrinkToFit="1"/>
      <protection locked="0"/>
    </xf>
    <xf numFmtId="0" fontId="11" fillId="0" borderId="0" xfId="0" applyFont="1" applyAlignment="1" applyProtection="1">
      <alignment horizontal="center" vertical="center"/>
      <protection locked="0"/>
    </xf>
    <xf numFmtId="0" fontId="5" fillId="0" borderId="0" xfId="0" applyFont="1" applyProtection="1">
      <alignment vertical="center"/>
      <protection locked="0"/>
    </xf>
    <xf numFmtId="0" fontId="10" fillId="6" borderId="0" xfId="0" applyFont="1" applyFill="1" applyBorder="1" applyAlignment="1" applyProtection="1">
      <alignment horizontal="center" vertical="center" wrapText="1"/>
      <protection locked="0"/>
    </xf>
    <xf numFmtId="10" fontId="9" fillId="0" borderId="0" xfId="0" applyNumberFormat="1" applyFont="1" applyBorder="1" applyAlignment="1" applyProtection="1">
      <alignment horizontal="right" vertical="center" indent="1"/>
      <protection locked="0"/>
    </xf>
    <xf numFmtId="10" fontId="9" fillId="0" borderId="0" xfId="0" applyNumberFormat="1" applyFont="1" applyAlignment="1" applyProtection="1">
      <alignment horizontal="right" vertical="center" indent="1"/>
      <protection locked="0"/>
    </xf>
    <xf numFmtId="0" fontId="9" fillId="0" borderId="0" xfId="0" applyFont="1" applyProtection="1">
      <alignment vertical="center"/>
      <protection locked="0"/>
    </xf>
    <xf numFmtId="0" fontId="24" fillId="0" borderId="0" xfId="0" applyFont="1" applyAlignment="1">
      <alignment horizontal="center" vertical="center"/>
    </xf>
    <xf numFmtId="0" fontId="16" fillId="0" borderId="21" xfId="0" applyFont="1" applyBorder="1" applyAlignment="1">
      <alignment vertical="center" wrapText="1"/>
    </xf>
    <xf numFmtId="177" fontId="5" fillId="0" borderId="22" xfId="1" applyNumberFormat="1" applyFont="1" applyBorder="1">
      <alignment vertical="center"/>
    </xf>
    <xf numFmtId="0" fontId="24" fillId="0" borderId="92" xfId="0" applyFont="1" applyBorder="1" applyAlignment="1">
      <alignment horizontal="center" vertical="center"/>
    </xf>
    <xf numFmtId="0" fontId="25" fillId="0" borderId="93" xfId="0" applyFont="1" applyBorder="1" applyAlignment="1">
      <alignment horizontal="center" vertical="center"/>
    </xf>
    <xf numFmtId="177" fontId="5" fillId="0" borderId="94" xfId="1" applyNumberFormat="1" applyFont="1" applyBorder="1">
      <alignment vertical="center"/>
    </xf>
    <xf numFmtId="0" fontId="25" fillId="0" borderId="95" xfId="0" applyFont="1" applyBorder="1" applyAlignment="1">
      <alignment horizontal="center" vertical="center"/>
    </xf>
    <xf numFmtId="0" fontId="16" fillId="0" borderId="96" xfId="0" applyFont="1" applyBorder="1" applyAlignment="1">
      <alignment vertical="center" wrapText="1"/>
    </xf>
    <xf numFmtId="177" fontId="5" fillId="0" borderId="97" xfId="1" applyNumberFormat="1" applyFont="1" applyBorder="1">
      <alignment vertical="center"/>
    </xf>
    <xf numFmtId="177" fontId="5" fillId="0" borderId="98" xfId="1" applyNumberFormat="1" applyFont="1" applyBorder="1">
      <alignment vertical="center"/>
    </xf>
    <xf numFmtId="185" fontId="5" fillId="0" borderId="5" xfId="0" applyNumberFormat="1" applyFont="1" applyBorder="1" applyAlignment="1">
      <alignment horizontal="right" vertical="center"/>
    </xf>
    <xf numFmtId="185" fontId="5" fillId="0" borderId="5" xfId="0" applyNumberFormat="1" applyFont="1" applyBorder="1">
      <alignment vertical="center"/>
    </xf>
    <xf numFmtId="0" fontId="10" fillId="2" borderId="5" xfId="0" applyFont="1" applyFill="1" applyBorder="1" applyAlignment="1">
      <alignment horizontal="center" vertical="center"/>
    </xf>
    <xf numFmtId="0" fontId="27" fillId="0" borderId="0" xfId="0" applyFont="1">
      <alignment vertical="center"/>
    </xf>
    <xf numFmtId="0" fontId="9" fillId="0" borderId="5" xfId="0" applyFont="1" applyBorder="1" applyAlignment="1">
      <alignment horizontal="left" vertical="center"/>
    </xf>
    <xf numFmtId="0" fontId="10" fillId="10" borderId="5" xfId="0" applyFont="1" applyFill="1" applyBorder="1" applyAlignment="1">
      <alignment horizontal="center" vertical="center"/>
    </xf>
    <xf numFmtId="0" fontId="28" fillId="10" borderId="5" xfId="0" applyFont="1" applyFill="1" applyBorder="1" applyAlignment="1">
      <alignment horizontal="center" vertical="center"/>
    </xf>
    <xf numFmtId="185" fontId="9" fillId="0" borderId="5" xfId="0" applyNumberFormat="1" applyFont="1" applyBorder="1">
      <alignment vertical="center"/>
    </xf>
    <xf numFmtId="0" fontId="10" fillId="12" borderId="5" xfId="0" applyFont="1" applyFill="1" applyBorder="1">
      <alignment vertical="center"/>
    </xf>
    <xf numFmtId="0" fontId="10" fillId="12" borderId="5" xfId="0" applyFont="1" applyFill="1" applyBorder="1" applyAlignment="1">
      <alignment horizontal="center" vertical="center" shrinkToFit="1"/>
    </xf>
    <xf numFmtId="0" fontId="9" fillId="0" borderId="5" xfId="0" applyFont="1" applyBorder="1">
      <alignment vertical="center"/>
    </xf>
    <xf numFmtId="182" fontId="17" fillId="0" borderId="55" xfId="0" applyNumberFormat="1" applyFont="1" applyBorder="1">
      <alignment vertical="center"/>
    </xf>
    <xf numFmtId="0" fontId="8" fillId="13" borderId="66" xfId="0" applyFont="1" applyFill="1" applyBorder="1" applyAlignment="1">
      <alignment horizontal="center" vertical="center"/>
    </xf>
    <xf numFmtId="0" fontId="8" fillId="13" borderId="67" xfId="0" applyFont="1" applyFill="1" applyBorder="1" applyAlignment="1">
      <alignment horizontal="center" vertical="center"/>
    </xf>
    <xf numFmtId="0" fontId="8" fillId="13" borderId="5" xfId="0" applyFont="1" applyFill="1" applyBorder="1" applyAlignment="1">
      <alignment horizontal="center" vertical="center"/>
    </xf>
    <xf numFmtId="0" fontId="8" fillId="0" borderId="42" xfId="0" applyFont="1" applyFill="1" applyBorder="1" applyAlignment="1">
      <alignment horizontal="center" vertical="center"/>
    </xf>
    <xf numFmtId="0" fontId="8" fillId="0" borderId="0" xfId="0" applyFont="1" applyFill="1" applyBorder="1" applyAlignment="1">
      <alignment horizontal="center" vertical="center"/>
    </xf>
    <xf numFmtId="176" fontId="5" fillId="0" borderId="42" xfId="0" applyNumberFormat="1" applyFont="1" applyFill="1" applyBorder="1" applyAlignment="1">
      <alignment horizontal="right" vertical="center"/>
    </xf>
    <xf numFmtId="0" fontId="8" fillId="13" borderId="5" xfId="0" applyFont="1" applyFill="1" applyBorder="1" applyAlignment="1">
      <alignment horizontal="center" vertical="center" shrinkToFit="1"/>
    </xf>
    <xf numFmtId="0" fontId="15" fillId="4" borderId="5" xfId="0" applyFont="1" applyFill="1" applyBorder="1" applyAlignment="1">
      <alignment horizontal="center" vertical="center" wrapText="1"/>
    </xf>
    <xf numFmtId="177" fontId="5" fillId="0" borderId="5" xfId="1" applyNumberFormat="1" applyFont="1" applyBorder="1" applyAlignment="1">
      <alignment horizontal="right" vertical="center"/>
    </xf>
    <xf numFmtId="177" fontId="5" fillId="0" borderId="5" xfId="1" applyNumberFormat="1" applyFont="1" applyFill="1" applyBorder="1" applyAlignment="1">
      <alignment horizontal="right" vertical="center"/>
    </xf>
    <xf numFmtId="180" fontId="5" fillId="0" borderId="6" xfId="1" applyNumberFormat="1" applyFont="1" applyBorder="1" applyAlignment="1">
      <alignment horizontal="right" vertical="center"/>
    </xf>
    <xf numFmtId="180" fontId="5" fillId="0" borderId="45" xfId="1" applyNumberFormat="1" applyFont="1" applyBorder="1" applyAlignment="1">
      <alignment horizontal="right" vertical="center"/>
    </xf>
    <xf numFmtId="177" fontId="8" fillId="0" borderId="5" xfId="1" applyNumberFormat="1" applyFont="1" applyBorder="1" applyAlignment="1">
      <alignment horizontal="right" vertical="center"/>
    </xf>
    <xf numFmtId="180" fontId="5" fillId="0" borderId="29" xfId="1" applyNumberFormat="1" applyFont="1" applyBorder="1" applyAlignment="1">
      <alignment horizontal="right" vertical="center"/>
    </xf>
    <xf numFmtId="177" fontId="5" fillId="0" borderId="27" xfId="1" applyNumberFormat="1" applyFont="1" applyFill="1" applyBorder="1" applyAlignment="1">
      <alignment horizontal="right" vertical="center"/>
    </xf>
    <xf numFmtId="177" fontId="5" fillId="0" borderId="41" xfId="1" applyNumberFormat="1" applyFont="1" applyBorder="1" applyAlignment="1">
      <alignment horizontal="right" vertical="center"/>
    </xf>
    <xf numFmtId="177" fontId="5" fillId="0" borderId="27" xfId="0" applyNumberFormat="1" applyFont="1" applyFill="1" applyBorder="1" applyAlignment="1">
      <alignment horizontal="right" vertical="center"/>
    </xf>
    <xf numFmtId="177" fontId="5" fillId="0" borderId="27" xfId="0" applyNumberFormat="1" applyFont="1" applyBorder="1" applyAlignment="1">
      <alignment horizontal="right" vertical="center"/>
    </xf>
    <xf numFmtId="177" fontId="5" fillId="0" borderId="48" xfId="1" applyNumberFormat="1" applyFont="1" applyFill="1" applyBorder="1" applyAlignment="1">
      <alignment horizontal="right" vertical="center"/>
    </xf>
    <xf numFmtId="177" fontId="5" fillId="0" borderId="47" xfId="1" applyNumberFormat="1" applyFont="1" applyBorder="1" applyAlignment="1">
      <alignment horizontal="right" vertical="center"/>
    </xf>
    <xf numFmtId="177" fontId="5" fillId="0" borderId="48" xfId="1" applyNumberFormat="1" applyFont="1" applyBorder="1" applyAlignment="1">
      <alignment horizontal="right" vertical="center"/>
    </xf>
    <xf numFmtId="180" fontId="5" fillId="0" borderId="7" xfId="1" applyNumberFormat="1" applyFont="1" applyBorder="1" applyAlignment="1">
      <alignment horizontal="right" vertical="center"/>
    </xf>
    <xf numFmtId="177" fontId="5" fillId="11" borderId="5" xfId="0" applyNumberFormat="1" applyFont="1" applyFill="1" applyBorder="1" applyAlignment="1">
      <alignment horizontal="right" vertical="center"/>
    </xf>
    <xf numFmtId="0" fontId="22" fillId="3" borderId="0" xfId="0" applyFont="1" applyFill="1" applyBorder="1" applyAlignment="1">
      <alignment horizontal="left" vertical="center"/>
    </xf>
    <xf numFmtId="0" fontId="22" fillId="3" borderId="0" xfId="0" applyFont="1" applyFill="1" applyBorder="1" applyAlignment="1">
      <alignment horizontal="left" vertical="center" wrapText="1"/>
    </xf>
    <xf numFmtId="177" fontId="9" fillId="0" borderId="5" xfId="1" applyNumberFormat="1" applyFont="1" applyBorder="1">
      <alignment vertical="center"/>
    </xf>
    <xf numFmtId="0" fontId="5" fillId="0" borderId="5" xfId="0" applyFont="1" applyBorder="1" applyAlignment="1">
      <alignment horizontal="center" vertical="center"/>
    </xf>
    <xf numFmtId="0" fontId="5" fillId="0" borderId="5" xfId="0" applyFont="1" applyBorder="1" applyAlignment="1">
      <alignment horizontal="center" vertical="center" wrapText="1"/>
    </xf>
    <xf numFmtId="0" fontId="16" fillId="0" borderId="26" xfId="0" applyFont="1" applyBorder="1" applyAlignment="1">
      <alignment vertical="top" wrapText="1"/>
    </xf>
    <xf numFmtId="0" fontId="16" fillId="0" borderId="26" xfId="0" applyFont="1" applyFill="1" applyBorder="1" applyAlignment="1">
      <alignment vertical="top" wrapText="1"/>
    </xf>
    <xf numFmtId="0" fontId="21" fillId="0" borderId="0" xfId="0" applyFont="1" applyAlignment="1">
      <alignment horizontal="center" vertical="center"/>
    </xf>
    <xf numFmtId="0" fontId="22" fillId="15" borderId="100" xfId="0" applyFont="1" applyFill="1" applyBorder="1" applyAlignment="1">
      <alignment horizontal="center" vertical="center"/>
    </xf>
    <xf numFmtId="0" fontId="11" fillId="3" borderId="101" xfId="0" applyFont="1" applyFill="1" applyBorder="1" applyAlignment="1" applyProtection="1">
      <alignment horizontal="left" vertical="center"/>
      <protection locked="0"/>
    </xf>
    <xf numFmtId="176" fontId="22" fillId="15" borderId="83" xfId="0" applyNumberFormat="1" applyFont="1" applyFill="1" applyBorder="1" applyAlignment="1">
      <alignment horizontal="center" vertical="center"/>
    </xf>
    <xf numFmtId="181" fontId="5" fillId="0" borderId="102" xfId="0" applyNumberFormat="1" applyFont="1" applyBorder="1" applyAlignment="1">
      <alignment vertical="center"/>
    </xf>
    <xf numFmtId="0" fontId="21" fillId="15" borderId="83" xfId="0" applyFont="1" applyFill="1" applyBorder="1" applyAlignment="1">
      <alignment horizontal="center" vertical="center"/>
    </xf>
    <xf numFmtId="0" fontId="5" fillId="0" borderId="88" xfId="0" applyFont="1" applyBorder="1" applyAlignment="1">
      <alignment horizontal="center" vertical="center"/>
    </xf>
    <xf numFmtId="176" fontId="17" fillId="0" borderId="88" xfId="0" applyNumberFormat="1" applyFont="1" applyBorder="1" applyProtection="1">
      <alignment vertical="center"/>
      <protection locked="0"/>
    </xf>
    <xf numFmtId="0" fontId="22" fillId="15" borderId="100" xfId="0" applyFont="1" applyFill="1" applyBorder="1" applyAlignment="1">
      <alignment horizontal="center" vertical="center" shrinkToFit="1"/>
    </xf>
    <xf numFmtId="0" fontId="11" fillId="3" borderId="88" xfId="0" applyFont="1" applyFill="1" applyBorder="1" applyAlignment="1">
      <alignment horizontal="left" vertical="center"/>
    </xf>
    <xf numFmtId="0" fontId="11" fillId="3" borderId="0" xfId="0" applyFont="1" applyFill="1" applyAlignment="1">
      <alignment horizontal="left" vertical="center" wrapText="1"/>
    </xf>
    <xf numFmtId="0" fontId="17" fillId="3" borderId="88" xfId="0" applyFont="1" applyFill="1" applyBorder="1" applyAlignment="1">
      <alignment horizontal="right" vertical="center"/>
    </xf>
    <xf numFmtId="182" fontId="5" fillId="0" borderId="0" xfId="0" applyNumberFormat="1" applyFont="1" applyBorder="1">
      <alignment vertical="center"/>
    </xf>
    <xf numFmtId="182" fontId="5" fillId="6" borderId="0" xfId="0" applyNumberFormat="1" applyFont="1" applyFill="1" applyBorder="1">
      <alignment vertical="center"/>
    </xf>
    <xf numFmtId="0" fontId="8" fillId="18" borderId="5" xfId="0" applyFont="1" applyFill="1" applyBorder="1" applyAlignment="1">
      <alignment horizontal="center" vertical="center"/>
    </xf>
    <xf numFmtId="176" fontId="5" fillId="0" borderId="10" xfId="0" applyNumberFormat="1" applyFont="1" applyBorder="1" applyAlignment="1">
      <alignment horizontal="right" vertical="center"/>
    </xf>
    <xf numFmtId="176" fontId="5" fillId="0" borderId="10" xfId="0" applyNumberFormat="1" applyFont="1" applyBorder="1">
      <alignment vertical="center"/>
    </xf>
    <xf numFmtId="0" fontId="11" fillId="8" borderId="0" xfId="0" applyFont="1" applyFill="1">
      <alignment vertical="center"/>
    </xf>
    <xf numFmtId="0" fontId="17" fillId="0" borderId="55" xfId="0" applyFont="1" applyBorder="1" applyAlignment="1">
      <alignment vertical="center" shrinkToFit="1"/>
    </xf>
    <xf numFmtId="0" fontId="5" fillId="0" borderId="55" xfId="0" applyFont="1" applyBorder="1" applyAlignment="1">
      <alignment vertical="center" shrinkToFit="1"/>
    </xf>
    <xf numFmtId="177" fontId="5" fillId="0" borderId="29" xfId="0" applyNumberFormat="1" applyFont="1" applyBorder="1" applyAlignment="1">
      <alignment horizontal="right" vertical="center"/>
    </xf>
    <xf numFmtId="176" fontId="8" fillId="18" borderId="10" xfId="0" applyNumberFormat="1" applyFont="1" applyFill="1" applyBorder="1" applyAlignment="1">
      <alignment horizontal="right" vertical="center"/>
    </xf>
    <xf numFmtId="176" fontId="8" fillId="19" borderId="10" xfId="0" applyNumberFormat="1" applyFont="1" applyFill="1" applyBorder="1">
      <alignment vertical="center"/>
    </xf>
    <xf numFmtId="177" fontId="8" fillId="18" borderId="29" xfId="0" applyNumberFormat="1" applyFont="1" applyFill="1" applyBorder="1" applyAlignment="1">
      <alignment horizontal="right" vertical="center"/>
    </xf>
    <xf numFmtId="177" fontId="5" fillId="0" borderId="29" xfId="1" applyNumberFormat="1" applyFont="1" applyBorder="1">
      <alignment vertical="center"/>
    </xf>
    <xf numFmtId="0" fontId="5" fillId="0" borderId="6" xfId="0" applyFont="1" applyBorder="1" applyAlignment="1">
      <alignment horizontal="left" vertical="center"/>
    </xf>
    <xf numFmtId="0" fontId="11" fillId="8" borderId="0" xfId="0" applyFont="1" applyFill="1" applyAlignment="1">
      <alignment vertical="center" wrapText="1"/>
    </xf>
    <xf numFmtId="0" fontId="5" fillId="0" borderId="29" xfId="0" applyFont="1" applyBorder="1" applyAlignment="1">
      <alignment horizontal="left" vertical="center"/>
    </xf>
    <xf numFmtId="176" fontId="17" fillId="3" borderId="0" xfId="0" applyNumberFormat="1" applyFont="1" applyFill="1">
      <alignment vertical="center"/>
    </xf>
    <xf numFmtId="176" fontId="11" fillId="3" borderId="0" xfId="0" applyNumberFormat="1" applyFont="1" applyFill="1">
      <alignment vertical="center"/>
    </xf>
    <xf numFmtId="0" fontId="8" fillId="18" borderId="0" xfId="0" applyFont="1" applyFill="1" applyBorder="1" applyAlignment="1">
      <alignment horizontal="center" vertical="center"/>
    </xf>
    <xf numFmtId="177" fontId="5" fillId="0" borderId="0" xfId="0" applyNumberFormat="1" applyFont="1" applyBorder="1" applyAlignment="1">
      <alignment horizontal="right" vertical="center"/>
    </xf>
    <xf numFmtId="0" fontId="26" fillId="0" borderId="0" xfId="0" applyFont="1" applyAlignment="1">
      <alignment vertical="top" wrapText="1"/>
    </xf>
    <xf numFmtId="176" fontId="5" fillId="0" borderId="6" xfId="0" applyNumberFormat="1" applyFont="1" applyBorder="1" applyAlignment="1">
      <alignment horizontal="right" vertical="center"/>
    </xf>
    <xf numFmtId="176" fontId="5" fillId="0" borderId="6" xfId="0" applyNumberFormat="1" applyFont="1" applyBorder="1">
      <alignment vertical="center"/>
    </xf>
    <xf numFmtId="176" fontId="8" fillId="19" borderId="0" xfId="0" applyNumberFormat="1" applyFont="1" applyFill="1" applyBorder="1">
      <alignment vertical="center"/>
    </xf>
    <xf numFmtId="177" fontId="8" fillId="18" borderId="0" xfId="0" applyNumberFormat="1" applyFont="1" applyFill="1" applyBorder="1" applyAlignment="1">
      <alignment horizontal="right" vertical="center"/>
    </xf>
    <xf numFmtId="0" fontId="17" fillId="0" borderId="0" xfId="0" applyFont="1">
      <alignment vertical="center"/>
    </xf>
    <xf numFmtId="0" fontId="16" fillId="0" borderId="6" xfId="0" applyFont="1" applyBorder="1" applyAlignment="1">
      <alignment horizontal="left" vertical="center"/>
    </xf>
    <xf numFmtId="0" fontId="16" fillId="0" borderId="29" xfId="0" applyFont="1" applyBorder="1" applyAlignment="1">
      <alignment horizontal="left" vertical="center"/>
    </xf>
    <xf numFmtId="0" fontId="16" fillId="0" borderId="6" xfId="0" applyFont="1" applyBorder="1" applyAlignment="1">
      <alignment vertical="center"/>
    </xf>
    <xf numFmtId="0" fontId="16" fillId="0" borderId="29" xfId="0" applyFont="1" applyBorder="1">
      <alignment vertical="center"/>
    </xf>
    <xf numFmtId="0" fontId="16" fillId="0" borderId="29" xfId="0" applyFont="1" applyBorder="1" applyAlignment="1">
      <alignment vertical="center"/>
    </xf>
    <xf numFmtId="38" fontId="5" fillId="0" borderId="0" xfId="0" applyNumberFormat="1" applyFont="1" applyAlignment="1">
      <alignment vertical="center" wrapText="1"/>
    </xf>
    <xf numFmtId="177" fontId="5" fillId="0" borderId="29" xfId="0" applyNumberFormat="1" applyFont="1" applyBorder="1">
      <alignment vertical="center"/>
    </xf>
    <xf numFmtId="177" fontId="8" fillId="0" borderId="0" xfId="0" applyNumberFormat="1" applyFont="1" applyFill="1" applyBorder="1" applyAlignment="1">
      <alignment horizontal="right" vertical="center"/>
    </xf>
    <xf numFmtId="0" fontId="8" fillId="18" borderId="5" xfId="0" applyFont="1" applyFill="1" applyBorder="1" applyAlignment="1">
      <alignment horizontal="center" vertical="center" wrapText="1"/>
    </xf>
    <xf numFmtId="0" fontId="8" fillId="18" borderId="6" xfId="0" applyFont="1" applyFill="1" applyBorder="1" applyAlignment="1">
      <alignment horizontal="left" vertical="center" indent="1"/>
    </xf>
    <xf numFmtId="0" fontId="8" fillId="18" borderId="29" xfId="0" applyFont="1" applyFill="1" applyBorder="1" applyAlignment="1">
      <alignment horizontal="left" vertical="center" indent="1"/>
    </xf>
    <xf numFmtId="0" fontId="11" fillId="3" borderId="0" xfId="0" applyFont="1" applyFill="1" applyAlignment="1">
      <alignment vertical="center"/>
    </xf>
    <xf numFmtId="38" fontId="8" fillId="6" borderId="31" xfId="0" applyNumberFormat="1" applyFont="1" applyFill="1" applyBorder="1">
      <alignment vertical="center"/>
    </xf>
    <xf numFmtId="177" fontId="5" fillId="0" borderId="12" xfId="0" applyNumberFormat="1" applyFont="1" applyBorder="1" applyAlignment="1">
      <alignment horizontal="right" vertical="center"/>
    </xf>
    <xf numFmtId="176" fontId="5" fillId="0" borderId="103" xfId="0" applyNumberFormat="1" applyFont="1" applyBorder="1" applyAlignment="1">
      <alignment horizontal="right" vertical="center"/>
    </xf>
    <xf numFmtId="176" fontId="5" fillId="0" borderId="104" xfId="0" applyNumberFormat="1" applyFont="1" applyBorder="1" applyAlignment="1">
      <alignment horizontal="right" vertical="center"/>
    </xf>
    <xf numFmtId="176" fontId="17" fillId="3" borderId="0" xfId="0" applyNumberFormat="1" applyFont="1" applyFill="1" applyAlignment="1">
      <alignment vertical="center"/>
    </xf>
    <xf numFmtId="176" fontId="17" fillId="0" borderId="0" xfId="0" applyNumberFormat="1" applyFont="1" applyAlignment="1">
      <alignment vertical="center"/>
    </xf>
    <xf numFmtId="177" fontId="5" fillId="0" borderId="7" xfId="0" applyNumberFormat="1" applyFont="1" applyBorder="1" applyAlignment="1">
      <alignment horizontal="right" vertical="center"/>
    </xf>
    <xf numFmtId="0" fontId="16" fillId="0" borderId="8" xfId="0" applyFont="1" applyBorder="1" applyAlignment="1">
      <alignment horizontal="left" vertical="center"/>
    </xf>
    <xf numFmtId="0" fontId="16" fillId="0" borderId="44" xfId="0" applyFont="1" applyBorder="1" applyAlignment="1">
      <alignment horizontal="left" vertical="center"/>
    </xf>
    <xf numFmtId="0" fontId="5" fillId="0" borderId="105" xfId="0" applyFont="1" applyBorder="1">
      <alignment vertical="center"/>
    </xf>
    <xf numFmtId="0" fontId="10" fillId="0" borderId="0" xfId="0" applyFont="1">
      <alignment vertical="center"/>
    </xf>
    <xf numFmtId="0" fontId="15" fillId="18" borderId="5" xfId="0" applyFont="1" applyFill="1" applyBorder="1" applyAlignment="1">
      <alignment horizontal="center" vertical="center"/>
    </xf>
    <xf numFmtId="0" fontId="15" fillId="18" borderId="5" xfId="0" applyFont="1" applyFill="1" applyBorder="1" applyAlignment="1">
      <alignment horizontal="center" vertical="center" wrapText="1"/>
    </xf>
    <xf numFmtId="176" fontId="16" fillId="0" borderId="6" xfId="0" applyNumberFormat="1" applyFont="1" applyBorder="1" applyAlignment="1">
      <alignment horizontal="right" vertical="center"/>
    </xf>
    <xf numFmtId="176" fontId="16" fillId="0" borderId="6" xfId="0" applyNumberFormat="1" applyFont="1" applyBorder="1">
      <alignment vertical="center"/>
    </xf>
    <xf numFmtId="0" fontId="11" fillId="0" borderId="0" xfId="0" applyFont="1" applyBorder="1" applyAlignment="1">
      <alignment horizontal="right" vertical="center"/>
    </xf>
    <xf numFmtId="38" fontId="11" fillId="0" borderId="0" xfId="0" applyNumberFormat="1" applyFont="1" applyBorder="1" applyAlignment="1">
      <alignment horizontal="right" vertical="center"/>
    </xf>
    <xf numFmtId="177" fontId="16" fillId="0" borderId="29" xfId="0" applyNumberFormat="1" applyFont="1" applyBorder="1" applyAlignment="1">
      <alignment horizontal="right" vertical="center"/>
    </xf>
    <xf numFmtId="176" fontId="15" fillId="18" borderId="6" xfId="0" applyNumberFormat="1" applyFont="1" applyFill="1" applyBorder="1" applyAlignment="1">
      <alignment horizontal="right" vertical="center"/>
    </xf>
    <xf numFmtId="177" fontId="15" fillId="18" borderId="29" xfId="0" applyNumberFormat="1" applyFont="1" applyFill="1" applyBorder="1" applyAlignment="1">
      <alignment horizontal="right" vertical="center"/>
    </xf>
    <xf numFmtId="0" fontId="33" fillId="0" borderId="0" xfId="0" applyFont="1">
      <alignment vertical="center"/>
    </xf>
    <xf numFmtId="3" fontId="5" fillId="0" borderId="0" xfId="0" applyNumberFormat="1" applyFont="1">
      <alignment vertical="center"/>
    </xf>
    <xf numFmtId="0" fontId="13" fillId="0" borderId="0" xfId="0" applyFont="1">
      <alignment vertical="center"/>
    </xf>
    <xf numFmtId="0" fontId="14" fillId="5" borderId="6" xfId="0" applyFont="1" applyFill="1" applyBorder="1" applyAlignment="1">
      <alignment horizontal="center" vertical="center"/>
    </xf>
    <xf numFmtId="0" fontId="14" fillId="5" borderId="29" xfId="0" applyFont="1" applyFill="1" applyBorder="1" applyAlignment="1">
      <alignment horizontal="center" vertical="center"/>
    </xf>
    <xf numFmtId="0" fontId="34" fillId="5" borderId="5" xfId="0" applyFont="1" applyFill="1" applyBorder="1" applyAlignment="1">
      <alignment horizontal="center" vertical="center" textRotation="255"/>
    </xf>
    <xf numFmtId="0" fontId="34" fillId="5" borderId="5" xfId="0" applyFont="1" applyFill="1" applyBorder="1" applyAlignment="1">
      <alignment horizontal="center" vertical="center" textRotation="255" wrapText="1"/>
    </xf>
    <xf numFmtId="176" fontId="13" fillId="0" borderId="5" xfId="0" applyNumberFormat="1" applyFont="1" applyBorder="1" applyAlignment="1">
      <alignment vertical="center" shrinkToFit="1"/>
    </xf>
    <xf numFmtId="176" fontId="14" fillId="0" borderId="5" xfId="0" applyNumberFormat="1" applyFont="1" applyBorder="1" applyAlignment="1">
      <alignment vertical="center" shrinkToFit="1"/>
    </xf>
    <xf numFmtId="0" fontId="13" fillId="0" borderId="5" xfId="0" applyFont="1" applyBorder="1" applyAlignment="1">
      <alignment horizontal="left" vertical="center" shrinkToFit="1"/>
    </xf>
    <xf numFmtId="0" fontId="14" fillId="5" borderId="5" xfId="0" applyFont="1" applyFill="1" applyBorder="1" applyAlignment="1">
      <alignment horizontal="center" vertical="center" shrinkToFit="1"/>
    </xf>
    <xf numFmtId="176" fontId="14" fillId="5" borderId="5" xfId="0" applyNumberFormat="1" applyFont="1" applyFill="1" applyBorder="1" applyAlignment="1">
      <alignment vertical="center" shrinkToFit="1"/>
    </xf>
    <xf numFmtId="186" fontId="9" fillId="0" borderId="5" xfId="7" applyNumberFormat="1" applyFont="1" applyBorder="1">
      <alignment vertical="center"/>
    </xf>
    <xf numFmtId="186" fontId="9" fillId="0" borderId="5" xfId="0" applyNumberFormat="1" applyFont="1" applyBorder="1" applyAlignment="1">
      <alignment horizontal="right" vertical="center"/>
    </xf>
    <xf numFmtId="186" fontId="9" fillId="0" borderId="5" xfId="0" applyNumberFormat="1" applyFont="1" applyBorder="1">
      <alignment vertical="center"/>
    </xf>
    <xf numFmtId="0" fontId="10" fillId="2" borderId="66" xfId="0" applyFont="1" applyFill="1" applyBorder="1" applyAlignment="1">
      <alignment horizontal="center" vertical="center"/>
    </xf>
    <xf numFmtId="0" fontId="10" fillId="2" borderId="67" xfId="0" applyFont="1" applyFill="1" applyBorder="1" applyAlignment="1">
      <alignment horizontal="center" vertical="center"/>
    </xf>
    <xf numFmtId="0" fontId="9" fillId="0" borderId="0" xfId="0" applyFont="1" applyAlignment="1">
      <alignment vertical="center"/>
    </xf>
    <xf numFmtId="0" fontId="10" fillId="17" borderId="66" xfId="0" applyFont="1" applyFill="1" applyBorder="1" applyAlignment="1">
      <alignment horizontal="center" vertical="center"/>
    </xf>
    <xf numFmtId="0" fontId="10" fillId="17" borderId="67" xfId="0" applyFont="1" applyFill="1" applyBorder="1" applyAlignment="1">
      <alignment horizontal="center" vertical="center"/>
    </xf>
    <xf numFmtId="0" fontId="10" fillId="17" borderId="5" xfId="0" applyFont="1" applyFill="1" applyBorder="1" applyAlignment="1">
      <alignment horizontal="center" vertical="center"/>
    </xf>
    <xf numFmtId="0" fontId="9" fillId="0" borderId="0" xfId="0" applyFont="1" applyAlignment="1">
      <alignment horizontal="center" vertical="center"/>
    </xf>
    <xf numFmtId="0" fontId="9" fillId="0" borderId="0" xfId="0" applyFont="1" applyBorder="1" applyAlignment="1">
      <alignment horizontal="center" vertical="center"/>
    </xf>
    <xf numFmtId="0" fontId="9" fillId="0" borderId="55" xfId="0" applyFont="1" applyBorder="1">
      <alignment vertical="center"/>
    </xf>
    <xf numFmtId="0" fontId="9" fillId="0" borderId="55" xfId="0" applyFont="1" applyBorder="1" applyAlignment="1">
      <alignment horizontal="center" vertical="center"/>
    </xf>
    <xf numFmtId="0" fontId="9" fillId="0" borderId="55" xfId="0" applyFont="1" applyBorder="1" applyAlignment="1">
      <alignment horizontal="center" vertical="center" shrinkToFit="1"/>
    </xf>
    <xf numFmtId="0" fontId="9" fillId="0" borderId="55" xfId="0" applyFont="1" applyBorder="1" applyAlignment="1">
      <alignment horizontal="left" vertical="center"/>
    </xf>
    <xf numFmtId="186" fontId="9" fillId="0" borderId="55" xfId="0" applyNumberFormat="1" applyFont="1" applyBorder="1">
      <alignment vertical="center"/>
    </xf>
    <xf numFmtId="177" fontId="9" fillId="0" borderId="55" xfId="1" applyNumberFormat="1" applyFont="1" applyBorder="1">
      <alignment vertical="center"/>
    </xf>
    <xf numFmtId="0" fontId="35" fillId="0" borderId="55" xfId="0" applyFont="1" applyFill="1" applyBorder="1" applyAlignment="1">
      <alignment horizontal="center" vertical="center"/>
    </xf>
    <xf numFmtId="0" fontId="9" fillId="0" borderId="55" xfId="0" applyFont="1" applyBorder="1" applyAlignment="1">
      <alignment horizontal="left" vertical="center" wrapText="1"/>
    </xf>
    <xf numFmtId="186" fontId="9" fillId="0" borderId="55" xfId="7" applyNumberFormat="1" applyFont="1" applyBorder="1">
      <alignment vertical="center"/>
    </xf>
    <xf numFmtId="177" fontId="9" fillId="0" borderId="0" xfId="1" applyNumberFormat="1" applyFont="1">
      <alignment vertical="center"/>
    </xf>
    <xf numFmtId="0" fontId="35" fillId="0" borderId="55" xfId="0" applyFont="1" applyBorder="1" applyAlignment="1">
      <alignment horizontal="center" vertical="center"/>
    </xf>
    <xf numFmtId="0" fontId="36" fillId="0" borderId="55" xfId="0" applyFont="1" applyBorder="1" applyAlignment="1">
      <alignment vertical="center" wrapText="1"/>
    </xf>
    <xf numFmtId="0" fontId="9" fillId="16" borderId="0" xfId="0" applyNumberFormat="1" applyFont="1" applyFill="1">
      <alignment vertical="center"/>
    </xf>
    <xf numFmtId="0" fontId="9" fillId="0" borderId="55" xfId="0" applyFont="1" applyBorder="1" applyAlignment="1">
      <alignment vertical="center" wrapText="1"/>
    </xf>
    <xf numFmtId="0" fontId="37" fillId="0" borderId="5" xfId="0" applyFont="1" applyBorder="1" applyAlignment="1">
      <alignment vertical="top" wrapText="1"/>
    </xf>
    <xf numFmtId="0" fontId="37" fillId="0" borderId="5" xfId="0" applyFont="1" applyFill="1" applyBorder="1" applyAlignment="1">
      <alignment vertical="top" wrapText="1"/>
    </xf>
    <xf numFmtId="0" fontId="38" fillId="0" borderId="0" xfId="0" applyFont="1" applyAlignment="1">
      <alignment horizontal="distributed" vertical="center"/>
    </xf>
    <xf numFmtId="0" fontId="5" fillId="0" borderId="70" xfId="0" applyFont="1" applyBorder="1" applyAlignment="1">
      <alignment horizontal="left" vertical="center" wrapText="1"/>
    </xf>
    <xf numFmtId="0" fontId="0" fillId="0" borderId="2" xfId="0" applyBorder="1" applyAlignment="1">
      <alignment horizontal="left" vertical="center" wrapText="1"/>
    </xf>
    <xf numFmtId="0" fontId="5" fillId="0" borderId="8" xfId="0" applyFont="1" applyBorder="1" applyAlignment="1">
      <alignment horizontal="left" vertical="center" wrapText="1"/>
    </xf>
    <xf numFmtId="0" fontId="0" fillId="0" borderId="28" xfId="0" applyBorder="1" applyAlignment="1">
      <alignment horizontal="left" vertical="center" wrapText="1"/>
    </xf>
    <xf numFmtId="0" fontId="5" fillId="0" borderId="26" xfId="0" applyFont="1" applyBorder="1" applyAlignment="1">
      <alignment horizontal="left" vertical="center" wrapText="1"/>
    </xf>
    <xf numFmtId="0" fontId="5" fillId="0" borderId="65" xfId="0" applyFont="1" applyBorder="1" applyAlignment="1">
      <alignment horizontal="left" vertical="center" wrapText="1"/>
    </xf>
    <xf numFmtId="0" fontId="0" fillId="0" borderId="1" xfId="0" applyBorder="1" applyAlignment="1">
      <alignment horizontal="left" vertical="center" wrapText="1"/>
    </xf>
    <xf numFmtId="0" fontId="5" fillId="0" borderId="26" xfId="0" applyFont="1" applyBorder="1" applyAlignment="1">
      <alignment horizontal="left" vertical="center"/>
    </xf>
    <xf numFmtId="0" fontId="5" fillId="0" borderId="28" xfId="0" applyFont="1" applyBorder="1" applyAlignment="1">
      <alignment horizontal="left" vertical="center"/>
    </xf>
    <xf numFmtId="0" fontId="5" fillId="0" borderId="70" xfId="0" applyFont="1" applyBorder="1" applyAlignment="1">
      <alignment horizontal="left" vertical="center"/>
    </xf>
    <xf numFmtId="0" fontId="5" fillId="0" borderId="2" xfId="0" applyFont="1" applyBorder="1" applyAlignment="1">
      <alignment horizontal="left" vertical="center"/>
    </xf>
    <xf numFmtId="0" fontId="5" fillId="0" borderId="28" xfId="0" applyFont="1" applyBorder="1" applyAlignment="1">
      <alignment horizontal="left" vertical="center" wrapText="1"/>
    </xf>
    <xf numFmtId="0" fontId="5" fillId="0" borderId="2" xfId="0" applyFont="1" applyBorder="1" applyAlignment="1">
      <alignment horizontal="left" vertical="center" wrapText="1"/>
    </xf>
    <xf numFmtId="183" fontId="5" fillId="0" borderId="3" xfId="0" applyNumberFormat="1" applyFont="1" applyBorder="1" applyAlignment="1">
      <alignment horizontal="right" vertical="center"/>
    </xf>
    <xf numFmtId="184" fontId="5" fillId="0" borderId="3" xfId="0" applyNumberFormat="1" applyFont="1" applyBorder="1" applyAlignment="1">
      <alignment horizontal="right" vertical="center"/>
    </xf>
    <xf numFmtId="0" fontId="13" fillId="0" borderId="26" xfId="0" applyFont="1" applyBorder="1" applyAlignment="1">
      <alignment horizontal="left" vertical="center" wrapText="1"/>
    </xf>
    <xf numFmtId="0" fontId="13" fillId="0" borderId="27" xfId="0" applyFont="1" applyBorder="1" applyAlignment="1">
      <alignment horizontal="left" vertical="center" wrapText="1"/>
    </xf>
    <xf numFmtId="0" fontId="8" fillId="12" borderId="5" xfId="0" applyFont="1" applyFill="1" applyBorder="1" applyAlignment="1">
      <alignment horizontal="left" vertical="center"/>
    </xf>
    <xf numFmtId="0" fontId="13" fillId="0" borderId="8" xfId="0" applyFont="1" applyFill="1" applyBorder="1" applyAlignment="1">
      <alignment horizontal="left" vertical="center"/>
    </xf>
    <xf numFmtId="0" fontId="13" fillId="0" borderId="9" xfId="0" applyFont="1" applyFill="1" applyBorder="1" applyAlignment="1">
      <alignment horizontal="left" vertical="center"/>
    </xf>
    <xf numFmtId="0" fontId="8" fillId="12" borderId="5" xfId="0" applyFont="1" applyFill="1" applyBorder="1" applyAlignment="1">
      <alignment horizontal="left" vertical="center" wrapText="1"/>
    </xf>
    <xf numFmtId="0" fontId="13" fillId="0" borderId="3" xfId="0" applyFont="1" applyBorder="1" applyAlignment="1"/>
    <xf numFmtId="0" fontId="13" fillId="0" borderId="26" xfId="0" applyFont="1" applyBorder="1" applyAlignment="1">
      <alignment horizontal="left" vertical="center"/>
    </xf>
    <xf numFmtId="0" fontId="13" fillId="0" borderId="27" xfId="0" applyFont="1" applyBorder="1" applyAlignment="1">
      <alignment horizontal="left" vertical="center"/>
    </xf>
    <xf numFmtId="0" fontId="8" fillId="12" borderId="26" xfId="0" applyFont="1" applyFill="1" applyBorder="1" applyAlignment="1">
      <alignment horizontal="center" vertical="center"/>
    </xf>
    <xf numFmtId="0" fontId="8" fillId="12" borderId="28" xfId="0" applyFont="1" applyFill="1" applyBorder="1" applyAlignment="1">
      <alignment horizontal="center" vertical="center"/>
    </xf>
    <xf numFmtId="0" fontId="8" fillId="12" borderId="27" xfId="0" applyFont="1" applyFill="1" applyBorder="1" applyAlignment="1">
      <alignment horizontal="center" vertical="center"/>
    </xf>
    <xf numFmtId="0" fontId="15" fillId="12" borderId="28" xfId="0" applyFont="1" applyFill="1" applyBorder="1" applyAlignment="1">
      <alignment horizontal="center" vertical="center"/>
    </xf>
    <xf numFmtId="0" fontId="15" fillId="12" borderId="27" xfId="0" applyFont="1" applyFill="1" applyBorder="1" applyAlignment="1">
      <alignment horizontal="center" vertical="center"/>
    </xf>
    <xf numFmtId="0" fontId="5" fillId="12" borderId="5" xfId="0" applyFont="1" applyFill="1" applyBorder="1" applyAlignment="1">
      <alignment horizontal="center" vertical="center"/>
    </xf>
    <xf numFmtId="0" fontId="8" fillId="12" borderId="8" xfId="0" applyFont="1" applyFill="1" applyBorder="1" applyAlignment="1">
      <alignment horizontal="center" vertical="center"/>
    </xf>
    <xf numFmtId="0" fontId="8" fillId="12" borderId="9" xfId="0" applyFont="1" applyFill="1" applyBorder="1" applyAlignment="1">
      <alignment horizontal="center" vertical="center"/>
    </xf>
    <xf numFmtId="0" fontId="8" fillId="12" borderId="44" xfId="0" applyFont="1" applyFill="1" applyBorder="1" applyAlignment="1">
      <alignment horizontal="center" vertical="center"/>
    </xf>
    <xf numFmtId="0" fontId="8" fillId="12" borderId="46" xfId="0" applyFont="1" applyFill="1" applyBorder="1" applyAlignment="1">
      <alignment horizontal="center" vertical="center"/>
    </xf>
    <xf numFmtId="0" fontId="13" fillId="0" borderId="0" xfId="0" applyFont="1" applyBorder="1" applyAlignment="1"/>
    <xf numFmtId="0" fontId="16" fillId="0" borderId="0" xfId="0" applyNumberFormat="1" applyFont="1" applyBorder="1" applyAlignment="1">
      <alignment horizontal="right" vertical="center"/>
    </xf>
    <xf numFmtId="20" fontId="15" fillId="4" borderId="6" xfId="0" applyNumberFormat="1" applyFont="1" applyFill="1" applyBorder="1" applyAlignment="1">
      <alignment horizontal="center" vertical="center"/>
    </xf>
    <xf numFmtId="20" fontId="15" fillId="4" borderId="7" xfId="0" applyNumberFormat="1" applyFont="1" applyFill="1" applyBorder="1" applyAlignment="1">
      <alignment horizontal="center" vertical="center"/>
    </xf>
    <xf numFmtId="0" fontId="15" fillId="4" borderId="8" xfId="0" applyFont="1" applyFill="1" applyBorder="1" applyAlignment="1">
      <alignment horizontal="center" vertical="center"/>
    </xf>
    <xf numFmtId="0" fontId="15" fillId="4" borderId="4" xfId="0" applyFont="1" applyFill="1" applyBorder="1" applyAlignment="1">
      <alignment horizontal="center" vertical="center"/>
    </xf>
    <xf numFmtId="0" fontId="15" fillId="4" borderId="9" xfId="0" applyFont="1" applyFill="1" applyBorder="1" applyAlignment="1">
      <alignment horizontal="center" vertical="center"/>
    </xf>
    <xf numFmtId="0" fontId="15" fillId="4" borderId="21" xfId="0" applyFont="1" applyFill="1" applyBorder="1" applyAlignment="1">
      <alignment horizontal="center" vertical="center"/>
    </xf>
    <xf numFmtId="0" fontId="15" fillId="4" borderId="22" xfId="0" applyFont="1" applyFill="1" applyBorder="1" applyAlignment="1">
      <alignment horizontal="center" vertical="center"/>
    </xf>
    <xf numFmtId="0" fontId="15" fillId="4" borderId="21" xfId="0" applyFont="1" applyFill="1" applyBorder="1" applyAlignment="1">
      <alignment horizontal="center" vertical="center" wrapText="1"/>
    </xf>
    <xf numFmtId="0" fontId="16" fillId="0" borderId="24" xfId="0" applyFont="1" applyBorder="1" applyAlignment="1">
      <alignment horizontal="right" vertical="center"/>
    </xf>
    <xf numFmtId="0" fontId="16" fillId="0" borderId="81" xfId="0" applyFont="1" applyBorder="1" applyAlignment="1">
      <alignment horizontal="right" vertical="center"/>
    </xf>
    <xf numFmtId="0" fontId="16" fillId="0" borderId="82" xfId="0" applyFont="1" applyBorder="1" applyAlignment="1">
      <alignment horizontal="right" vertical="center"/>
    </xf>
    <xf numFmtId="176" fontId="5" fillId="4" borderId="26" xfId="0" applyNumberFormat="1" applyFont="1" applyFill="1" applyBorder="1" applyAlignment="1">
      <alignment horizontal="center" vertical="center" shrinkToFit="1"/>
    </xf>
    <xf numFmtId="176" fontId="5" fillId="4" borderId="28" xfId="0" applyNumberFormat="1" applyFont="1" applyFill="1" applyBorder="1" applyAlignment="1">
      <alignment horizontal="center" vertical="center" shrinkToFit="1"/>
    </xf>
    <xf numFmtId="176" fontId="5" fillId="4" borderId="27" xfId="0" applyNumberFormat="1" applyFont="1" applyFill="1" applyBorder="1" applyAlignment="1">
      <alignment horizontal="center" vertical="center" shrinkToFit="1"/>
    </xf>
    <xf numFmtId="176" fontId="8" fillId="4" borderId="26" xfId="0" applyNumberFormat="1" applyFont="1" applyFill="1" applyBorder="1" applyAlignment="1">
      <alignment horizontal="center" vertical="center" shrinkToFit="1"/>
    </xf>
    <xf numFmtId="176" fontId="8" fillId="4" borderId="28" xfId="0" applyNumberFormat="1" applyFont="1" applyFill="1" applyBorder="1" applyAlignment="1">
      <alignment horizontal="center" vertical="center" shrinkToFit="1"/>
    </xf>
    <xf numFmtId="176" fontId="8" fillId="4" borderId="27" xfId="0" applyNumberFormat="1" applyFont="1" applyFill="1" applyBorder="1" applyAlignment="1">
      <alignment horizontal="center" vertical="center" shrinkToFit="1"/>
    </xf>
    <xf numFmtId="0" fontId="15" fillId="4" borderId="8" xfId="0" applyFont="1" applyFill="1" applyBorder="1" applyAlignment="1">
      <alignment horizontal="center" vertical="center" shrinkToFit="1"/>
    </xf>
    <xf numFmtId="0" fontId="15" fillId="4" borderId="4" xfId="0" applyFont="1" applyFill="1" applyBorder="1" applyAlignment="1">
      <alignment horizontal="center" vertical="center" shrinkToFit="1"/>
    </xf>
    <xf numFmtId="0" fontId="15" fillId="4" borderId="9" xfId="0" applyFont="1" applyFill="1" applyBorder="1" applyAlignment="1">
      <alignment horizontal="center" vertical="center" shrinkToFit="1"/>
    </xf>
    <xf numFmtId="0" fontId="15" fillId="4" borderId="21" xfId="0" applyFont="1" applyFill="1" applyBorder="1" applyAlignment="1">
      <alignment horizontal="center" vertical="center" shrinkToFit="1"/>
    </xf>
    <xf numFmtId="0" fontId="15" fillId="4" borderId="22" xfId="0" applyFont="1" applyFill="1" applyBorder="1" applyAlignment="1">
      <alignment horizontal="center" vertical="center" shrinkToFit="1"/>
    </xf>
    <xf numFmtId="0" fontId="16" fillId="8" borderId="26" xfId="0" applyFont="1" applyFill="1" applyBorder="1" applyAlignment="1">
      <alignment horizontal="right" vertical="center"/>
    </xf>
    <xf numFmtId="0" fontId="16" fillId="8" borderId="28" xfId="0" applyFont="1" applyFill="1" applyBorder="1" applyAlignment="1">
      <alignment horizontal="right" vertical="center"/>
    </xf>
    <xf numFmtId="0" fontId="16" fillId="8" borderId="27" xfId="0" applyFont="1" applyFill="1" applyBorder="1" applyAlignment="1">
      <alignment horizontal="right" vertical="center"/>
    </xf>
    <xf numFmtId="176" fontId="8" fillId="4" borderId="26" xfId="0" applyNumberFormat="1" applyFont="1" applyFill="1" applyBorder="1" applyAlignment="1">
      <alignment horizontal="center" vertical="center"/>
    </xf>
    <xf numFmtId="176" fontId="8" fillId="4" borderId="28" xfId="0" applyNumberFormat="1" applyFont="1" applyFill="1" applyBorder="1" applyAlignment="1">
      <alignment horizontal="center" vertical="center"/>
    </xf>
    <xf numFmtId="176" fontId="8" fillId="4" borderId="27" xfId="0" applyNumberFormat="1" applyFont="1" applyFill="1" applyBorder="1" applyAlignment="1">
      <alignment horizontal="center" vertical="center"/>
    </xf>
    <xf numFmtId="20" fontId="15" fillId="4" borderId="29" xfId="0" applyNumberFormat="1" applyFont="1" applyFill="1" applyBorder="1" applyAlignment="1">
      <alignment horizontal="center" vertical="center"/>
    </xf>
    <xf numFmtId="0" fontId="15" fillId="4" borderId="26" xfId="0" applyFont="1" applyFill="1" applyBorder="1" applyAlignment="1">
      <alignment horizontal="center" vertical="center"/>
    </xf>
    <xf numFmtId="0" fontId="15" fillId="4" borderId="28" xfId="0" applyFont="1" applyFill="1" applyBorder="1" applyAlignment="1">
      <alignment horizontal="center" vertical="center"/>
    </xf>
    <xf numFmtId="0" fontId="15" fillId="4" borderId="27" xfId="0" applyFont="1" applyFill="1" applyBorder="1" applyAlignment="1">
      <alignment horizontal="center" vertical="center"/>
    </xf>
    <xf numFmtId="0" fontId="14" fillId="4" borderId="26" xfId="0" applyFont="1" applyFill="1" applyBorder="1" applyAlignment="1">
      <alignment horizontal="center" vertical="center"/>
    </xf>
    <xf numFmtId="0" fontId="14" fillId="4" borderId="27" xfId="0" applyFont="1" applyFill="1" applyBorder="1" applyAlignment="1">
      <alignment horizontal="center" vertical="center"/>
    </xf>
    <xf numFmtId="0" fontId="14" fillId="4" borderId="26" xfId="0" applyFont="1" applyFill="1" applyBorder="1" applyAlignment="1">
      <alignment horizontal="center" vertical="center" wrapText="1"/>
    </xf>
    <xf numFmtId="0" fontId="14" fillId="4" borderId="27" xfId="0" applyFont="1" applyFill="1" applyBorder="1" applyAlignment="1">
      <alignment horizontal="center" vertical="center" wrapText="1"/>
    </xf>
    <xf numFmtId="0" fontId="15" fillId="4" borderId="8" xfId="0" applyFont="1" applyFill="1" applyBorder="1" applyAlignment="1">
      <alignment horizontal="center" vertical="center" wrapText="1"/>
    </xf>
    <xf numFmtId="0" fontId="15" fillId="4" borderId="9" xfId="0" applyFont="1" applyFill="1" applyBorder="1" applyAlignment="1">
      <alignment horizontal="center" vertical="center" wrapText="1"/>
    </xf>
    <xf numFmtId="0" fontId="15" fillId="4" borderId="44" xfId="0" applyFont="1" applyFill="1" applyBorder="1" applyAlignment="1">
      <alignment horizontal="center" vertical="center" wrapText="1"/>
    </xf>
    <xf numFmtId="0" fontId="15" fillId="4" borderId="46" xfId="0" applyFont="1" applyFill="1" applyBorder="1" applyAlignment="1">
      <alignment horizontal="center" vertical="center" wrapText="1"/>
    </xf>
    <xf numFmtId="176" fontId="5" fillId="4" borderId="26" xfId="0" applyNumberFormat="1" applyFont="1" applyFill="1" applyBorder="1" applyAlignment="1">
      <alignment horizontal="center" vertical="center"/>
    </xf>
    <xf numFmtId="176" fontId="5" fillId="4" borderId="28" xfId="0" applyNumberFormat="1" applyFont="1" applyFill="1" applyBorder="1" applyAlignment="1">
      <alignment horizontal="center" vertical="center"/>
    </xf>
    <xf numFmtId="176" fontId="5" fillId="4" borderId="27" xfId="0" applyNumberFormat="1" applyFont="1" applyFill="1" applyBorder="1" applyAlignment="1">
      <alignment horizontal="center" vertical="center"/>
    </xf>
    <xf numFmtId="0" fontId="15" fillId="4" borderId="26" xfId="0" applyFont="1" applyFill="1" applyBorder="1" applyAlignment="1">
      <alignment horizontal="justify" vertical="center" wrapText="1"/>
    </xf>
    <xf numFmtId="0" fontId="15" fillId="4" borderId="27" xfId="0" applyFont="1" applyFill="1" applyBorder="1" applyAlignment="1">
      <alignment horizontal="justify" vertical="center" wrapText="1"/>
    </xf>
    <xf numFmtId="176" fontId="5" fillId="4" borderId="26" xfId="0" applyNumberFormat="1" applyFont="1" applyFill="1" applyBorder="1" applyAlignment="1">
      <alignment horizontal="center" vertical="center" wrapText="1"/>
    </xf>
    <xf numFmtId="176" fontId="5" fillId="4" borderId="28" xfId="0" applyNumberFormat="1" applyFont="1" applyFill="1" applyBorder="1" applyAlignment="1">
      <alignment horizontal="center" vertical="center" wrapText="1"/>
    </xf>
    <xf numFmtId="176" fontId="5" fillId="4" borderId="27" xfId="0" applyNumberFormat="1" applyFont="1" applyFill="1" applyBorder="1" applyAlignment="1">
      <alignment horizontal="center" vertical="center" wrapText="1"/>
    </xf>
    <xf numFmtId="20" fontId="8" fillId="4" borderId="6" xfId="0" applyNumberFormat="1" applyFont="1" applyFill="1" applyBorder="1" applyAlignment="1">
      <alignment horizontal="center" vertical="center" shrinkToFit="1"/>
    </xf>
    <xf numFmtId="20" fontId="8" fillId="4" borderId="7" xfId="0" applyNumberFormat="1" applyFont="1" applyFill="1" applyBorder="1" applyAlignment="1">
      <alignment horizontal="center" vertical="center" shrinkToFit="1"/>
    </xf>
    <xf numFmtId="0" fontId="8" fillId="4" borderId="8" xfId="0" applyFont="1" applyFill="1" applyBorder="1" applyAlignment="1">
      <alignment horizontal="center" vertical="center" shrinkToFit="1"/>
    </xf>
    <xf numFmtId="0" fontId="8" fillId="4" borderId="4" xfId="0" applyFont="1" applyFill="1" applyBorder="1" applyAlignment="1">
      <alignment horizontal="center" vertical="center" shrinkToFit="1"/>
    </xf>
    <xf numFmtId="0" fontId="8" fillId="4" borderId="9" xfId="0" applyFont="1" applyFill="1" applyBorder="1" applyAlignment="1">
      <alignment horizontal="center" vertical="center" shrinkToFit="1"/>
    </xf>
    <xf numFmtId="0" fontId="14" fillId="4" borderId="13" xfId="0" applyFont="1" applyFill="1" applyBorder="1" applyAlignment="1">
      <alignment horizontal="center" vertical="center" shrinkToFit="1"/>
    </xf>
    <xf numFmtId="0" fontId="14" fillId="4" borderId="14" xfId="0" applyFont="1" applyFill="1" applyBorder="1" applyAlignment="1">
      <alignment horizontal="center" vertical="center" shrinkToFit="1"/>
    </xf>
    <xf numFmtId="0" fontId="5" fillId="0" borderId="6" xfId="0" applyFont="1" applyBorder="1" applyAlignment="1">
      <alignment horizontal="left" vertical="center"/>
    </xf>
    <xf numFmtId="0" fontId="0" fillId="0" borderId="29" xfId="0" applyBorder="1" applyAlignment="1">
      <alignment horizontal="left" vertical="center"/>
    </xf>
    <xf numFmtId="0" fontId="5" fillId="0" borderId="29" xfId="0" applyFont="1" applyBorder="1" applyAlignment="1">
      <alignment horizontal="left" vertical="center"/>
    </xf>
    <xf numFmtId="0" fontId="8" fillId="18" borderId="6" xfId="0" applyFont="1" applyFill="1" applyBorder="1" applyAlignment="1">
      <alignment horizontal="left" vertical="center"/>
    </xf>
    <xf numFmtId="0" fontId="13" fillId="0" borderId="6" xfId="0" applyFont="1" applyBorder="1" applyAlignment="1">
      <alignment horizontal="justify" vertical="center" wrapText="1"/>
    </xf>
    <xf numFmtId="0" fontId="13" fillId="0" borderId="29" xfId="0" applyFont="1" applyBorder="1" applyAlignment="1">
      <alignment horizontal="justify" vertical="center" wrapText="1"/>
    </xf>
    <xf numFmtId="0" fontId="12" fillId="0" borderId="6" xfId="0" applyFont="1" applyBorder="1" applyAlignment="1">
      <alignment horizontal="left" vertical="center" wrapText="1" indent="1"/>
    </xf>
    <xf numFmtId="0" fontId="12" fillId="0" borderId="29" xfId="0" applyFont="1" applyBorder="1" applyAlignment="1">
      <alignment horizontal="left" vertical="center" wrapText="1" indent="1"/>
    </xf>
    <xf numFmtId="0" fontId="16" fillId="0" borderId="6" xfId="0" applyFont="1" applyBorder="1" applyAlignment="1">
      <alignment horizontal="left" vertical="center"/>
    </xf>
    <xf numFmtId="0" fontId="5" fillId="0" borderId="6" xfId="0" applyFont="1" applyBorder="1" applyAlignment="1">
      <alignment horizontal="left" vertical="center" wrapText="1"/>
    </xf>
    <xf numFmtId="0" fontId="5" fillId="0" borderId="29" xfId="0" applyFont="1" applyBorder="1" applyAlignment="1">
      <alignment horizontal="left" vertical="center" wrapText="1"/>
    </xf>
    <xf numFmtId="0" fontId="5" fillId="0" borderId="6" xfId="0" applyFont="1" applyBorder="1" applyAlignment="1">
      <alignment horizontal="justify" vertical="top" wrapText="1"/>
    </xf>
    <xf numFmtId="0" fontId="5" fillId="0" borderId="29" xfId="0" applyFont="1" applyBorder="1" applyAlignment="1">
      <alignment horizontal="justify" vertical="top" wrapText="1"/>
    </xf>
    <xf numFmtId="0" fontId="5" fillId="0" borderId="6" xfId="0" applyFont="1" applyBorder="1" applyAlignment="1">
      <alignment horizontal="justify" vertical="center" wrapText="1"/>
    </xf>
    <xf numFmtId="0" fontId="5" fillId="0" borderId="29" xfId="0" applyFont="1" applyBorder="1" applyAlignment="1">
      <alignment horizontal="justify" vertical="center" wrapText="1"/>
    </xf>
    <xf numFmtId="0" fontId="16" fillId="0" borderId="6" xfId="0" applyFont="1" applyBorder="1" applyAlignment="1">
      <alignment horizontal="justify" vertical="center" wrapText="1"/>
    </xf>
    <xf numFmtId="0" fontId="16" fillId="0" borderId="29" xfId="0" applyFont="1" applyBorder="1" applyAlignment="1">
      <alignment horizontal="justify" vertical="center" wrapText="1"/>
    </xf>
    <xf numFmtId="0" fontId="32" fillId="0" borderId="6" xfId="0" applyFont="1" applyBorder="1" applyAlignment="1">
      <alignment horizontal="justify" vertical="center" wrapText="1"/>
    </xf>
    <xf numFmtId="0" fontId="32" fillId="0" borderId="29" xfId="0" applyFont="1" applyBorder="1" applyAlignment="1">
      <alignment horizontal="justify" vertical="center" wrapText="1"/>
    </xf>
    <xf numFmtId="0" fontId="5" fillId="0" borderId="6" xfId="0" applyFont="1" applyBorder="1">
      <alignment vertical="center"/>
    </xf>
    <xf numFmtId="0" fontId="5" fillId="0" borderId="29" xfId="0" applyFont="1" applyBorder="1">
      <alignment vertical="center"/>
    </xf>
    <xf numFmtId="0" fontId="8" fillId="18" borderId="6" xfId="0" applyFont="1" applyFill="1" applyBorder="1" applyAlignment="1">
      <alignment horizontal="left" vertical="center" indent="1"/>
    </xf>
    <xf numFmtId="0" fontId="8" fillId="18" borderId="29" xfId="0" applyFont="1" applyFill="1" applyBorder="1" applyAlignment="1">
      <alignment horizontal="left" vertical="center" indent="1"/>
    </xf>
    <xf numFmtId="0" fontId="8" fillId="18" borderId="29" xfId="0" applyFont="1" applyFill="1" applyBorder="1" applyAlignment="1">
      <alignment horizontal="left" vertical="center"/>
    </xf>
    <xf numFmtId="0" fontId="16" fillId="0" borderId="29" xfId="0" applyFont="1" applyBorder="1" applyAlignment="1">
      <alignment horizontal="left" vertical="center"/>
    </xf>
    <xf numFmtId="0" fontId="16" fillId="0" borderId="6" xfId="0" applyFont="1" applyBorder="1" applyAlignment="1">
      <alignment vertical="center"/>
    </xf>
    <xf numFmtId="0" fontId="16" fillId="0" borderId="29" xfId="0" applyFont="1" applyBorder="1" applyAlignment="1">
      <alignment vertical="center"/>
    </xf>
    <xf numFmtId="0" fontId="12" fillId="0" borderId="6" xfId="0" applyFont="1" applyBorder="1" applyAlignment="1">
      <alignment horizontal="justify" vertical="top" wrapText="1"/>
    </xf>
    <xf numFmtId="0" fontId="12" fillId="0" borderId="29" xfId="0" applyFont="1" applyBorder="1" applyAlignment="1">
      <alignment horizontal="justify" vertical="top" wrapText="1"/>
    </xf>
    <xf numFmtId="0" fontId="16" fillId="0" borderId="6" xfId="0" applyFont="1" applyBorder="1" applyAlignment="1">
      <alignment horizontal="justify" vertical="top" wrapText="1"/>
    </xf>
    <xf numFmtId="0" fontId="16" fillId="0" borderId="29" xfId="0" applyFont="1" applyBorder="1" applyAlignment="1">
      <alignment horizontal="justify" vertical="top" wrapText="1"/>
    </xf>
    <xf numFmtId="0" fontId="16" fillId="0" borderId="7" xfId="0" applyFont="1" applyBorder="1" applyAlignment="1">
      <alignment horizontal="justify" vertical="center" wrapText="1"/>
    </xf>
    <xf numFmtId="0" fontId="15" fillId="18" borderId="6" xfId="0" applyFont="1" applyFill="1" applyBorder="1" applyAlignment="1">
      <alignment horizontal="center" vertical="center"/>
    </xf>
    <xf numFmtId="0" fontId="15" fillId="18" borderId="29" xfId="0" applyFont="1" applyFill="1" applyBorder="1" applyAlignment="1">
      <alignment horizontal="center" vertical="center"/>
    </xf>
    <xf numFmtId="0" fontId="15" fillId="18" borderId="26" xfId="0" applyFont="1" applyFill="1" applyBorder="1" applyAlignment="1">
      <alignment horizontal="center" vertical="center"/>
    </xf>
    <xf numFmtId="0" fontId="15" fillId="18" borderId="28" xfId="0" applyFont="1" applyFill="1" applyBorder="1" applyAlignment="1">
      <alignment horizontal="center" vertical="center"/>
    </xf>
    <xf numFmtId="0" fontId="15" fillId="18" borderId="27" xfId="0" applyFont="1" applyFill="1" applyBorder="1" applyAlignment="1">
      <alignment horizontal="center" vertical="center"/>
    </xf>
    <xf numFmtId="0" fontId="15" fillId="18" borderId="6" xfId="0" applyFont="1" applyFill="1" applyBorder="1" applyAlignment="1">
      <alignment horizontal="left" vertical="center" indent="1"/>
    </xf>
    <xf numFmtId="0" fontId="15" fillId="18" borderId="29" xfId="0" applyFont="1" applyFill="1" applyBorder="1" applyAlignment="1">
      <alignment horizontal="left" vertical="center" indent="1"/>
    </xf>
    <xf numFmtId="0" fontId="14" fillId="5" borderId="26" xfId="0" applyFont="1" applyFill="1" applyBorder="1" applyAlignment="1">
      <alignment horizontal="center" vertical="center"/>
    </xf>
    <xf numFmtId="0" fontId="14" fillId="5" borderId="28" xfId="0" applyFont="1" applyFill="1" applyBorder="1" applyAlignment="1">
      <alignment horizontal="center" vertical="center"/>
    </xf>
    <xf numFmtId="0" fontId="14" fillId="5" borderId="27" xfId="0" applyFont="1" applyFill="1" applyBorder="1" applyAlignment="1">
      <alignment horizontal="center" vertical="center"/>
    </xf>
    <xf numFmtId="0" fontId="14" fillId="5" borderId="6" xfId="0" applyFont="1" applyFill="1" applyBorder="1" applyAlignment="1">
      <alignment horizontal="center" vertical="center"/>
    </xf>
    <xf numFmtId="0" fontId="14" fillId="5" borderId="29" xfId="0" applyFont="1" applyFill="1" applyBorder="1" applyAlignment="1">
      <alignment horizontal="center" vertical="center"/>
    </xf>
    <xf numFmtId="0" fontId="9" fillId="0" borderId="65" xfId="0" applyFont="1" applyBorder="1" applyAlignment="1">
      <alignment vertical="center" wrapText="1"/>
    </xf>
    <xf numFmtId="0" fontId="27" fillId="0" borderId="1" xfId="0" applyFont="1" applyBorder="1" applyAlignment="1">
      <alignment vertical="center" wrapText="1"/>
    </xf>
    <xf numFmtId="0" fontId="9" fillId="0" borderId="70" xfId="0" applyFont="1" applyBorder="1" applyAlignment="1">
      <alignment vertical="center" wrapText="1"/>
    </xf>
    <xf numFmtId="0" fontId="9" fillId="0" borderId="99" xfId="0" applyFont="1" applyBorder="1" applyAlignment="1">
      <alignment vertical="center" wrapText="1"/>
    </xf>
    <xf numFmtId="0" fontId="9" fillId="0" borderId="2" xfId="0" applyFont="1" applyBorder="1" applyAlignment="1">
      <alignment vertical="center" wrapText="1"/>
    </xf>
    <xf numFmtId="0" fontId="27" fillId="0" borderId="2" xfId="0" applyFont="1" applyBorder="1" applyAlignment="1">
      <alignment vertical="center" wrapText="1"/>
    </xf>
    <xf numFmtId="0" fontId="9" fillId="0" borderId="70" xfId="0" applyFont="1" applyBorder="1" applyAlignment="1">
      <alignment vertical="center"/>
    </xf>
    <xf numFmtId="0" fontId="9" fillId="0" borderId="2" xfId="0" applyFont="1" applyBorder="1" applyAlignment="1">
      <alignment vertical="center"/>
    </xf>
    <xf numFmtId="0" fontId="5" fillId="0" borderId="70" xfId="0" applyFont="1" applyBorder="1" applyAlignment="1">
      <alignment vertical="center" wrapText="1"/>
    </xf>
    <xf numFmtId="0" fontId="5" fillId="0" borderId="99" xfId="0" applyFont="1" applyBorder="1" applyAlignment="1">
      <alignment vertical="center" wrapText="1"/>
    </xf>
    <xf numFmtId="0" fontId="5" fillId="0" borderId="65" xfId="0" applyFont="1" applyBorder="1" applyAlignment="1">
      <alignment vertical="center" wrapText="1"/>
    </xf>
    <xf numFmtId="0" fontId="0" fillId="0" borderId="1" xfId="0" applyBorder="1" applyAlignment="1">
      <alignment vertical="center" wrapText="1"/>
    </xf>
    <xf numFmtId="0" fontId="0" fillId="0" borderId="2" xfId="0" applyBorder="1" applyAlignment="1">
      <alignment vertical="center" wrapText="1"/>
    </xf>
    <xf numFmtId="0" fontId="5" fillId="0" borderId="70" xfId="0" applyFont="1" applyBorder="1" applyAlignment="1">
      <alignment vertical="center"/>
    </xf>
    <xf numFmtId="0" fontId="5" fillId="0" borderId="2" xfId="0" applyFont="1" applyBorder="1" applyAlignment="1">
      <alignment vertical="center"/>
    </xf>
    <xf numFmtId="0" fontId="5" fillId="0" borderId="2" xfId="0" applyFont="1" applyBorder="1" applyAlignment="1">
      <alignment vertical="center" wrapText="1"/>
    </xf>
    <xf numFmtId="0" fontId="9" fillId="0" borderId="55" xfId="0" applyFont="1" applyBorder="1" applyAlignment="1">
      <alignment horizontal="center" vertical="center" shrinkToFit="1"/>
    </xf>
    <xf numFmtId="0" fontId="25" fillId="0" borderId="0" xfId="0" applyFont="1" applyBorder="1" applyAlignment="1">
      <alignment horizontal="center" vertical="center"/>
    </xf>
    <xf numFmtId="0" fontId="5" fillId="0" borderId="90" xfId="0" applyFont="1" applyBorder="1" applyAlignment="1">
      <alignment horizontal="center" vertical="center"/>
    </xf>
    <xf numFmtId="0" fontId="5" fillId="0" borderId="91" xfId="0" applyFont="1" applyBorder="1" applyAlignment="1">
      <alignment horizontal="center" vertical="center"/>
    </xf>
  </cellXfs>
  <cellStyles count="9">
    <cellStyle name="パーセント" xfId="1" builtinId="5"/>
    <cellStyle name="桁区切り" xfId="7" builtinId="6"/>
    <cellStyle name="桁区切り 2" xfId="8"/>
    <cellStyle name="標準" xfId="0" builtinId="0"/>
    <cellStyle name="標準 2" xfId="2"/>
    <cellStyle name="標準 2 2" xfId="3"/>
    <cellStyle name="標準 3" xfId="4"/>
    <cellStyle name="標準 4" xfId="5"/>
    <cellStyle name="標準 4 2" xfId="6"/>
  </cellStyles>
  <dxfs count="649">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0"/>
        <name val="メイリオ"/>
        <scheme val="none"/>
      </font>
      <fill>
        <patternFill patternType="solid">
          <fgColor indexed="64"/>
          <bgColor theme="5" tint="-0.499984740745262"/>
        </patternFill>
      </fill>
    </dxf>
    <dxf>
      <font>
        <b val="0"/>
        <i val="0"/>
        <strike val="0"/>
        <condense val="0"/>
        <extend val="0"/>
        <outline val="0"/>
        <shadow val="0"/>
        <u val="none"/>
        <vertAlign val="baseline"/>
        <sz val="11"/>
        <color theme="1"/>
        <name val="メイリオ"/>
        <scheme val="none"/>
      </font>
    </dxf>
    <dxf>
      <font>
        <b val="0"/>
        <i val="0"/>
        <strike val="0"/>
        <condense val="0"/>
        <extend val="0"/>
        <outline val="0"/>
        <shadow val="0"/>
        <u val="none"/>
        <vertAlign val="baseline"/>
        <sz val="11"/>
        <color theme="0"/>
        <name val="メイリオ"/>
        <scheme val="none"/>
      </font>
      <fill>
        <patternFill patternType="solid">
          <fgColor indexed="64"/>
          <bgColor theme="5" tint="-0.499984740745262"/>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0"/>
        <name val="メイリオ"/>
        <scheme val="none"/>
      </font>
      <fill>
        <patternFill patternType="solid">
          <fgColor indexed="64"/>
          <bgColor theme="5" tint="-0.499984740745262"/>
        </patternFill>
      </fill>
    </dxf>
    <dxf>
      <font>
        <b val="0"/>
        <i val="0"/>
        <strike val="0"/>
        <condense val="0"/>
        <extend val="0"/>
        <outline val="0"/>
        <shadow val="0"/>
        <u val="none"/>
        <vertAlign val="baseline"/>
        <sz val="11"/>
        <color theme="1"/>
        <name val="メイリオ"/>
        <scheme val="none"/>
      </font>
    </dxf>
    <dxf>
      <font>
        <b val="0"/>
        <i val="0"/>
        <strike val="0"/>
        <condense val="0"/>
        <extend val="0"/>
        <outline val="0"/>
        <shadow val="0"/>
        <u val="none"/>
        <vertAlign val="baseline"/>
        <sz val="11"/>
        <color theme="0"/>
        <name val="メイリオ"/>
        <scheme val="none"/>
      </font>
      <fill>
        <patternFill patternType="solid">
          <fgColor indexed="64"/>
          <bgColor theme="5" tint="-0.499984740745262"/>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0"/>
        <name val="メイリオ"/>
        <scheme val="none"/>
      </font>
      <fill>
        <patternFill patternType="solid">
          <fgColor indexed="64"/>
          <bgColor theme="5" tint="-0.499984740745262"/>
        </patternFill>
      </fill>
    </dxf>
    <dxf>
      <font>
        <b val="0"/>
        <i val="0"/>
        <strike val="0"/>
        <condense val="0"/>
        <extend val="0"/>
        <outline val="0"/>
        <shadow val="0"/>
        <u val="none"/>
        <vertAlign val="baseline"/>
        <sz val="11"/>
        <color theme="1"/>
        <name val="メイリオ"/>
        <scheme val="none"/>
      </font>
    </dxf>
    <dxf>
      <font>
        <b val="0"/>
        <i val="0"/>
        <strike val="0"/>
        <condense val="0"/>
        <extend val="0"/>
        <outline val="0"/>
        <shadow val="0"/>
        <u val="none"/>
        <vertAlign val="baseline"/>
        <sz val="11"/>
        <color theme="0"/>
        <name val="メイリオ"/>
        <scheme val="none"/>
      </font>
      <fill>
        <patternFill patternType="solid">
          <fgColor indexed="64"/>
          <bgColor theme="5" tint="-0.499984740745262"/>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0"/>
        <name val="メイリオ"/>
        <scheme val="none"/>
      </font>
      <fill>
        <patternFill patternType="solid">
          <fgColor indexed="64"/>
          <bgColor theme="5" tint="-0.499984740745262"/>
        </patternFill>
      </fill>
    </dxf>
    <dxf>
      <font>
        <b val="0"/>
        <i val="0"/>
        <strike val="0"/>
        <condense val="0"/>
        <extend val="0"/>
        <outline val="0"/>
        <shadow val="0"/>
        <u val="none"/>
        <vertAlign val="baseline"/>
        <sz val="11"/>
        <color theme="1"/>
        <name val="メイリオ"/>
        <scheme val="none"/>
      </font>
    </dxf>
    <dxf>
      <font>
        <b val="0"/>
        <i val="0"/>
        <strike val="0"/>
        <condense val="0"/>
        <extend val="0"/>
        <outline val="0"/>
        <shadow val="0"/>
        <u val="none"/>
        <vertAlign val="baseline"/>
        <sz val="11"/>
        <color theme="0"/>
        <name val="メイリオ"/>
        <scheme val="none"/>
      </font>
      <fill>
        <patternFill patternType="solid">
          <fgColor indexed="64"/>
          <bgColor theme="5" tint="-0.499984740745262"/>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0"/>
        <name val="メイリオ"/>
        <scheme val="none"/>
      </font>
      <fill>
        <patternFill patternType="solid">
          <fgColor indexed="64"/>
          <bgColor theme="5" tint="-0.499984740745262"/>
        </patternFill>
      </fill>
    </dxf>
    <dxf>
      <font>
        <b val="0"/>
        <i val="0"/>
        <strike val="0"/>
        <condense val="0"/>
        <extend val="0"/>
        <outline val="0"/>
        <shadow val="0"/>
        <u val="none"/>
        <vertAlign val="baseline"/>
        <sz val="11"/>
        <color theme="0"/>
        <name val="メイリオ"/>
        <scheme val="none"/>
      </font>
      <fill>
        <patternFill patternType="solid">
          <fgColor indexed="64"/>
          <bgColor theme="5" tint="-0.499984740745262"/>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0"/>
        <name val="メイリオ"/>
        <scheme val="none"/>
      </font>
      <fill>
        <patternFill patternType="solid">
          <fgColor indexed="64"/>
          <bgColor theme="5" tint="-0.499984740745262"/>
        </patternFill>
      </fill>
    </dxf>
    <dxf>
      <font>
        <b val="0"/>
        <i val="0"/>
        <strike val="0"/>
        <condense val="0"/>
        <extend val="0"/>
        <outline val="0"/>
        <shadow val="0"/>
        <u val="none"/>
        <vertAlign val="baseline"/>
        <sz val="11"/>
        <color theme="1"/>
        <name val="メイリオ"/>
        <scheme val="none"/>
      </font>
    </dxf>
    <dxf>
      <font>
        <b val="0"/>
        <i val="0"/>
        <strike val="0"/>
        <condense val="0"/>
        <extend val="0"/>
        <outline val="0"/>
        <shadow val="0"/>
        <u val="none"/>
        <vertAlign val="baseline"/>
        <sz val="11"/>
        <color theme="0"/>
        <name val="メイリオ"/>
        <scheme val="none"/>
      </font>
      <fill>
        <patternFill patternType="solid">
          <fgColor indexed="64"/>
          <bgColor theme="5" tint="-0.499984740745262"/>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0"/>
        <name val="メイリオ"/>
        <scheme val="none"/>
      </font>
      <fill>
        <patternFill patternType="solid">
          <fgColor indexed="64"/>
          <bgColor theme="5" tint="-0.499984740745262"/>
        </patternFill>
      </fill>
    </dxf>
    <dxf>
      <font>
        <b val="0"/>
        <i val="0"/>
        <strike val="0"/>
        <condense val="0"/>
        <extend val="0"/>
        <outline val="0"/>
        <shadow val="0"/>
        <u val="none"/>
        <vertAlign val="baseline"/>
        <sz val="11"/>
        <color theme="1"/>
        <name val="メイリオ"/>
        <scheme val="none"/>
      </font>
    </dxf>
    <dxf>
      <font>
        <b val="0"/>
        <i val="0"/>
        <strike val="0"/>
        <condense val="0"/>
        <extend val="0"/>
        <outline val="0"/>
        <shadow val="0"/>
        <u val="none"/>
        <vertAlign val="baseline"/>
        <sz val="11"/>
        <color theme="0"/>
        <name val="メイリオ"/>
        <scheme val="none"/>
      </font>
      <fill>
        <patternFill patternType="solid">
          <fgColor indexed="64"/>
          <bgColor theme="5" tint="-0.499984740745262"/>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0"/>
        <name val="メイリオ"/>
        <scheme val="none"/>
      </font>
      <fill>
        <patternFill patternType="solid">
          <fgColor indexed="64"/>
          <bgColor theme="5" tint="-0.499984740745262"/>
        </patternFill>
      </fill>
    </dxf>
    <dxf>
      <font>
        <b val="0"/>
        <i val="0"/>
        <strike val="0"/>
        <condense val="0"/>
        <extend val="0"/>
        <outline val="0"/>
        <shadow val="0"/>
        <u val="none"/>
        <vertAlign val="baseline"/>
        <sz val="11"/>
        <color theme="1"/>
        <name val="メイリオ"/>
        <scheme val="none"/>
      </font>
    </dxf>
    <dxf>
      <font>
        <b val="0"/>
        <i val="0"/>
        <strike val="0"/>
        <condense val="0"/>
        <extend val="0"/>
        <outline val="0"/>
        <shadow val="0"/>
        <u val="none"/>
        <vertAlign val="baseline"/>
        <sz val="11"/>
        <color theme="0"/>
        <name val="メイリオ"/>
        <scheme val="none"/>
      </font>
      <fill>
        <patternFill patternType="solid">
          <fgColor indexed="64"/>
          <bgColor theme="5" tint="-0.499984740745262"/>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0"/>
        <name val="メイリオ"/>
        <scheme val="none"/>
      </font>
      <fill>
        <patternFill patternType="solid">
          <fgColor indexed="64"/>
          <bgColor theme="5" tint="-0.499984740745262"/>
        </patternFill>
      </fill>
    </dxf>
    <dxf>
      <font>
        <b val="0"/>
        <i val="0"/>
        <strike val="0"/>
        <condense val="0"/>
        <extend val="0"/>
        <outline val="0"/>
        <shadow val="0"/>
        <u val="none"/>
        <vertAlign val="baseline"/>
        <sz val="11"/>
        <color theme="0"/>
        <name val="メイリオ"/>
        <scheme val="none"/>
      </font>
      <fill>
        <patternFill patternType="solid">
          <fgColor indexed="64"/>
          <bgColor theme="5" tint="-0.499984740745262"/>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0"/>
        <name val="メイリオ"/>
        <scheme val="none"/>
      </font>
      <fill>
        <patternFill patternType="solid">
          <fgColor indexed="64"/>
          <bgColor theme="5" tint="-0.499984740745262"/>
        </patternFill>
      </fill>
    </dxf>
    <dxf>
      <font>
        <b val="0"/>
        <i val="0"/>
        <strike val="0"/>
        <condense val="0"/>
        <extend val="0"/>
        <outline val="0"/>
        <shadow val="0"/>
        <u val="none"/>
        <vertAlign val="baseline"/>
        <sz val="11"/>
        <color theme="1"/>
        <name val="メイリオ"/>
        <scheme val="none"/>
      </font>
    </dxf>
    <dxf>
      <font>
        <b val="0"/>
        <i val="0"/>
        <strike val="0"/>
        <condense val="0"/>
        <extend val="0"/>
        <outline val="0"/>
        <shadow val="0"/>
        <u val="none"/>
        <vertAlign val="baseline"/>
        <sz val="11"/>
        <color theme="0"/>
        <name val="メイリオ"/>
        <scheme val="none"/>
      </font>
      <fill>
        <patternFill patternType="solid">
          <fgColor indexed="64"/>
          <bgColor theme="5" tint="-0.499984740745262"/>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0"/>
        <name val="メイリオ"/>
        <scheme val="none"/>
      </font>
      <fill>
        <patternFill patternType="solid">
          <fgColor indexed="64"/>
          <bgColor theme="5" tint="-0.499984740745262"/>
        </patternFill>
      </fill>
    </dxf>
    <dxf>
      <font>
        <b val="0"/>
        <i val="0"/>
        <strike val="0"/>
        <condense val="0"/>
        <extend val="0"/>
        <outline val="0"/>
        <shadow val="0"/>
        <u val="none"/>
        <vertAlign val="baseline"/>
        <sz val="11"/>
        <color theme="1"/>
        <name val="メイリオ"/>
        <scheme val="none"/>
      </font>
    </dxf>
    <dxf>
      <font>
        <b val="0"/>
        <i val="0"/>
        <strike val="0"/>
        <condense val="0"/>
        <extend val="0"/>
        <outline val="0"/>
        <shadow val="0"/>
        <u val="none"/>
        <vertAlign val="baseline"/>
        <sz val="11"/>
        <color theme="0"/>
        <name val="メイリオ"/>
        <scheme val="none"/>
      </font>
      <fill>
        <patternFill patternType="solid">
          <fgColor indexed="64"/>
          <bgColor theme="5" tint="-0.499984740745262"/>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0"/>
        <name val="メイリオ"/>
        <scheme val="none"/>
      </font>
      <fill>
        <patternFill patternType="solid">
          <fgColor indexed="64"/>
          <bgColor theme="5" tint="-0.499984740745262"/>
        </patternFill>
      </fill>
    </dxf>
    <dxf>
      <font>
        <b val="0"/>
        <i val="0"/>
        <strike val="0"/>
        <condense val="0"/>
        <extend val="0"/>
        <outline val="0"/>
        <shadow val="0"/>
        <u val="none"/>
        <vertAlign val="baseline"/>
        <sz val="11"/>
        <color theme="1"/>
        <name val="メイリオ"/>
        <scheme val="none"/>
      </font>
    </dxf>
    <dxf>
      <font>
        <b val="0"/>
        <i val="0"/>
        <strike val="0"/>
        <condense val="0"/>
        <extend val="0"/>
        <outline val="0"/>
        <shadow val="0"/>
        <u val="none"/>
        <vertAlign val="baseline"/>
        <sz val="11"/>
        <color theme="0"/>
        <name val="メイリオ"/>
        <scheme val="none"/>
      </font>
      <fill>
        <patternFill patternType="solid">
          <fgColor indexed="64"/>
          <bgColor theme="5" tint="-0.499984740745262"/>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0"/>
        <name val="メイリオ"/>
        <scheme val="none"/>
      </font>
      <fill>
        <patternFill patternType="solid">
          <fgColor indexed="64"/>
          <bgColor theme="5" tint="-0.499984740745262"/>
        </patternFill>
      </fill>
    </dxf>
    <dxf>
      <font>
        <b val="0"/>
        <i val="0"/>
        <strike val="0"/>
        <condense val="0"/>
        <extend val="0"/>
        <outline val="0"/>
        <shadow val="0"/>
        <u val="none"/>
        <vertAlign val="baseline"/>
        <sz val="11"/>
        <color theme="0"/>
        <name val="メイリオ"/>
        <scheme val="none"/>
      </font>
      <fill>
        <patternFill patternType="solid">
          <fgColor indexed="64"/>
          <bgColor theme="5" tint="-0.499984740745262"/>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0"/>
        <name val="メイリオ"/>
        <scheme val="none"/>
      </font>
      <fill>
        <patternFill patternType="solid">
          <fgColor indexed="64"/>
          <bgColor theme="5" tint="-0.499984740745262"/>
        </patternFill>
      </fill>
    </dxf>
    <dxf>
      <font>
        <b val="0"/>
        <i val="0"/>
        <strike val="0"/>
        <condense val="0"/>
        <extend val="0"/>
        <outline val="0"/>
        <shadow val="0"/>
        <u val="none"/>
        <vertAlign val="baseline"/>
        <sz val="11"/>
        <color theme="1"/>
        <name val="メイリオ"/>
        <scheme val="none"/>
      </font>
    </dxf>
    <dxf>
      <font>
        <b val="0"/>
        <i val="0"/>
        <strike val="0"/>
        <condense val="0"/>
        <extend val="0"/>
        <outline val="0"/>
        <shadow val="0"/>
        <u val="none"/>
        <vertAlign val="baseline"/>
        <sz val="11"/>
        <color theme="0"/>
        <name val="メイリオ"/>
        <scheme val="none"/>
      </font>
      <fill>
        <patternFill patternType="solid">
          <fgColor indexed="64"/>
          <bgColor theme="5" tint="-0.499984740745262"/>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0"/>
        <name val="メイリオ"/>
        <scheme val="none"/>
      </font>
      <fill>
        <patternFill patternType="solid">
          <fgColor indexed="64"/>
          <bgColor theme="5" tint="-0.499984740745262"/>
        </patternFill>
      </fill>
    </dxf>
    <dxf>
      <font>
        <b val="0"/>
        <i val="0"/>
        <strike val="0"/>
        <condense val="0"/>
        <extend val="0"/>
        <outline val="0"/>
        <shadow val="0"/>
        <u val="none"/>
        <vertAlign val="baseline"/>
        <sz val="11"/>
        <color theme="1"/>
        <name val="メイリオ"/>
        <scheme val="none"/>
      </font>
    </dxf>
    <dxf>
      <font>
        <b val="0"/>
        <i val="0"/>
        <strike val="0"/>
        <condense val="0"/>
        <extend val="0"/>
        <outline val="0"/>
        <shadow val="0"/>
        <u val="none"/>
        <vertAlign val="baseline"/>
        <sz val="11"/>
        <color theme="0"/>
        <name val="メイリオ"/>
        <scheme val="none"/>
      </font>
      <fill>
        <patternFill patternType="solid">
          <fgColor indexed="64"/>
          <bgColor theme="5" tint="-0.499984740745262"/>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0"/>
        <name val="メイリオ"/>
        <scheme val="none"/>
      </font>
      <fill>
        <patternFill patternType="solid">
          <fgColor indexed="64"/>
          <bgColor theme="5" tint="-0.499984740745262"/>
        </patternFill>
      </fill>
    </dxf>
    <dxf>
      <font>
        <b val="0"/>
        <i val="0"/>
        <strike val="0"/>
        <condense val="0"/>
        <extend val="0"/>
        <outline val="0"/>
        <shadow val="0"/>
        <u val="none"/>
        <vertAlign val="baseline"/>
        <sz val="11"/>
        <color theme="1"/>
        <name val="メイリオ"/>
        <scheme val="none"/>
      </font>
    </dxf>
    <dxf>
      <font>
        <b val="0"/>
        <i val="0"/>
        <strike val="0"/>
        <condense val="0"/>
        <extend val="0"/>
        <outline val="0"/>
        <shadow val="0"/>
        <u val="none"/>
        <vertAlign val="baseline"/>
        <sz val="11"/>
        <color theme="0"/>
        <name val="メイリオ"/>
        <scheme val="none"/>
      </font>
      <fill>
        <patternFill patternType="solid">
          <fgColor indexed="64"/>
          <bgColor theme="5" tint="-0.499984740745262"/>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メイリオ"/>
        <scheme val="none"/>
      </font>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outline="0">
        <left/>
        <right style="thin">
          <color theme="0"/>
        </right>
        <top style="thin">
          <color theme="0"/>
        </top>
        <bottom style="thin">
          <color theme="0"/>
        </bottom>
      </border>
    </dxf>
    <dxf>
      <font>
        <b val="0"/>
        <i val="0"/>
        <strike val="0"/>
        <condense val="0"/>
        <extend val="0"/>
        <outline val="0"/>
        <shadow val="0"/>
        <u val="none"/>
        <vertAlign val="baseline"/>
        <sz val="11"/>
        <color theme="0"/>
        <name val="メイリオ"/>
        <scheme val="none"/>
      </font>
      <fill>
        <patternFill patternType="solid">
          <fgColor indexed="64"/>
          <bgColor theme="5" tint="-0.499984740745262"/>
        </patternFill>
      </fill>
      <alignment horizontal="left" vertical="center" textRotation="0" wrapText="0" indent="0" justifyLastLine="0" shrinkToFit="0" readingOrder="0"/>
    </dxf>
    <dxf>
      <font>
        <b val="0"/>
        <i val="0"/>
        <strike val="0"/>
        <condense val="0"/>
        <extend val="0"/>
        <outline val="0"/>
        <shadow val="0"/>
        <u val="none"/>
        <vertAlign val="baseline"/>
        <sz val="11"/>
        <color theme="1"/>
        <name val="メイリオ"/>
        <scheme val="none"/>
      </font>
    </dxf>
    <dxf>
      <font>
        <b val="0"/>
        <i val="0"/>
        <strike val="0"/>
        <condense val="0"/>
        <extend val="0"/>
        <outline val="0"/>
        <shadow val="0"/>
        <u val="none"/>
        <vertAlign val="baseline"/>
        <sz val="11"/>
        <color theme="0"/>
        <name val="メイリオ"/>
        <scheme val="none"/>
      </font>
    </dxf>
    <dxf>
      <font>
        <b val="0"/>
        <i val="0"/>
        <strike val="0"/>
        <condense val="0"/>
        <extend val="0"/>
        <outline val="0"/>
        <shadow val="0"/>
        <u val="none"/>
        <vertAlign val="baseline"/>
        <sz val="11"/>
        <color theme="1"/>
        <name val="メイリオ"/>
        <scheme val="none"/>
      </font>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0"/>
        <name val="メイリオ"/>
        <scheme val="none"/>
      </font>
      <fill>
        <patternFill patternType="solid">
          <fgColor indexed="64"/>
          <bgColor theme="5" tint="-0.499984740745262"/>
        </patternFill>
      </fill>
      <alignment horizontal="right" vertical="center" textRotation="0" wrapText="0" indent="0" justifyLastLine="0" shrinkToFit="0" readingOrder="0"/>
    </dxf>
    <dxf>
      <font>
        <b val="0"/>
        <i val="0"/>
        <strike val="0"/>
        <condense val="0"/>
        <extend val="0"/>
        <outline val="0"/>
        <shadow val="0"/>
        <u val="none"/>
        <vertAlign val="baseline"/>
        <sz val="11"/>
        <color theme="1"/>
        <name val="メイリオ"/>
        <scheme val="none"/>
      </font>
    </dxf>
    <dxf>
      <font>
        <b val="0"/>
        <i val="0"/>
        <strike val="0"/>
        <condense val="0"/>
        <extend val="0"/>
        <outline val="0"/>
        <shadow val="0"/>
        <u val="none"/>
        <vertAlign val="baseline"/>
        <sz val="11"/>
        <color theme="0"/>
        <name val="メイリオ"/>
        <scheme val="none"/>
      </font>
      <alignment horizontal="general" vertical="center" textRotation="0" wrapText="0" indent="0" justifyLastLine="0" shrinkToFit="0" readingOrder="0"/>
    </dxf>
    <dxf>
      <font>
        <b val="0"/>
        <i val="0"/>
        <strike val="0"/>
        <condense val="0"/>
        <extend val="0"/>
        <outline val="0"/>
        <shadow val="0"/>
        <u val="none"/>
        <vertAlign val="baseline"/>
        <sz val="11"/>
        <color theme="1"/>
        <name val="メイリオ"/>
        <scheme val="none"/>
      </font>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outline="0">
        <left/>
        <right style="thin">
          <color theme="0"/>
        </right>
        <top style="thin">
          <color theme="0"/>
        </top>
        <bottom style="thin">
          <color theme="0"/>
        </bottom>
      </border>
    </dxf>
    <dxf>
      <font>
        <b val="0"/>
        <i val="0"/>
        <strike val="0"/>
        <condense val="0"/>
        <extend val="0"/>
        <outline val="0"/>
        <shadow val="0"/>
        <u val="none"/>
        <vertAlign val="baseline"/>
        <sz val="11"/>
        <color theme="0"/>
        <name val="メイリオ"/>
        <scheme val="none"/>
      </font>
      <fill>
        <patternFill patternType="solid">
          <fgColor indexed="64"/>
          <bgColor theme="5" tint="-0.499984740745262"/>
        </patternFill>
      </fill>
      <alignment horizontal="left" vertical="center" textRotation="0" wrapText="0" indent="0" justifyLastLine="0" shrinkToFit="0" readingOrder="0"/>
    </dxf>
    <dxf>
      <font>
        <b val="0"/>
        <i val="0"/>
        <strike val="0"/>
        <condense val="0"/>
        <extend val="0"/>
        <outline val="0"/>
        <shadow val="0"/>
        <u val="none"/>
        <vertAlign val="baseline"/>
        <sz val="11"/>
        <color theme="1"/>
        <name val="メイリオ"/>
        <scheme val="none"/>
      </font>
    </dxf>
    <dxf>
      <font>
        <b val="0"/>
        <i val="0"/>
        <strike val="0"/>
        <condense val="0"/>
        <extend val="0"/>
        <outline val="0"/>
        <shadow val="0"/>
        <u val="none"/>
        <vertAlign val="baseline"/>
        <sz val="11"/>
        <color theme="0"/>
        <name val="メイリオ"/>
        <scheme val="none"/>
      </font>
      <fill>
        <patternFill patternType="solid">
          <fgColor indexed="64"/>
          <bgColor theme="5" tint="-0.499984740745262"/>
        </patternFill>
      </fill>
    </dxf>
    <dxf>
      <font>
        <b val="0"/>
        <i val="0"/>
        <strike val="0"/>
        <condense val="0"/>
        <extend val="0"/>
        <outline val="0"/>
        <shadow val="0"/>
        <u val="none"/>
        <vertAlign val="baseline"/>
        <sz val="11"/>
        <color theme="1"/>
        <name val="メイリオ"/>
        <scheme val="none"/>
      </font>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0"/>
        <name val="メイリオ"/>
        <scheme val="none"/>
      </font>
      <fill>
        <patternFill patternType="solid">
          <fgColor indexed="64"/>
          <bgColor theme="5" tint="-0.499984740745262"/>
        </patternFill>
      </fill>
      <alignment horizontal="right" vertical="center" textRotation="0" wrapText="0" indent="0" justifyLastLine="0" shrinkToFit="0" readingOrder="0"/>
    </dxf>
    <dxf>
      <font>
        <b val="0"/>
        <i val="0"/>
        <strike val="0"/>
        <condense val="0"/>
        <extend val="0"/>
        <outline val="0"/>
        <shadow val="0"/>
        <u val="none"/>
        <vertAlign val="baseline"/>
        <sz val="11"/>
        <color theme="1"/>
        <name val="メイリオ"/>
        <scheme val="none"/>
      </font>
    </dxf>
    <dxf>
      <font>
        <b val="0"/>
        <i val="0"/>
        <strike val="0"/>
        <condense val="0"/>
        <extend val="0"/>
        <outline val="0"/>
        <shadow val="0"/>
        <u val="none"/>
        <vertAlign val="baseline"/>
        <sz val="11"/>
        <color theme="0"/>
        <name val="メイリオ"/>
        <scheme val="none"/>
      </font>
      <alignment vertical="center" textRotation="0" wrapText="1" indent="0" justifyLastLine="0" shrinkToFit="0" readingOrder="0"/>
    </dxf>
    <dxf>
      <font>
        <b val="0"/>
        <i val="0"/>
        <strike val="0"/>
        <condense val="0"/>
        <extend val="0"/>
        <outline val="0"/>
        <shadow val="0"/>
        <u val="none"/>
        <vertAlign val="baseline"/>
        <sz val="11"/>
        <color theme="1"/>
        <name val="メイリオ"/>
        <scheme val="none"/>
      </font>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0"/>
        <name val="メイリオ"/>
        <scheme val="none"/>
      </font>
      <fill>
        <patternFill patternType="solid">
          <fgColor indexed="64"/>
          <bgColor theme="5" tint="-0.499984740745262"/>
        </patternFill>
      </fill>
      <alignment horizontal="right" vertical="center" textRotation="0" wrapText="0" indent="0" justifyLastLine="0" shrinkToFit="0" readingOrder="0"/>
    </dxf>
    <dxf>
      <font>
        <b val="0"/>
        <i val="0"/>
        <strike val="0"/>
        <condense val="0"/>
        <extend val="0"/>
        <outline val="0"/>
        <shadow val="0"/>
        <u val="none"/>
        <vertAlign val="baseline"/>
        <sz val="11"/>
        <color theme="1"/>
        <name val="メイリオ"/>
        <scheme val="none"/>
      </font>
    </dxf>
    <dxf>
      <font>
        <b val="0"/>
        <i val="0"/>
        <strike val="0"/>
        <condense val="0"/>
        <extend val="0"/>
        <outline val="0"/>
        <shadow val="0"/>
        <u val="none"/>
        <vertAlign val="baseline"/>
        <sz val="11"/>
        <color theme="0"/>
        <name val="メイリオ"/>
        <scheme val="none"/>
      </font>
      <alignment horizontal="general" vertical="center" textRotation="0" wrapText="1" indent="0" justifyLastLine="0" shrinkToFit="0" readingOrder="0"/>
    </dxf>
    <dxf>
      <font>
        <b val="0"/>
        <i val="0"/>
        <strike val="0"/>
        <condense val="0"/>
        <extend val="0"/>
        <outline val="0"/>
        <shadow val="0"/>
        <u val="none"/>
        <vertAlign val="baseline"/>
        <sz val="11"/>
        <color theme="1"/>
        <name val="メイリオ"/>
        <scheme val="none"/>
      </font>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0"/>
        <name val="メイリオ"/>
        <scheme val="none"/>
      </font>
      <fill>
        <patternFill patternType="solid">
          <fgColor indexed="64"/>
          <bgColor theme="5" tint="-0.499984740745262"/>
        </patternFill>
      </fill>
      <alignment horizontal="right" vertical="center" textRotation="0" wrapText="0" indent="0" justifyLastLine="0" shrinkToFit="0" readingOrder="0"/>
    </dxf>
    <dxf>
      <font>
        <b val="0"/>
        <i val="0"/>
        <strike val="0"/>
        <condense val="0"/>
        <extend val="0"/>
        <outline val="0"/>
        <shadow val="0"/>
        <u val="none"/>
        <vertAlign val="baseline"/>
        <sz val="11"/>
        <color theme="1"/>
        <name val="メイリオ"/>
        <scheme val="none"/>
      </font>
    </dxf>
    <dxf>
      <font>
        <b val="0"/>
        <i val="0"/>
        <strike val="0"/>
        <condense val="0"/>
        <extend val="0"/>
        <outline val="0"/>
        <shadow val="0"/>
        <u val="none"/>
        <vertAlign val="baseline"/>
        <sz val="11"/>
        <color theme="0"/>
        <name val="メイリオ"/>
        <scheme val="none"/>
      </font>
      <alignment horizontal="general" vertical="center" textRotation="0" wrapText="1" indent="0" justifyLastLine="0" shrinkToFit="0" readingOrder="0"/>
    </dxf>
    <dxf>
      <font>
        <b val="0"/>
        <i val="0"/>
        <strike val="0"/>
        <condense val="0"/>
        <extend val="0"/>
        <outline val="0"/>
        <shadow val="0"/>
        <u val="none"/>
        <vertAlign val="baseline"/>
        <sz val="11"/>
        <color theme="1"/>
        <name val="メイリオ"/>
        <scheme val="none"/>
      </font>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0"/>
        <name val="メイリオ"/>
        <scheme val="none"/>
      </font>
      <fill>
        <patternFill patternType="solid">
          <fgColor indexed="64"/>
          <bgColor theme="5" tint="-0.499984740745262"/>
        </patternFill>
      </fill>
      <alignment horizontal="right" vertical="center" textRotation="0" wrapText="0" indent="0" justifyLastLine="0" shrinkToFit="0" readingOrder="0"/>
    </dxf>
    <dxf>
      <font>
        <b val="0"/>
        <i val="0"/>
        <strike val="0"/>
        <condense val="0"/>
        <extend val="0"/>
        <outline val="0"/>
        <shadow val="0"/>
        <u val="none"/>
        <vertAlign val="baseline"/>
        <sz val="11"/>
        <color theme="1"/>
        <name val="メイリオ"/>
        <scheme val="none"/>
      </font>
    </dxf>
    <dxf>
      <font>
        <b val="0"/>
        <i val="0"/>
        <strike val="0"/>
        <condense val="0"/>
        <extend val="0"/>
        <outline val="0"/>
        <shadow val="0"/>
        <u val="none"/>
        <vertAlign val="baseline"/>
        <sz val="11"/>
        <color theme="0"/>
        <name val="メイリオ"/>
        <scheme val="none"/>
      </font>
      <fill>
        <patternFill patternType="solid">
          <fgColor indexed="64"/>
          <bgColor theme="5" tint="-0.499984740745262"/>
        </patternFill>
      </fill>
      <alignment horizontal="right" vertical="center" textRotation="0" wrapText="0" indent="0" justifyLastLine="0" shrinkToFit="0" readingOrder="0"/>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outline="0">
        <left/>
        <right style="thin">
          <color theme="0"/>
        </right>
        <top style="thin">
          <color theme="0"/>
        </top>
        <bottom style="thin">
          <color theme="0"/>
        </bottom>
      </border>
    </dxf>
    <dxf>
      <font>
        <b val="0"/>
        <i val="0"/>
        <strike val="0"/>
        <condense val="0"/>
        <extend val="0"/>
        <outline val="0"/>
        <shadow val="0"/>
        <u val="none"/>
        <vertAlign val="baseline"/>
        <sz val="11"/>
        <color theme="0"/>
        <name val="メイリオ"/>
        <scheme val="none"/>
      </font>
      <fill>
        <patternFill patternType="solid">
          <fgColor indexed="64"/>
          <bgColor theme="5" tint="-0.499984740745262"/>
        </patternFill>
      </fill>
      <alignment horizontal="left" vertical="center" textRotation="0" wrapText="0" indent="0" justifyLastLine="0" shrinkToFit="0" readingOrder="0"/>
    </dxf>
    <dxf>
      <font>
        <b val="0"/>
        <i val="0"/>
        <strike val="0"/>
        <condense val="0"/>
        <extend val="0"/>
        <outline val="0"/>
        <shadow val="0"/>
        <u val="none"/>
        <vertAlign val="baseline"/>
        <sz val="11"/>
        <color theme="1"/>
        <name val="メイリオ"/>
        <scheme val="none"/>
      </font>
    </dxf>
    <dxf>
      <font>
        <b val="0"/>
        <i val="0"/>
        <strike val="0"/>
        <condense val="0"/>
        <extend val="0"/>
        <outline val="0"/>
        <shadow val="0"/>
        <u val="none"/>
        <vertAlign val="baseline"/>
        <sz val="11"/>
        <color theme="0"/>
        <name val="メイリオ"/>
        <scheme val="none"/>
      </font>
      <fill>
        <patternFill patternType="solid">
          <fgColor indexed="64"/>
          <bgColor theme="5" tint="-0.499984740745262"/>
        </patternFill>
      </fill>
      <alignment horizontal="right" vertical="center" textRotation="0" wrapText="0" indent="0" justifyLastLine="0" shrinkToFit="0" readingOrder="0"/>
    </dxf>
    <dxf>
      <font>
        <b val="0"/>
        <i val="0"/>
        <strike val="0"/>
        <condense val="0"/>
        <extend val="0"/>
        <outline val="0"/>
        <shadow val="0"/>
        <u val="none"/>
        <vertAlign val="baseline"/>
        <sz val="11"/>
        <color theme="1"/>
        <name val="メイリオ"/>
        <scheme val="none"/>
      </font>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0"/>
        <name val="メイリオ"/>
        <scheme val="none"/>
      </font>
      <fill>
        <patternFill patternType="solid">
          <fgColor indexed="64"/>
          <bgColor theme="5" tint="-0.499984740745262"/>
        </patternFill>
      </fill>
      <alignment horizontal="right" vertical="center" textRotation="0" wrapText="0" indent="0" justifyLastLine="0" shrinkToFit="0" readingOrder="0"/>
    </dxf>
    <dxf>
      <font>
        <b val="0"/>
        <i val="0"/>
        <strike val="0"/>
        <condense val="0"/>
        <extend val="0"/>
        <outline val="0"/>
        <shadow val="0"/>
        <u val="none"/>
        <vertAlign val="baseline"/>
        <sz val="11"/>
        <color theme="1"/>
        <name val="メイリオ"/>
        <scheme val="none"/>
      </font>
    </dxf>
    <dxf>
      <font>
        <b val="0"/>
        <i val="0"/>
        <strike val="0"/>
        <condense val="0"/>
        <extend val="0"/>
        <outline val="0"/>
        <shadow val="0"/>
        <u val="none"/>
        <vertAlign val="baseline"/>
        <sz val="11"/>
        <color theme="0"/>
        <name val="メイリオ"/>
        <scheme val="none"/>
      </font>
    </dxf>
    <dxf>
      <font>
        <b val="0"/>
        <i val="0"/>
        <strike val="0"/>
        <condense val="0"/>
        <extend val="0"/>
        <outline val="0"/>
        <shadow val="0"/>
        <u val="none"/>
        <vertAlign val="baseline"/>
        <sz val="11"/>
        <color theme="1"/>
        <name val="メイリオ"/>
        <scheme val="none"/>
      </font>
      <border diagonalUp="0" diagonalDown="0" outline="0">
        <left style="thin">
          <color theme="0"/>
        </left>
        <right style="thin">
          <color theme="0"/>
        </right>
        <top/>
        <bottom/>
      </border>
    </dxf>
    <dxf>
      <font>
        <b val="0"/>
        <i val="0"/>
        <strike val="0"/>
        <condense val="0"/>
        <extend val="0"/>
        <outline val="0"/>
        <shadow val="0"/>
        <u val="none"/>
        <vertAlign val="baseline"/>
        <sz val="11"/>
        <color theme="1"/>
        <name val="メイリオ"/>
        <scheme val="none"/>
      </font>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border diagonalUp="0" diagonalDown="0" outline="0">
        <left style="thin">
          <color theme="0"/>
        </left>
        <right style="thin">
          <color theme="0"/>
        </right>
        <top/>
        <bottom/>
      </border>
    </dxf>
    <dxf>
      <font>
        <b val="0"/>
        <i val="0"/>
        <strike val="0"/>
        <condense val="0"/>
        <extend val="0"/>
        <outline val="0"/>
        <shadow val="0"/>
        <u val="none"/>
        <vertAlign val="baseline"/>
        <sz val="11"/>
        <color theme="1"/>
        <name val="メイリオ"/>
        <scheme val="none"/>
      </font>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border diagonalUp="0" diagonalDown="0" outline="0">
        <left style="thin">
          <color theme="0"/>
        </left>
        <right style="thin">
          <color theme="0"/>
        </right>
        <top/>
        <bottom/>
      </border>
    </dxf>
    <dxf>
      <font>
        <b val="0"/>
        <i val="0"/>
        <strike val="0"/>
        <condense val="0"/>
        <extend val="0"/>
        <outline val="0"/>
        <shadow val="0"/>
        <u val="none"/>
        <vertAlign val="baseline"/>
        <sz val="11"/>
        <color theme="1"/>
        <name val="メイリオ"/>
        <scheme val="none"/>
      </font>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border diagonalUp="0" diagonalDown="0" outline="0">
        <left style="thin">
          <color theme="0"/>
        </left>
        <right style="thin">
          <color theme="0"/>
        </right>
        <top/>
        <bottom/>
      </border>
    </dxf>
    <dxf>
      <font>
        <b val="0"/>
        <i val="0"/>
        <strike val="0"/>
        <condense val="0"/>
        <extend val="0"/>
        <outline val="0"/>
        <shadow val="0"/>
        <u val="none"/>
        <vertAlign val="baseline"/>
        <sz val="11"/>
        <color theme="1"/>
        <name val="メイリオ"/>
        <scheme val="none"/>
      </font>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border diagonalUp="0" diagonalDown="0" outline="0">
        <left style="thin">
          <color theme="0"/>
        </left>
        <right style="thin">
          <color theme="0"/>
        </right>
        <top/>
        <bottom/>
      </border>
    </dxf>
    <dxf>
      <font>
        <b val="0"/>
        <i val="0"/>
        <strike val="0"/>
        <condense val="0"/>
        <extend val="0"/>
        <outline val="0"/>
        <shadow val="0"/>
        <u val="none"/>
        <vertAlign val="baseline"/>
        <sz val="11"/>
        <color theme="1"/>
        <name val="メイリオ"/>
        <scheme val="none"/>
      </font>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border diagonalUp="0" diagonalDown="0" outline="0">
        <left style="thin">
          <color theme="0"/>
        </left>
        <right style="thin">
          <color theme="0"/>
        </right>
        <top/>
        <bottom/>
      </border>
    </dxf>
    <dxf>
      <font>
        <b val="0"/>
        <i val="0"/>
        <strike val="0"/>
        <condense val="0"/>
        <extend val="0"/>
        <outline val="0"/>
        <shadow val="0"/>
        <u val="none"/>
        <vertAlign val="baseline"/>
        <sz val="11"/>
        <color theme="1"/>
        <name val="メイリオ"/>
        <scheme val="none"/>
      </font>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border diagonalUp="0" diagonalDown="0" outline="0">
        <left style="thin">
          <color theme="0"/>
        </left>
        <right style="thin">
          <color theme="0"/>
        </right>
        <top/>
        <bottom/>
      </border>
    </dxf>
    <dxf>
      <font>
        <b val="0"/>
        <i val="0"/>
        <strike val="0"/>
        <condense val="0"/>
        <extend val="0"/>
        <outline val="0"/>
        <shadow val="0"/>
        <u val="none"/>
        <vertAlign val="baseline"/>
        <sz val="11"/>
        <color theme="1"/>
        <name val="メイリオ"/>
        <scheme val="none"/>
      </font>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border diagonalUp="0" diagonalDown="0" outline="0">
        <left style="thin">
          <color theme="0"/>
        </left>
        <right style="thin">
          <color theme="0"/>
        </right>
        <top/>
        <bottom/>
      </border>
    </dxf>
    <dxf>
      <font>
        <b val="0"/>
        <i val="0"/>
        <strike val="0"/>
        <condense val="0"/>
        <extend val="0"/>
        <outline val="0"/>
        <shadow val="0"/>
        <u val="none"/>
        <vertAlign val="baseline"/>
        <sz val="11"/>
        <color theme="1"/>
        <name val="メイリオ"/>
        <scheme val="none"/>
      </font>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border diagonalUp="0" diagonalDown="0" outline="0">
        <left style="thin">
          <color theme="0"/>
        </left>
        <right style="thin">
          <color theme="0"/>
        </right>
        <top/>
        <bottom/>
      </border>
    </dxf>
    <dxf>
      <font>
        <b val="0"/>
        <i val="0"/>
        <strike val="0"/>
        <condense val="0"/>
        <extend val="0"/>
        <outline val="0"/>
        <shadow val="0"/>
        <u val="none"/>
        <vertAlign val="baseline"/>
        <sz val="11"/>
        <color theme="1"/>
        <name val="メイリオ"/>
        <scheme val="none"/>
      </font>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border diagonalUp="0" diagonalDown="0" outline="0">
        <left style="thin">
          <color theme="0"/>
        </left>
        <right style="thin">
          <color theme="0"/>
        </right>
        <top/>
        <bottom/>
      </border>
    </dxf>
    <dxf>
      <font>
        <b val="0"/>
        <i val="0"/>
        <strike val="0"/>
        <condense val="0"/>
        <extend val="0"/>
        <outline val="0"/>
        <shadow val="0"/>
        <u val="none"/>
        <vertAlign val="baseline"/>
        <sz val="11"/>
        <color theme="1"/>
        <name val="メイリオ"/>
        <scheme val="none"/>
      </font>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border diagonalUp="0" diagonalDown="0" outline="0">
        <left style="thin">
          <color theme="0"/>
        </left>
        <right style="thin">
          <color theme="0"/>
        </right>
        <top/>
        <bottom/>
      </border>
    </dxf>
    <dxf>
      <font>
        <b val="0"/>
        <i val="0"/>
        <strike val="0"/>
        <condense val="0"/>
        <extend val="0"/>
        <outline val="0"/>
        <shadow val="0"/>
        <u val="none"/>
        <vertAlign val="baseline"/>
        <sz val="11"/>
        <color theme="1"/>
        <name val="メイリオ"/>
        <scheme val="none"/>
      </font>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border diagonalUp="0" diagonalDown="0" outline="0">
        <left style="thin">
          <color theme="0"/>
        </left>
        <right style="thin">
          <color theme="0"/>
        </right>
        <top/>
        <bottom/>
      </border>
    </dxf>
    <dxf>
      <font>
        <b val="0"/>
        <i val="0"/>
        <strike val="0"/>
        <condense val="0"/>
        <extend val="0"/>
        <outline val="0"/>
        <shadow val="0"/>
        <u val="none"/>
        <vertAlign val="baseline"/>
        <sz val="11"/>
        <color theme="1"/>
        <name val="メイリオ"/>
        <scheme val="none"/>
      </font>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border diagonalUp="0" diagonalDown="0" outline="0">
        <left style="thin">
          <color theme="0"/>
        </left>
        <right style="thin">
          <color theme="0"/>
        </right>
        <top/>
        <bottom/>
      </border>
    </dxf>
    <dxf>
      <font>
        <b val="0"/>
        <i val="0"/>
        <strike val="0"/>
        <condense val="0"/>
        <extend val="0"/>
        <outline val="0"/>
        <shadow val="0"/>
        <u val="none"/>
        <vertAlign val="baseline"/>
        <sz val="11"/>
        <color theme="1"/>
        <name val="メイリオ"/>
        <scheme val="none"/>
      </font>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border diagonalUp="0" diagonalDown="0" outline="0">
        <left style="thin">
          <color theme="0"/>
        </left>
        <right style="thin">
          <color theme="0"/>
        </right>
        <top/>
        <bottom/>
      </border>
    </dxf>
    <dxf>
      <font>
        <b val="0"/>
        <i val="0"/>
        <strike val="0"/>
        <condense val="0"/>
        <extend val="0"/>
        <outline val="0"/>
        <shadow val="0"/>
        <u val="none"/>
        <vertAlign val="baseline"/>
        <sz val="11"/>
        <color theme="1"/>
        <name val="メイリオ"/>
        <scheme val="none"/>
      </font>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border diagonalUp="0" diagonalDown="0" outline="0">
        <left style="thin">
          <color theme="0"/>
        </left>
        <right style="thin">
          <color theme="0"/>
        </right>
        <top/>
        <bottom/>
      </border>
    </dxf>
    <dxf>
      <font>
        <b val="0"/>
        <i val="0"/>
        <strike val="0"/>
        <condense val="0"/>
        <extend val="0"/>
        <outline val="0"/>
        <shadow val="0"/>
        <u val="none"/>
        <vertAlign val="baseline"/>
        <sz val="11"/>
        <color theme="1"/>
        <name val="メイリオ"/>
        <scheme val="none"/>
      </font>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border diagonalUp="0" diagonalDown="0" outline="0">
        <left style="thin">
          <color theme="0"/>
        </left>
        <right style="thin">
          <color theme="0"/>
        </right>
        <top/>
        <bottom/>
      </border>
    </dxf>
    <dxf>
      <font>
        <b val="0"/>
        <i val="0"/>
        <strike val="0"/>
        <condense val="0"/>
        <extend val="0"/>
        <outline val="0"/>
        <shadow val="0"/>
        <u val="none"/>
        <vertAlign val="baseline"/>
        <sz val="11"/>
        <color theme="1"/>
        <name val="メイリオ"/>
        <scheme val="none"/>
      </font>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0"/>
        <name val="メイリオ"/>
        <scheme val="none"/>
      </font>
      <fill>
        <patternFill patternType="solid">
          <fgColor indexed="64"/>
          <bgColor theme="5" tint="-0.499984740745262"/>
        </patternFill>
      </fill>
      <alignment horizontal="right" vertical="center" textRotation="0" wrapText="0" indent="0" justifyLastLine="0" shrinkToFit="0" readingOrder="0"/>
    </dxf>
    <dxf>
      <font>
        <b val="0"/>
        <i val="0"/>
        <strike val="0"/>
        <condense val="0"/>
        <extend val="0"/>
        <outline val="0"/>
        <shadow val="0"/>
        <u val="none"/>
        <vertAlign val="baseline"/>
        <sz val="11"/>
        <color theme="0"/>
        <name val="メイリオ"/>
        <scheme val="none"/>
      </font>
      <fill>
        <patternFill patternType="solid">
          <fgColor indexed="64"/>
          <bgColor theme="5" tint="-0.499984740745262"/>
        </patternFill>
      </fill>
      <alignment horizontal="right" vertical="center" textRotation="0" wrapText="0" indent="0" justifyLastLine="0" shrinkToFit="0" readingOrder="0"/>
    </dxf>
    <dxf>
      <font>
        <b val="0"/>
        <i val="0"/>
        <strike val="0"/>
        <condense val="0"/>
        <extend val="0"/>
        <outline val="0"/>
        <shadow val="0"/>
        <u val="none"/>
        <vertAlign val="baseline"/>
        <sz val="11"/>
        <color theme="1"/>
        <name val="メイリオ"/>
        <scheme val="none"/>
      </font>
    </dxf>
    <dxf>
      <font>
        <b val="0"/>
        <i val="0"/>
        <strike val="0"/>
        <condense val="0"/>
        <extend val="0"/>
        <outline val="0"/>
        <shadow val="0"/>
        <u val="none"/>
        <vertAlign val="baseline"/>
        <sz val="11"/>
        <color theme="0"/>
        <name val="メイリオ"/>
        <scheme val="none"/>
      </font>
      <fill>
        <patternFill patternType="solid">
          <fgColor indexed="64"/>
          <bgColor theme="5" tint="-0.499984740745262"/>
        </patternFill>
      </fill>
      <alignment horizontal="right" vertical="center" textRotation="0" wrapText="0" indent="0" justifyLastLine="0" shrinkToFit="0" readingOrder="0"/>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outline="0">
        <left/>
        <right style="thin">
          <color theme="0"/>
        </right>
        <top style="thin">
          <color theme="0"/>
        </top>
        <bottom style="thin">
          <color theme="0"/>
        </bottom>
      </border>
    </dxf>
    <dxf>
      <font>
        <b val="0"/>
        <i val="0"/>
        <strike val="0"/>
        <condense val="0"/>
        <extend val="0"/>
        <outline val="0"/>
        <shadow val="0"/>
        <u val="none"/>
        <vertAlign val="baseline"/>
        <sz val="11"/>
        <color theme="0"/>
        <name val="メイリオ"/>
        <scheme val="none"/>
      </font>
      <fill>
        <patternFill patternType="solid">
          <fgColor indexed="64"/>
          <bgColor theme="5" tint="-0.499984740745262"/>
        </patternFill>
      </fill>
      <alignment horizontal="left" vertical="center" textRotation="0" wrapText="0" indent="0" justifyLastLine="0" shrinkToFit="0" readingOrder="0"/>
    </dxf>
    <dxf>
      <font>
        <b val="0"/>
        <i val="0"/>
        <strike val="0"/>
        <condense val="0"/>
        <extend val="0"/>
        <outline val="0"/>
        <shadow val="0"/>
        <u val="none"/>
        <vertAlign val="baseline"/>
        <sz val="11"/>
        <color theme="1"/>
        <name val="メイリオ"/>
        <scheme val="none"/>
      </font>
    </dxf>
    <dxf>
      <font>
        <b val="0"/>
        <i val="0"/>
        <strike val="0"/>
        <condense val="0"/>
        <extend val="0"/>
        <outline val="0"/>
        <shadow val="0"/>
        <u val="none"/>
        <vertAlign val="baseline"/>
        <sz val="11"/>
        <color theme="0"/>
        <name val="メイリオ"/>
        <scheme val="none"/>
      </font>
      <fill>
        <patternFill patternType="solid">
          <fgColor indexed="64"/>
          <bgColor theme="5" tint="-0.499984740745262"/>
        </patternFill>
      </fill>
      <alignment horizontal="right" vertical="center" textRotation="0" wrapText="0" indent="0" justifyLastLine="0" shrinkToFit="0" readingOrder="0"/>
    </dxf>
    <dxf>
      <font>
        <b val="0"/>
        <i val="0"/>
        <strike val="0"/>
        <condense val="0"/>
        <extend val="0"/>
        <outline val="0"/>
        <shadow val="0"/>
        <u val="none"/>
        <vertAlign val="baseline"/>
        <sz val="11"/>
        <color theme="1"/>
        <name val="メイリオ"/>
        <scheme val="none"/>
      </font>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0"/>
        <name val="メイリオ"/>
        <scheme val="none"/>
      </font>
      <fill>
        <patternFill patternType="solid">
          <fgColor indexed="64"/>
          <bgColor theme="5" tint="-0.499984740745262"/>
        </patternFill>
      </fill>
      <alignment horizontal="right" vertical="center" textRotation="0" wrapText="0" indent="0" justifyLastLine="0" shrinkToFit="0" readingOrder="0"/>
    </dxf>
    <dxf>
      <font>
        <b val="0"/>
        <i val="0"/>
        <strike val="0"/>
        <condense val="0"/>
        <extend val="0"/>
        <outline val="0"/>
        <shadow val="0"/>
        <u val="none"/>
        <vertAlign val="baseline"/>
        <sz val="11"/>
        <color theme="1"/>
        <name val="メイリオ"/>
        <scheme val="none"/>
      </font>
    </dxf>
    <dxf>
      <font>
        <b val="0"/>
        <i val="0"/>
        <strike val="0"/>
        <condense val="0"/>
        <extend val="0"/>
        <outline val="0"/>
        <shadow val="0"/>
        <u val="none"/>
        <vertAlign val="baseline"/>
        <sz val="11"/>
        <color theme="0"/>
        <name val="メイリオ"/>
        <scheme val="none"/>
      </font>
    </dxf>
    <dxf>
      <font>
        <b val="0"/>
        <i val="0"/>
        <strike val="0"/>
        <condense val="0"/>
        <extend val="0"/>
        <outline val="0"/>
        <shadow val="0"/>
        <u val="none"/>
        <vertAlign val="baseline"/>
        <sz val="11"/>
        <color theme="1"/>
        <name val="メイリオ"/>
        <scheme val="none"/>
      </font>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border diagonalUp="0" diagonalDown="0" outline="0">
        <left/>
        <right style="thin">
          <color theme="0"/>
        </right>
        <top style="thin">
          <color theme="0"/>
        </top>
        <bottom style="thin">
          <color theme="0"/>
        </bottom>
      </border>
    </dxf>
    <dxf>
      <font>
        <b val="0"/>
        <i val="0"/>
        <strike val="0"/>
        <condense val="0"/>
        <extend val="0"/>
        <outline val="0"/>
        <shadow val="0"/>
        <u val="none"/>
        <vertAlign val="baseline"/>
        <sz val="11"/>
        <color theme="0"/>
        <name val="メイリオ"/>
        <scheme val="none"/>
      </font>
      <fill>
        <patternFill patternType="solid">
          <fgColor indexed="64"/>
          <bgColor theme="5" tint="-0.499984740745262"/>
        </patternFill>
      </fill>
      <alignment horizontal="left" vertical="center" textRotation="0" wrapText="0" indent="0" justifyLastLine="0" shrinkToFit="0" readingOrder="0"/>
    </dxf>
    <dxf>
      <font>
        <b val="0"/>
        <i val="0"/>
        <strike val="0"/>
        <condense val="0"/>
        <extend val="0"/>
        <outline val="0"/>
        <shadow val="0"/>
        <u val="none"/>
        <vertAlign val="baseline"/>
        <sz val="11"/>
        <color theme="1"/>
        <name val="メイリオ"/>
        <scheme val="none"/>
      </font>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0"/>
        <name val="メイリオ"/>
        <scheme val="none"/>
      </font>
      <fill>
        <patternFill patternType="solid">
          <fgColor indexed="64"/>
          <bgColor theme="5" tint="-0.499984740745262"/>
        </patternFill>
      </fill>
      <alignment horizontal="right" vertical="center" textRotation="0" wrapText="0" indent="0" justifyLastLine="0" shrinkToFit="0" readingOrder="0"/>
    </dxf>
    <dxf>
      <font>
        <b val="0"/>
        <i val="0"/>
        <strike val="0"/>
        <condense val="0"/>
        <extend val="0"/>
        <outline val="0"/>
        <shadow val="0"/>
        <u val="none"/>
        <vertAlign val="baseline"/>
        <sz val="11"/>
        <color theme="1"/>
        <name val="メイリオ"/>
        <scheme val="none"/>
      </font>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0"/>
        <name val="メイリオ"/>
        <scheme val="none"/>
      </font>
      <fill>
        <patternFill patternType="solid">
          <fgColor indexed="64"/>
          <bgColor theme="5" tint="-0.499984740745262"/>
        </patternFill>
      </fill>
      <alignment horizontal="right" vertical="center" textRotation="0" wrapText="0" indent="0" justifyLastLine="0" shrinkToFit="0" readingOrder="0"/>
    </dxf>
    <dxf>
      <font>
        <b val="0"/>
        <i val="0"/>
        <strike val="0"/>
        <condense val="0"/>
        <extend val="0"/>
        <outline val="0"/>
        <shadow val="0"/>
        <u val="none"/>
        <vertAlign val="baseline"/>
        <sz val="11"/>
        <color theme="1"/>
        <name val="メイリオ"/>
        <scheme val="none"/>
      </font>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border diagonalUp="0" diagonalDown="0" outline="0">
        <left/>
        <right style="thin">
          <color theme="0"/>
        </right>
        <top style="thin">
          <color theme="0"/>
        </top>
        <bottom style="thin">
          <color theme="0"/>
        </bottom>
      </border>
    </dxf>
    <dxf>
      <font>
        <b val="0"/>
        <i val="0"/>
        <strike val="0"/>
        <condense val="0"/>
        <extend val="0"/>
        <outline val="0"/>
        <shadow val="0"/>
        <u val="none"/>
        <vertAlign val="baseline"/>
        <sz val="11"/>
        <color theme="0"/>
        <name val="メイリオ"/>
        <scheme val="none"/>
      </font>
      <fill>
        <patternFill patternType="solid">
          <fgColor indexed="64"/>
          <bgColor theme="5" tint="-0.499984740745262"/>
        </patternFill>
      </fill>
      <alignment horizontal="left" vertical="center" textRotation="0" wrapText="0" indent="0" justifyLastLine="0" shrinkToFit="0" readingOrder="0"/>
    </dxf>
    <dxf>
      <font>
        <b val="0"/>
        <i val="0"/>
        <strike val="0"/>
        <condense val="0"/>
        <extend val="0"/>
        <outline val="0"/>
        <shadow val="0"/>
        <u val="none"/>
        <vertAlign val="baseline"/>
        <sz val="11"/>
        <color theme="1"/>
        <name val="メイリオ"/>
        <scheme val="none"/>
      </font>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0"/>
        <name val="メイリオ"/>
        <scheme val="none"/>
      </font>
      <fill>
        <patternFill patternType="solid">
          <fgColor indexed="64"/>
          <bgColor theme="5" tint="-0.499984740745262"/>
        </patternFill>
      </fill>
      <alignment horizontal="right" vertical="center" textRotation="0" wrapText="0" indent="0" justifyLastLine="0" shrinkToFit="0" readingOrder="0"/>
    </dxf>
    <dxf>
      <font>
        <b val="0"/>
        <i val="0"/>
        <strike val="0"/>
        <condense val="0"/>
        <extend val="0"/>
        <outline val="0"/>
        <shadow val="0"/>
        <u val="none"/>
        <vertAlign val="baseline"/>
        <sz val="11"/>
        <color theme="1"/>
        <name val="メイリオ"/>
        <scheme val="none"/>
      </font>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0"/>
        <name val="メイリオ"/>
        <scheme val="none"/>
      </font>
      <fill>
        <patternFill patternType="solid">
          <fgColor indexed="64"/>
          <bgColor theme="5" tint="-0.499984740745262"/>
        </patternFill>
      </fill>
      <alignment horizontal="right" vertical="center" textRotation="0" wrapText="0" indent="0" justifyLastLine="0" shrinkToFit="0" readingOrder="0"/>
    </dxf>
    <dxf>
      <font>
        <b val="0"/>
        <i val="0"/>
        <strike val="0"/>
        <condense val="0"/>
        <extend val="0"/>
        <outline val="0"/>
        <shadow val="0"/>
        <u val="none"/>
        <vertAlign val="baseline"/>
        <sz val="11"/>
        <color theme="1"/>
        <name val="メイリオ"/>
        <scheme val="none"/>
      </font>
      <border diagonalUp="0" diagonalDown="0">
        <left style="thin">
          <color theme="0"/>
        </left>
        <right/>
        <top style="thin">
          <color theme="0"/>
        </top>
        <bottom style="thin">
          <color theme="0"/>
        </bottom>
        <vertical/>
        <horizontal/>
      </border>
    </dxf>
    <dxf>
      <font>
        <b val="0"/>
        <i val="0"/>
        <strike val="0"/>
        <condense val="0"/>
        <extend val="0"/>
        <outline val="0"/>
        <shadow val="0"/>
        <u val="none"/>
        <vertAlign val="baseline"/>
        <sz val="11"/>
        <color theme="0"/>
        <name val="メイリオ"/>
        <scheme val="none"/>
      </font>
    </dxf>
    <dxf>
      <font>
        <b val="0"/>
        <i val="0"/>
        <strike val="0"/>
        <condense val="0"/>
        <extend val="0"/>
        <outline val="0"/>
        <shadow val="0"/>
        <u val="none"/>
        <vertAlign val="baseline"/>
        <sz val="11"/>
        <color theme="1"/>
        <name val="メイリオ"/>
        <scheme val="none"/>
      </font>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0"/>
        <name val="メイリオ"/>
        <scheme val="none"/>
      </font>
    </dxf>
    <dxf>
      <font>
        <b val="0"/>
        <i val="0"/>
        <strike val="0"/>
        <condense val="0"/>
        <extend val="0"/>
        <outline val="0"/>
        <shadow val="0"/>
        <u val="none"/>
        <vertAlign val="baseline"/>
        <sz val="11"/>
        <color theme="1"/>
        <name val="メイリオ"/>
        <scheme val="none"/>
      </font>
      <numFmt numFmtId="182" formatCode="#,##0_ "/>
      <fill>
        <patternFill patternType="solid">
          <fgColor theme="4" tint="0.79998168889431442"/>
          <bgColor theme="4" tint="0.79998168889431442"/>
        </patternFill>
      </fill>
      <border diagonalUp="0" diagonalDown="0">
        <left style="thin">
          <color theme="0"/>
        </left>
        <right style="thin">
          <color theme="0"/>
        </right>
        <top style="thin">
          <color theme="0"/>
        </top>
        <bottom/>
        <vertical/>
        <horizontal/>
      </border>
    </dxf>
    <dxf>
      <border outline="0">
        <top style="thin">
          <color theme="4" tint="0.39997558519241921"/>
        </top>
      </border>
    </dxf>
    <dxf>
      <font>
        <b val="0"/>
        <i val="0"/>
        <strike val="0"/>
        <condense val="0"/>
        <extend val="0"/>
        <outline val="0"/>
        <shadow val="0"/>
        <u val="none"/>
        <vertAlign val="baseline"/>
        <sz val="11"/>
        <color theme="1"/>
        <name val="メイリオ"/>
        <scheme val="none"/>
      </font>
      <numFmt numFmtId="182" formatCode="#,##0_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0"/>
        <name val="メイリオ"/>
        <scheme val="none"/>
      </font>
    </dxf>
    <dxf>
      <alignment horizontal="center" vertical="center" textRotation="0" wrapText="0" indent="0" justifyLastLine="0" shrinkToFit="0" readingOrder="0"/>
    </dxf>
    <dxf>
      <font>
        <b val="0"/>
        <i val="0"/>
        <strike val="0"/>
        <condense val="0"/>
        <extend val="0"/>
        <outline val="0"/>
        <shadow val="0"/>
        <u val="none"/>
        <vertAlign val="baseline"/>
        <sz val="11"/>
        <color theme="1"/>
        <name val="メイリオ"/>
        <scheme val="none"/>
      </font>
      <numFmt numFmtId="176" formatCode="#,##0_ ;[Red]\-#,##0\ "/>
      <alignment horizontal="general"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0"/>
        <name val="メイリオ"/>
        <scheme val="none"/>
      </font>
      <numFmt numFmtId="176" formatCode="#,##0_ ;[Red]\-#,##0\ "/>
    </dxf>
    <dxf>
      <alignment horizontal="center" vertical="center" textRotation="0" indent="0" justifyLastLine="0" shrinkToFit="0" readingOrder="0"/>
    </dxf>
    <dxf>
      <font>
        <b val="0"/>
        <i val="0"/>
        <strike val="0"/>
        <condense val="0"/>
        <extend val="0"/>
        <outline val="0"/>
        <shadow val="0"/>
        <u val="none"/>
        <vertAlign val="baseline"/>
        <sz val="11"/>
        <color theme="1"/>
        <name val="メイリオ"/>
        <scheme val="none"/>
      </font>
      <numFmt numFmtId="181" formatCode="#,##0_);[Red]\(#,##0\)"/>
      <alignment horizontal="general"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0"/>
        <name val="メイリオ"/>
        <scheme val="none"/>
      </font>
      <numFmt numFmtId="176" formatCode="#,##0_ ;[Red]\-#,##0\ "/>
    </dxf>
    <dxf>
      <font>
        <b val="0"/>
        <i val="0"/>
        <strike val="0"/>
        <condense val="0"/>
        <extend val="0"/>
        <outline val="0"/>
        <shadow val="0"/>
        <u val="none"/>
        <vertAlign val="baseline"/>
        <sz val="11"/>
        <color theme="1"/>
        <name val="メイリオ"/>
        <scheme val="none"/>
      </font>
      <alignment horizontal="center" vertical="center" textRotation="0" wrapText="0" indent="0" justifyLastLine="0" shrinkToFit="0" readingOrder="0"/>
    </dxf>
    <dxf>
      <font>
        <b val="0"/>
        <i val="0"/>
        <strike val="0"/>
        <condense val="0"/>
        <extend val="0"/>
        <outline val="0"/>
        <shadow val="0"/>
        <u val="none"/>
        <vertAlign val="baseline"/>
        <sz val="11"/>
        <color auto="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0"/>
        <name val="メイリオ"/>
        <scheme val="none"/>
      </font>
      <fill>
        <patternFill patternType="solid">
          <fgColor indexed="64"/>
          <bgColor theme="5" tint="-0.499984740745262"/>
        </patternFill>
      </fill>
      <alignment horizontal="left" vertical="center" textRotation="0" wrapText="0" indent="0" justifyLastLine="0" shrinkToFit="0" readingOrder="0"/>
    </dxf>
    <dxf>
      <font>
        <b val="0"/>
        <i val="0"/>
        <strike val="0"/>
        <condense val="0"/>
        <extend val="0"/>
        <outline val="0"/>
        <shadow val="0"/>
        <u val="none"/>
        <vertAlign val="baseline"/>
        <sz val="11"/>
        <color auto="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0"/>
        <name val="メイリオ"/>
        <scheme val="none"/>
      </font>
      <fill>
        <patternFill patternType="solid">
          <fgColor indexed="64"/>
          <bgColor theme="5" tint="-0.499984740745262"/>
        </patternFill>
      </fill>
      <alignment horizontal="left" vertical="center" textRotation="0" wrapText="0" indent="0" justifyLastLine="0" shrinkToFit="0" readingOrder="0"/>
    </dxf>
    <dxf>
      <font>
        <b val="0"/>
        <i val="0"/>
        <strike val="0"/>
        <condense val="0"/>
        <extend val="0"/>
        <outline val="0"/>
        <shadow val="0"/>
        <u val="none"/>
        <vertAlign val="baseline"/>
        <sz val="11"/>
        <color theme="1"/>
        <name val="メイリオ"/>
        <scheme val="none"/>
      </font>
      <numFmt numFmtId="182" formatCode="#,##0_ "/>
      <border diagonalUp="0" diagonalDown="0">
        <left style="thin">
          <color theme="0"/>
        </left>
        <right style="thin">
          <color theme="0"/>
        </right>
        <top style="thin">
          <color theme="0"/>
        </top>
        <bottom/>
        <vertical/>
        <horizontal/>
      </border>
    </dxf>
    <dxf>
      <font>
        <b val="0"/>
        <i val="0"/>
        <strike val="0"/>
        <condense val="0"/>
        <extend val="0"/>
        <outline val="0"/>
        <shadow val="0"/>
        <u val="none"/>
        <vertAlign val="baseline"/>
        <sz val="11"/>
        <color theme="0"/>
        <name val="メイリオ"/>
        <scheme val="none"/>
      </font>
      <alignment horizontal="general" vertical="center" textRotation="0" wrapText="1" indent="0" justifyLastLine="0" shrinkToFit="0" readingOrder="0"/>
    </dxf>
    <dxf>
      <border outline="0">
        <top style="thin">
          <color theme="4" tint="0.39997558519241921"/>
        </top>
      </border>
    </dxf>
    <dxf>
      <border outline="0">
        <bottom style="thin">
          <color theme="4" tint="0.39997558519241921"/>
        </bottom>
      </border>
    </dxf>
    <dxf>
      <font>
        <b val="0"/>
        <i val="0"/>
        <strike val="0"/>
        <condense val="0"/>
        <extend val="0"/>
        <outline val="0"/>
        <shadow val="0"/>
        <u val="none"/>
        <vertAlign val="baseline"/>
        <sz val="11"/>
        <color theme="1"/>
        <name val="メイリオ"/>
        <scheme val="none"/>
      </font>
      <numFmt numFmtId="182" formatCode="#,##0_ "/>
      <fill>
        <patternFill patternType="solid">
          <fgColor theme="4" tint="0.79998168889431442"/>
          <bgColor theme="4" tint="0.79998168889431442"/>
        </patternFill>
      </fill>
      <border diagonalUp="0" diagonalDown="0">
        <left style="thin">
          <color theme="0"/>
        </left>
        <right style="thin">
          <color theme="0"/>
        </right>
        <top style="thin">
          <color theme="0"/>
        </top>
        <bottom/>
        <vertical/>
        <horizontal/>
      </border>
    </dxf>
    <dxf>
      <border outline="0">
        <top style="thin">
          <color theme="4" tint="0.39997558519241921"/>
        </top>
      </border>
    </dxf>
    <dxf>
      <font>
        <b val="0"/>
        <i val="0"/>
        <strike val="0"/>
        <condense val="0"/>
        <extend val="0"/>
        <outline val="0"/>
        <shadow val="0"/>
        <u val="none"/>
        <vertAlign val="baseline"/>
        <sz val="11"/>
        <color theme="1"/>
        <name val="メイリオ"/>
        <scheme val="none"/>
      </font>
      <numFmt numFmtId="182" formatCode="#,##0_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0"/>
        <name val="メイリオ"/>
        <scheme val="none"/>
      </font>
    </dxf>
    <dxf>
      <alignment horizontal="center" vertical="center" textRotation="0" wrapText="0" indent="0" justifyLastLine="0" shrinkToFit="0" readingOrder="0"/>
    </dxf>
    <dxf>
      <font>
        <b val="0"/>
        <i val="0"/>
        <strike val="0"/>
        <condense val="0"/>
        <extend val="0"/>
        <outline val="0"/>
        <shadow val="0"/>
        <u val="none"/>
        <vertAlign val="baseline"/>
        <sz val="11"/>
        <color theme="1"/>
        <name val="メイリオ"/>
        <scheme val="none"/>
      </font>
      <numFmt numFmtId="176" formatCode="#,##0_ ;[Red]\-#,##0\ "/>
      <alignment horizontal="general"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0"/>
        <name val="メイリオ"/>
        <scheme val="none"/>
      </font>
      <numFmt numFmtId="176" formatCode="#,##0_ ;[Red]\-#,##0\ "/>
    </dxf>
    <dxf>
      <alignment horizontal="center" vertical="center" textRotation="0" indent="0" justifyLastLine="0" shrinkToFit="0" readingOrder="0"/>
    </dxf>
    <dxf>
      <font>
        <b val="0"/>
        <i val="0"/>
        <strike val="0"/>
        <condense val="0"/>
        <extend val="0"/>
        <outline val="0"/>
        <shadow val="0"/>
        <u val="none"/>
        <vertAlign val="baseline"/>
        <sz val="11"/>
        <color theme="1"/>
        <name val="メイリオ"/>
        <scheme val="none"/>
      </font>
      <numFmt numFmtId="176" formatCode="#,##0_ ;[Red]\-#,##0\ "/>
      <alignment horizontal="general"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0"/>
        <name val="メイリオ"/>
        <scheme val="none"/>
      </font>
      <numFmt numFmtId="176" formatCode="#,##0_ ;[Red]\-#,##0\ "/>
    </dxf>
    <dxf>
      <alignment horizontal="center" vertical="center" textRotation="0" indent="0" justifyLastLine="0" shrinkToFit="0" readingOrder="0"/>
    </dxf>
    <dxf>
      <font>
        <b val="0"/>
        <i val="0"/>
        <strike val="0"/>
        <condense val="0"/>
        <extend val="0"/>
        <outline val="0"/>
        <shadow val="0"/>
        <u val="none"/>
        <vertAlign val="baseline"/>
        <sz val="11"/>
        <color theme="1"/>
        <name val="メイリオ"/>
        <scheme val="none"/>
      </font>
      <numFmt numFmtId="181" formatCode="#,##0_);[Red]\(#,##0\)"/>
      <alignment horizontal="general"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0"/>
        <name val="メイリオ"/>
        <scheme val="none"/>
      </font>
      <numFmt numFmtId="176" formatCode="#,##0_ ;[Red]\-#,##0\ "/>
    </dxf>
    <dxf>
      <font>
        <b val="0"/>
        <i val="0"/>
        <strike val="0"/>
        <condense val="0"/>
        <extend val="0"/>
        <outline val="0"/>
        <shadow val="0"/>
        <u val="none"/>
        <vertAlign val="baseline"/>
        <sz val="11"/>
        <color theme="1"/>
        <name val="メイリオ"/>
        <scheme val="none"/>
      </font>
      <alignment horizontal="center" vertical="center" textRotation="0" wrapText="0" indent="0" justifyLastLine="0" shrinkToFit="0" readingOrder="0"/>
    </dxf>
    <dxf>
      <font>
        <b val="0"/>
        <i val="0"/>
        <strike val="0"/>
        <condense val="0"/>
        <extend val="0"/>
        <outline val="0"/>
        <shadow val="0"/>
        <u val="none"/>
        <vertAlign val="baseline"/>
        <sz val="11"/>
        <color auto="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0"/>
        <name val="メイリオ"/>
        <scheme val="none"/>
      </font>
      <fill>
        <patternFill patternType="solid">
          <fgColor indexed="64"/>
          <bgColor theme="5" tint="-0.499984740745262"/>
        </patternFill>
      </fill>
      <alignment horizontal="left" vertical="center" textRotation="0" wrapText="0" indent="0" justifyLastLine="0" shrinkToFit="0" readingOrder="0"/>
    </dxf>
    <dxf>
      <font>
        <b val="0"/>
        <i val="0"/>
        <strike val="0"/>
        <condense val="0"/>
        <extend val="0"/>
        <outline val="0"/>
        <shadow val="0"/>
        <u val="none"/>
        <vertAlign val="baseline"/>
        <sz val="11"/>
        <color auto="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0"/>
        <name val="メイリオ"/>
        <scheme val="none"/>
      </font>
      <fill>
        <patternFill patternType="solid">
          <fgColor indexed="64"/>
          <bgColor theme="5" tint="-0.499984740745262"/>
        </patternFill>
      </fill>
      <alignment horizontal="left" vertical="center" textRotation="0" wrapText="0" indent="0" justifyLastLine="0" shrinkToFit="0" readingOrder="0"/>
    </dxf>
    <dxf>
      <font>
        <b val="0"/>
        <i val="0"/>
        <strike val="0"/>
        <condense val="0"/>
        <extend val="0"/>
        <outline val="0"/>
        <shadow val="0"/>
        <u val="none"/>
        <vertAlign val="baseline"/>
        <sz val="11"/>
        <color auto="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0"/>
        <name val="メイリオ"/>
        <scheme val="none"/>
      </font>
      <fill>
        <patternFill patternType="solid">
          <fgColor indexed="64"/>
          <bgColor theme="5" tint="-0.499984740745262"/>
        </patternFill>
      </fill>
      <alignment horizontal="left" vertical="center" textRotation="0" wrapText="0" indent="0" justifyLastLine="0" shrinkToFit="0" readingOrder="0"/>
    </dxf>
    <dxf>
      <font>
        <b val="0"/>
        <i val="0"/>
        <strike val="0"/>
        <condense val="0"/>
        <extend val="0"/>
        <outline val="0"/>
        <shadow val="0"/>
        <u val="none"/>
        <vertAlign val="baseline"/>
        <sz val="11"/>
        <color theme="1"/>
        <name val="メイリオ"/>
        <scheme val="none"/>
      </font>
      <border diagonalUp="0" diagonalDown="0">
        <left/>
        <right style="thin">
          <color theme="0"/>
        </right>
        <top style="thin">
          <color theme="0"/>
        </top>
        <bottom style="thin">
          <color theme="0"/>
        </bottom>
        <vertical/>
        <horizontal/>
      </border>
    </dxf>
    <dxf>
      <font>
        <b val="0"/>
        <i val="0"/>
        <strike val="0"/>
        <condense val="0"/>
        <extend val="0"/>
        <outline val="0"/>
        <shadow val="0"/>
        <u val="none"/>
        <vertAlign val="baseline"/>
        <sz val="11"/>
        <color theme="0"/>
        <name val="メイリオ"/>
        <scheme val="none"/>
      </font>
      <border diagonalUp="0" diagonalDown="0" outline="0">
        <left style="thin">
          <color theme="0"/>
        </left>
        <right style="thin">
          <color theme="0"/>
        </right>
        <top/>
        <bottom/>
      </border>
    </dxf>
    <dxf>
      <font>
        <b val="0"/>
        <i val="0"/>
        <strike val="0"/>
        <condense val="0"/>
        <extend val="0"/>
        <outline val="0"/>
        <shadow val="0"/>
        <u val="none"/>
        <vertAlign val="baseline"/>
        <sz val="11"/>
        <color theme="1"/>
        <name val="メイリオ"/>
        <scheme val="none"/>
      </font>
      <border diagonalUp="0" diagonalDown="0">
        <left style="thin">
          <color theme="0"/>
        </left>
        <right/>
        <top style="thin">
          <color theme="0"/>
        </top>
        <bottom style="thin">
          <color theme="0"/>
        </bottom>
        <vertical/>
        <horizontal/>
      </border>
    </dxf>
    <dxf>
      <font>
        <b val="0"/>
        <i val="0"/>
        <strike val="0"/>
        <condense val="0"/>
        <extend val="0"/>
        <outline val="0"/>
        <shadow val="0"/>
        <u val="none"/>
        <vertAlign val="baseline"/>
        <sz val="11"/>
        <color theme="0"/>
        <name val="メイリオ"/>
        <scheme val="none"/>
      </font>
    </dxf>
    <dxf>
      <font>
        <b val="0"/>
        <i val="0"/>
        <strike val="0"/>
        <condense val="0"/>
        <extend val="0"/>
        <outline val="0"/>
        <shadow val="0"/>
        <u val="none"/>
        <vertAlign val="baseline"/>
        <sz val="11"/>
        <color theme="1"/>
        <name val="メイリオ"/>
        <scheme val="none"/>
      </font>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0"/>
        <name val="メイリオ"/>
        <scheme val="none"/>
      </font>
    </dxf>
    <dxf>
      <font>
        <b val="0"/>
        <i val="0"/>
        <strike val="0"/>
        <condense val="0"/>
        <extend val="0"/>
        <outline val="0"/>
        <shadow val="0"/>
        <u val="none"/>
        <vertAlign val="baseline"/>
        <sz val="11"/>
        <color auto="1"/>
        <name val="メイリオ"/>
        <scheme val="none"/>
      </font>
      <numFmt numFmtId="182" formatCode="#,##0_ "/>
      <border diagonalUp="0" diagonalDown="0" outline="0">
        <left style="thin">
          <color theme="0"/>
        </left>
        <right style="thin">
          <color theme="0"/>
        </right>
        <top style="thin">
          <color theme="0"/>
        </top>
        <bottom style="thin">
          <color theme="0"/>
        </bottom>
      </border>
    </dxf>
    <dxf>
      <font>
        <b val="0"/>
        <i val="0"/>
        <strike val="0"/>
        <condense val="0"/>
        <extend val="0"/>
        <outline val="0"/>
        <shadow val="0"/>
        <u val="none"/>
        <vertAlign val="baseline"/>
        <sz val="11"/>
        <color theme="1"/>
        <name val="メイリオ"/>
        <scheme val="none"/>
      </font>
      <border outline="0">
        <right style="thin">
          <color theme="0"/>
        </right>
      </border>
    </dxf>
    <dxf>
      <border outline="0">
        <top style="thin">
          <color theme="4" tint="0.39997558519241921"/>
        </top>
      </border>
    </dxf>
    <dxf>
      <border outline="0">
        <bottom style="thin">
          <color theme="4" tint="0.39997558519241921"/>
        </bottom>
      </border>
    </dxf>
    <dxf>
      <font>
        <b val="0"/>
        <i val="0"/>
        <strike val="0"/>
        <condense val="0"/>
        <extend val="0"/>
        <outline val="0"/>
        <shadow val="0"/>
        <u val="none"/>
        <vertAlign val="baseline"/>
        <sz val="11"/>
        <color theme="1"/>
        <name val="メイリオ"/>
        <scheme val="none"/>
      </font>
    </dxf>
    <dxf>
      <font>
        <b val="0"/>
        <i val="0"/>
        <strike val="0"/>
        <condense val="0"/>
        <extend val="0"/>
        <outline val="0"/>
        <shadow val="0"/>
        <u val="none"/>
        <vertAlign val="baseline"/>
        <sz val="11"/>
        <color theme="1"/>
        <name val="メイリオ"/>
        <scheme val="none"/>
      </font>
      <numFmt numFmtId="182" formatCode="#,##0_ "/>
      <fill>
        <patternFill patternType="solid">
          <fgColor theme="4" tint="0.79998168889431442"/>
          <bgColor theme="4" tint="0.79998168889431442"/>
        </patternFill>
      </fill>
      <border diagonalUp="0" diagonalDown="0">
        <left style="thin">
          <color theme="0"/>
        </left>
        <right style="thin">
          <color theme="0"/>
        </right>
        <top style="thin">
          <color theme="0"/>
        </top>
        <bottom/>
        <vertical/>
        <horizontal/>
      </border>
    </dxf>
    <dxf>
      <border outline="0">
        <top style="thin">
          <color theme="4" tint="0.39997558519241921"/>
        </top>
      </border>
    </dxf>
    <dxf>
      <font>
        <b val="0"/>
        <i val="0"/>
        <strike val="0"/>
        <condense val="0"/>
        <extend val="0"/>
        <outline val="0"/>
        <shadow val="0"/>
        <u val="none"/>
        <vertAlign val="baseline"/>
        <sz val="12"/>
        <color theme="1"/>
        <name val="メイリオ"/>
        <scheme val="none"/>
      </font>
    </dxf>
    <dxf>
      <font>
        <b val="0"/>
        <i val="0"/>
        <strike val="0"/>
        <condense val="0"/>
        <extend val="0"/>
        <outline val="0"/>
        <shadow val="0"/>
        <u val="none"/>
        <vertAlign val="baseline"/>
        <sz val="11"/>
        <color theme="1"/>
        <name val="メイリオ"/>
        <scheme val="none"/>
      </font>
      <numFmt numFmtId="182" formatCode="#,##0_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0"/>
        <name val="メイリオ"/>
        <scheme val="none"/>
      </font>
    </dxf>
    <dxf>
      <alignment horizontal="center" vertical="center" textRotation="0" wrapText="0" indent="0" justifyLastLine="0" shrinkToFit="0" readingOrder="0"/>
    </dxf>
    <dxf>
      <font>
        <b val="0"/>
        <i val="0"/>
        <strike val="0"/>
        <condense val="0"/>
        <extend val="0"/>
        <outline val="0"/>
        <shadow val="0"/>
        <u val="none"/>
        <vertAlign val="baseline"/>
        <sz val="11"/>
        <color theme="1"/>
        <name val="メイリオ"/>
        <scheme val="none"/>
      </font>
      <numFmt numFmtId="176" formatCode="#,##0_ ;[Red]\-#,##0\ "/>
      <alignment horizontal="general"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0"/>
        <name val="メイリオ"/>
        <scheme val="none"/>
      </font>
      <numFmt numFmtId="176" formatCode="#,##0_ ;[Red]\-#,##0\ "/>
    </dxf>
    <dxf>
      <alignment horizontal="center" vertical="center" textRotation="0" indent="0" justifyLastLine="0" shrinkToFit="0" readingOrder="0"/>
    </dxf>
    <dxf>
      <font>
        <b val="0"/>
        <i val="0"/>
        <strike val="0"/>
        <condense val="0"/>
        <extend val="0"/>
        <outline val="0"/>
        <shadow val="0"/>
        <u val="none"/>
        <vertAlign val="baseline"/>
        <sz val="11"/>
        <color theme="1"/>
        <name val="メイリオ"/>
        <scheme val="none"/>
      </font>
      <numFmt numFmtId="176" formatCode="#,##0_ ;[Red]\-#,##0\ "/>
      <alignment horizontal="general"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0"/>
        <name val="メイリオ"/>
        <scheme val="none"/>
      </font>
      <numFmt numFmtId="176" formatCode="#,##0_ ;[Red]\-#,##0\ "/>
    </dxf>
    <dxf>
      <alignment horizontal="center" vertical="center" textRotation="0" indent="0" justifyLastLine="0" shrinkToFit="0" readingOrder="0"/>
    </dxf>
    <dxf>
      <font>
        <b val="0"/>
        <i val="0"/>
        <strike val="0"/>
        <condense val="0"/>
        <extend val="0"/>
        <outline val="0"/>
        <shadow val="0"/>
        <u val="none"/>
        <vertAlign val="baseline"/>
        <sz val="11"/>
        <color theme="1"/>
        <name val="メイリオ"/>
        <scheme val="none"/>
      </font>
      <numFmt numFmtId="181" formatCode="#,##0_);[Red]\(#,##0\)"/>
      <alignment horizontal="general"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0"/>
        <name val="メイリオ"/>
        <scheme val="none"/>
      </font>
      <numFmt numFmtId="176" formatCode="#,##0_ ;[Red]\-#,##0\ "/>
    </dxf>
    <dxf>
      <font>
        <b val="0"/>
        <i val="0"/>
        <strike val="0"/>
        <condense val="0"/>
        <extend val="0"/>
        <outline val="0"/>
        <shadow val="0"/>
        <u val="none"/>
        <vertAlign val="baseline"/>
        <sz val="11"/>
        <color theme="1"/>
        <name val="メイリオ"/>
        <scheme val="none"/>
      </font>
      <alignment horizontal="left" vertical="center" textRotation="0" wrapText="0" indent="0" justifyLastLine="0" shrinkToFit="0" readingOrder="0"/>
    </dxf>
    <dxf>
      <font>
        <b val="0"/>
        <i val="0"/>
        <strike val="0"/>
        <condense val="0"/>
        <extend val="0"/>
        <outline val="0"/>
        <shadow val="0"/>
        <u val="none"/>
        <vertAlign val="baseline"/>
        <sz val="11"/>
        <color auto="1"/>
        <name val="メイリオ"/>
        <scheme val="none"/>
      </font>
      <numFmt numFmtId="176" formatCode="#,##0_ ;[Red]\-#,##0\ "/>
      <border diagonalUp="0" diagonalDown="0">
        <left style="thin">
          <color theme="0"/>
        </left>
        <right style="thin">
          <color theme="0"/>
        </right>
        <top style="thin">
          <color theme="0"/>
        </top>
        <bottom style="thin">
          <color theme="0"/>
        </bottom>
        <vertical/>
        <horizontal/>
      </border>
      <protection locked="0" hidden="0"/>
    </dxf>
    <dxf>
      <font>
        <b val="0"/>
        <i val="0"/>
        <strike val="0"/>
        <condense val="0"/>
        <extend val="0"/>
        <outline val="0"/>
        <shadow val="0"/>
        <u val="none"/>
        <vertAlign val="baseline"/>
        <sz val="11"/>
        <color theme="0"/>
        <name val="メイリオ"/>
        <scheme val="none"/>
      </font>
      <fill>
        <patternFill patternType="solid">
          <fgColor indexed="64"/>
          <bgColor theme="5" tint="-0.499984740745262"/>
        </patternFill>
      </fill>
      <alignment horizontal="left" vertical="center" textRotation="0" wrapText="0" indent="0" justifyLastLine="0" shrinkToFit="0" readingOrder="0"/>
      <protection locked="0" hidden="0"/>
    </dxf>
    <dxf>
      <protection locked="0" hidden="0"/>
    </dxf>
    <dxf>
      <font>
        <b val="0"/>
        <i val="0"/>
        <strike val="0"/>
        <condense val="0"/>
        <extend val="0"/>
        <outline val="0"/>
        <shadow val="0"/>
        <u val="none"/>
        <vertAlign val="baseline"/>
        <sz val="11"/>
        <color auto="1"/>
        <name val="メイリオ"/>
        <scheme val="none"/>
      </font>
      <numFmt numFmtId="176" formatCode="#,##0_ ;[Red]\-#,##0\ "/>
      <border diagonalUp="0" diagonalDown="0">
        <left style="thin">
          <color theme="0"/>
        </left>
        <right style="thin">
          <color theme="0"/>
        </right>
        <top style="thin">
          <color theme="0"/>
        </top>
        <bottom style="thin">
          <color theme="0"/>
        </bottom>
        <vertical/>
        <horizontal/>
      </border>
      <protection locked="0" hidden="0"/>
    </dxf>
    <dxf>
      <font>
        <b val="0"/>
        <i val="0"/>
        <strike val="0"/>
        <condense val="0"/>
        <extend val="0"/>
        <outline val="0"/>
        <shadow val="0"/>
        <u val="none"/>
        <vertAlign val="baseline"/>
        <sz val="11"/>
        <color theme="0"/>
        <name val="メイリオ"/>
        <scheme val="none"/>
      </font>
      <fill>
        <patternFill patternType="solid">
          <fgColor indexed="64"/>
          <bgColor theme="5" tint="-0.499984740745262"/>
        </patternFill>
      </fill>
      <alignment horizontal="left" vertical="center" textRotation="0" wrapText="0" indent="0" justifyLastLine="0" shrinkToFit="0" readingOrder="0"/>
      <protection locked="0" hidden="0"/>
    </dxf>
    <dxf>
      <protection locked="0" hidden="0"/>
    </dxf>
    <dxf>
      <protection locked="0" hidden="0"/>
    </dxf>
    <dxf>
      <font>
        <b val="0"/>
        <i val="0"/>
        <strike val="0"/>
        <condense val="0"/>
        <extend val="0"/>
        <outline val="0"/>
        <shadow val="0"/>
        <u val="none"/>
        <vertAlign val="baseline"/>
        <sz val="11"/>
        <color auto="1"/>
        <name val="メイリオ"/>
        <scheme val="none"/>
      </font>
      <numFmt numFmtId="176" formatCode="#,##0_ ;[Red]\-#,##0\ "/>
      <border diagonalUp="0" diagonalDown="0">
        <left style="thin">
          <color theme="0"/>
        </left>
        <right style="thin">
          <color theme="0"/>
        </right>
        <top style="thin">
          <color theme="0"/>
        </top>
        <bottom style="thin">
          <color theme="0"/>
        </bottom>
        <vertical/>
        <horizontal/>
      </border>
      <protection locked="0" hidden="0"/>
    </dxf>
    <dxf>
      <font>
        <b val="0"/>
        <i val="0"/>
        <strike val="0"/>
        <condense val="0"/>
        <extend val="0"/>
        <outline val="0"/>
        <shadow val="0"/>
        <u val="none"/>
        <vertAlign val="baseline"/>
        <sz val="11"/>
        <color theme="0"/>
        <name val="メイリオ"/>
        <scheme val="none"/>
      </font>
      <fill>
        <patternFill patternType="solid">
          <fgColor indexed="64"/>
          <bgColor theme="5" tint="-0.499984740745262"/>
        </patternFill>
      </fill>
      <alignment horizontal="left" vertical="center" textRotation="0" wrapText="0" indent="0" justifyLastLine="0" shrinkToFit="0" readingOrder="0"/>
      <protection locked="0" hidden="0"/>
    </dxf>
    <dxf>
      <protection locked="0" hidden="0"/>
    </dxf>
    <dxf>
      <protection locked="0" hidden="0"/>
    </dxf>
  </dxfs>
  <tableStyles count="0" defaultTableStyle="TableStyleMedium2" defaultPivotStyle="PivotStyleLight16"/>
  <colors>
    <mruColors>
      <color rgb="FFFF7C80"/>
      <color rgb="FFF8FED2"/>
      <color rgb="FFFAFDD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calcChain" Target="calcChain.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styles" Target="styles.xml"/><Relationship Id="rId20" Type="http://schemas.openxmlformats.org/officeDocument/2006/relationships/worksheet" Target="worksheets/sheet20.xml"/><Relationship Id="rId41" Type="http://schemas.openxmlformats.org/officeDocument/2006/relationships/worksheet" Target="worksheets/sheet4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6.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7.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8.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9.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cap="none" spc="20" baseline="0">
                <a:solidFill>
                  <a:schemeClr val="tx1">
                    <a:lumMod val="50000"/>
                    <a:lumOff val="50000"/>
                  </a:schemeClr>
                </a:solidFill>
                <a:latin typeface="メイリオ" panose="020B0604030504040204" pitchFamily="50" charset="-128"/>
                <a:ea typeface="メイリオ" panose="020B0604030504040204" pitchFamily="50" charset="-128"/>
                <a:cs typeface="+mn-cs"/>
              </a:defRPr>
            </a:pPr>
            <a:r>
              <a:rPr lang="ja-JP" sz="1200" b="1">
                <a:latin typeface="メイリオ" panose="020B0604030504040204" pitchFamily="50" charset="-128"/>
                <a:ea typeface="メイリオ" panose="020B0604030504040204" pitchFamily="50" charset="-128"/>
              </a:rPr>
              <a:t>年齢区分</a:t>
            </a:r>
          </a:p>
        </c:rich>
      </c:tx>
      <c:layout>
        <c:manualLayout>
          <c:xMode val="edge"/>
          <c:yMode val="edge"/>
          <c:x val="0.38648181712605029"/>
          <c:y val="1.6987671231044367E-2"/>
        </c:manualLayout>
      </c:layout>
      <c:overlay val="0"/>
      <c:spPr>
        <a:noFill/>
        <a:ln>
          <a:noFill/>
        </a:ln>
        <a:effectLst/>
      </c:spPr>
      <c:txPr>
        <a:bodyPr rot="0" spcFirstLastPara="1" vertOverflow="ellipsis" vert="horz" wrap="square" anchor="ctr" anchorCtr="1"/>
        <a:lstStyle/>
        <a:p>
          <a:pPr>
            <a:defRPr sz="1200" b="1" i="0" u="none" strike="noStrike" kern="1200" cap="none" spc="20" baseline="0">
              <a:solidFill>
                <a:schemeClr val="tx1">
                  <a:lumMod val="50000"/>
                  <a:lumOff val="50000"/>
                </a:schemeClr>
              </a:solidFill>
              <a:latin typeface="メイリオ" panose="020B0604030504040204" pitchFamily="50" charset="-128"/>
              <a:ea typeface="メイリオ" panose="020B0604030504040204" pitchFamily="50" charset="-128"/>
              <a:cs typeface="+mn-cs"/>
            </a:defRPr>
          </a:pPr>
          <a:endParaRPr lang="ja-JP"/>
        </a:p>
      </c:txPr>
    </c:title>
    <c:autoTitleDeleted val="0"/>
    <c:plotArea>
      <c:layout/>
      <c:pieChart>
        <c:varyColors val="1"/>
        <c:ser>
          <c:idx val="0"/>
          <c:order val="0"/>
          <c:tx>
            <c:strRef>
              <c:f>'グラフ(年齢区分）'!$N$4</c:f>
              <c:strCache>
                <c:ptCount val="1"/>
                <c:pt idx="0">
                  <c:v>全体</c:v>
                </c:pt>
              </c:strCache>
            </c:strRef>
          </c:tx>
          <c:dPt>
            <c:idx val="0"/>
            <c:bubble3D val="0"/>
            <c:spPr>
              <a:gradFill rotWithShape="1">
                <a:gsLst>
                  <a:gs pos="0">
                    <a:schemeClr val="accent1">
                      <a:tint val="50000"/>
                      <a:satMod val="300000"/>
                    </a:schemeClr>
                  </a:gs>
                  <a:gs pos="35000">
                    <a:schemeClr val="accent1">
                      <a:tint val="37000"/>
                      <a:satMod val="300000"/>
                    </a:schemeClr>
                  </a:gs>
                  <a:gs pos="100000">
                    <a:schemeClr val="accent1">
                      <a:tint val="15000"/>
                      <a:satMod val="350000"/>
                    </a:schemeClr>
                  </a:gs>
                </a:gsLst>
                <a:lin ang="16200000" scaled="1"/>
              </a:gradFill>
              <a:ln w="9525" cap="flat" cmpd="sng" algn="ctr">
                <a:solidFill>
                  <a:schemeClr val="accent1">
                    <a:shade val="95000"/>
                  </a:schemeClr>
                </a:solidFill>
                <a:round/>
              </a:ln>
              <a:effectLst>
                <a:outerShdw blurRad="40000" dist="20000" dir="5400000" rotWithShape="0">
                  <a:srgbClr val="000000">
                    <a:alpha val="38000"/>
                  </a:srgbClr>
                </a:outerShdw>
              </a:effectLst>
            </c:spPr>
            <c:extLst>
              <c:ext xmlns:c16="http://schemas.microsoft.com/office/drawing/2014/chart" uri="{C3380CC4-5D6E-409C-BE32-E72D297353CC}">
                <c16:uniqueId val="{00000001-F8BB-452E-BFB8-1A1D90280907}"/>
              </c:ext>
            </c:extLst>
          </c:dPt>
          <c:dPt>
            <c:idx val="1"/>
            <c:bubble3D val="0"/>
            <c:spPr>
              <a:gradFill rotWithShape="1">
                <a:gsLst>
                  <a:gs pos="0">
                    <a:schemeClr val="accent2">
                      <a:tint val="50000"/>
                      <a:satMod val="300000"/>
                    </a:schemeClr>
                  </a:gs>
                  <a:gs pos="35000">
                    <a:schemeClr val="accent2">
                      <a:tint val="37000"/>
                      <a:satMod val="300000"/>
                    </a:schemeClr>
                  </a:gs>
                  <a:gs pos="100000">
                    <a:schemeClr val="accent2">
                      <a:tint val="15000"/>
                      <a:satMod val="350000"/>
                    </a:schemeClr>
                  </a:gs>
                </a:gsLst>
                <a:lin ang="16200000" scaled="1"/>
              </a:gradFill>
              <a:ln w="9525" cap="flat" cmpd="sng" algn="ctr">
                <a:solidFill>
                  <a:schemeClr val="accent2">
                    <a:shade val="95000"/>
                  </a:schemeClr>
                </a:solidFill>
                <a:round/>
              </a:ln>
              <a:effectLst>
                <a:outerShdw blurRad="40000" dist="20000" dir="5400000" rotWithShape="0">
                  <a:srgbClr val="000000">
                    <a:alpha val="38000"/>
                  </a:srgbClr>
                </a:outerShdw>
              </a:effectLst>
            </c:spPr>
            <c:extLst>
              <c:ext xmlns:c16="http://schemas.microsoft.com/office/drawing/2014/chart" uri="{C3380CC4-5D6E-409C-BE32-E72D297353CC}">
                <c16:uniqueId val="{00000003-F8BB-452E-BFB8-1A1D90280907}"/>
              </c:ext>
            </c:extLst>
          </c:dPt>
          <c:dPt>
            <c:idx val="2"/>
            <c:bubble3D val="0"/>
            <c:spPr>
              <a:gradFill rotWithShape="1">
                <a:gsLst>
                  <a:gs pos="0">
                    <a:schemeClr val="accent3">
                      <a:tint val="50000"/>
                      <a:satMod val="300000"/>
                    </a:schemeClr>
                  </a:gs>
                  <a:gs pos="35000">
                    <a:schemeClr val="accent3">
                      <a:tint val="37000"/>
                      <a:satMod val="300000"/>
                    </a:schemeClr>
                  </a:gs>
                  <a:gs pos="100000">
                    <a:schemeClr val="accent3">
                      <a:tint val="15000"/>
                      <a:satMod val="350000"/>
                    </a:schemeClr>
                  </a:gs>
                </a:gsLst>
                <a:lin ang="16200000" scaled="1"/>
              </a:gradFill>
              <a:ln w="9525" cap="flat" cmpd="sng" algn="ctr">
                <a:solidFill>
                  <a:schemeClr val="accent3">
                    <a:shade val="95000"/>
                  </a:schemeClr>
                </a:solidFill>
                <a:round/>
              </a:ln>
              <a:effectLst>
                <a:outerShdw blurRad="40000" dist="20000" dir="5400000" rotWithShape="0">
                  <a:srgbClr val="000000">
                    <a:alpha val="38000"/>
                  </a:srgbClr>
                </a:outerShdw>
              </a:effectLst>
            </c:spPr>
            <c:extLst>
              <c:ext xmlns:c16="http://schemas.microsoft.com/office/drawing/2014/chart" uri="{C3380CC4-5D6E-409C-BE32-E72D297353CC}">
                <c16:uniqueId val="{00000005-F8BB-452E-BFB8-1A1D90280907}"/>
              </c:ext>
            </c:extLst>
          </c:dPt>
          <c:dPt>
            <c:idx val="3"/>
            <c:bubble3D val="0"/>
            <c:spPr>
              <a:gradFill rotWithShape="1">
                <a:gsLst>
                  <a:gs pos="0">
                    <a:schemeClr val="accent4">
                      <a:tint val="50000"/>
                      <a:satMod val="300000"/>
                    </a:schemeClr>
                  </a:gs>
                  <a:gs pos="35000">
                    <a:schemeClr val="accent4">
                      <a:tint val="37000"/>
                      <a:satMod val="300000"/>
                    </a:schemeClr>
                  </a:gs>
                  <a:gs pos="100000">
                    <a:schemeClr val="accent4">
                      <a:tint val="15000"/>
                      <a:satMod val="350000"/>
                    </a:schemeClr>
                  </a:gs>
                </a:gsLst>
                <a:lin ang="16200000" scaled="1"/>
              </a:gradFill>
              <a:ln w="9525" cap="flat" cmpd="sng" algn="ctr">
                <a:solidFill>
                  <a:schemeClr val="accent4">
                    <a:shade val="95000"/>
                  </a:schemeClr>
                </a:solidFill>
                <a:round/>
              </a:ln>
              <a:effectLst>
                <a:outerShdw blurRad="40000" dist="20000" dir="5400000" rotWithShape="0">
                  <a:srgbClr val="000000">
                    <a:alpha val="38000"/>
                  </a:srgbClr>
                </a:outerShdw>
              </a:effectLst>
            </c:spPr>
            <c:extLst>
              <c:ext xmlns:c16="http://schemas.microsoft.com/office/drawing/2014/chart" uri="{C3380CC4-5D6E-409C-BE32-E72D297353CC}">
                <c16:uniqueId val="{00000007-F8BB-452E-BFB8-1A1D90280907}"/>
              </c:ext>
            </c:extLst>
          </c:dPt>
          <c:dPt>
            <c:idx val="4"/>
            <c:bubble3D val="0"/>
            <c:spPr>
              <a:gradFill rotWithShape="1">
                <a:gsLst>
                  <a:gs pos="0">
                    <a:schemeClr val="accent5">
                      <a:tint val="50000"/>
                      <a:satMod val="300000"/>
                    </a:schemeClr>
                  </a:gs>
                  <a:gs pos="35000">
                    <a:schemeClr val="accent5">
                      <a:tint val="37000"/>
                      <a:satMod val="300000"/>
                    </a:schemeClr>
                  </a:gs>
                  <a:gs pos="100000">
                    <a:schemeClr val="accent5">
                      <a:tint val="15000"/>
                      <a:satMod val="350000"/>
                    </a:schemeClr>
                  </a:gs>
                </a:gsLst>
                <a:lin ang="16200000" scaled="1"/>
              </a:gradFill>
              <a:ln w="9525" cap="flat" cmpd="sng" algn="ctr">
                <a:solidFill>
                  <a:schemeClr val="accent5">
                    <a:shade val="95000"/>
                  </a:schemeClr>
                </a:solidFill>
                <a:round/>
              </a:ln>
              <a:effectLst>
                <a:outerShdw blurRad="40000" dist="20000" dir="5400000" rotWithShape="0">
                  <a:srgbClr val="000000">
                    <a:alpha val="38000"/>
                  </a:srgbClr>
                </a:outerShdw>
              </a:effectLst>
            </c:spPr>
            <c:extLst>
              <c:ext xmlns:c16="http://schemas.microsoft.com/office/drawing/2014/chart" uri="{C3380CC4-5D6E-409C-BE32-E72D297353CC}">
                <c16:uniqueId val="{00000009-F8BB-452E-BFB8-1A1D90280907}"/>
              </c:ext>
            </c:extLst>
          </c:dPt>
          <c:dPt>
            <c:idx val="5"/>
            <c:bubble3D val="0"/>
            <c:spPr>
              <a:gradFill rotWithShape="1">
                <a:gsLst>
                  <a:gs pos="0">
                    <a:schemeClr val="accent6">
                      <a:tint val="50000"/>
                      <a:satMod val="300000"/>
                    </a:schemeClr>
                  </a:gs>
                  <a:gs pos="35000">
                    <a:schemeClr val="accent6">
                      <a:tint val="37000"/>
                      <a:satMod val="300000"/>
                    </a:schemeClr>
                  </a:gs>
                  <a:gs pos="100000">
                    <a:schemeClr val="accent6">
                      <a:tint val="15000"/>
                      <a:satMod val="350000"/>
                    </a:schemeClr>
                  </a:gs>
                </a:gsLst>
                <a:lin ang="16200000" scaled="1"/>
              </a:gradFill>
              <a:ln w="9525" cap="flat" cmpd="sng" algn="ctr">
                <a:solidFill>
                  <a:schemeClr val="accent6">
                    <a:shade val="95000"/>
                  </a:schemeClr>
                </a:solidFill>
                <a:round/>
              </a:ln>
              <a:effectLst>
                <a:outerShdw blurRad="40000" dist="20000" dir="5400000" rotWithShape="0">
                  <a:srgbClr val="000000">
                    <a:alpha val="38000"/>
                  </a:srgbClr>
                </a:outerShdw>
              </a:effectLst>
            </c:spPr>
            <c:extLst>
              <c:ext xmlns:c16="http://schemas.microsoft.com/office/drawing/2014/chart" uri="{C3380CC4-5D6E-409C-BE32-E72D297353CC}">
                <c16:uniqueId val="{0000000B-F8BB-452E-BFB8-1A1D90280907}"/>
              </c:ext>
            </c:extLst>
          </c:dPt>
          <c:dPt>
            <c:idx val="6"/>
            <c:bubble3D val="0"/>
            <c:spPr>
              <a:gradFill rotWithShape="1">
                <a:gsLst>
                  <a:gs pos="0">
                    <a:schemeClr val="accent1">
                      <a:lumMod val="60000"/>
                      <a:tint val="50000"/>
                      <a:satMod val="300000"/>
                    </a:schemeClr>
                  </a:gs>
                  <a:gs pos="35000">
                    <a:schemeClr val="accent1">
                      <a:lumMod val="60000"/>
                      <a:tint val="37000"/>
                      <a:satMod val="300000"/>
                    </a:schemeClr>
                  </a:gs>
                  <a:gs pos="100000">
                    <a:schemeClr val="accent1">
                      <a:lumMod val="60000"/>
                      <a:tint val="15000"/>
                      <a:satMod val="350000"/>
                    </a:schemeClr>
                  </a:gs>
                </a:gsLst>
                <a:lin ang="16200000" scaled="1"/>
              </a:gradFill>
              <a:ln w="9525" cap="flat" cmpd="sng" algn="ctr">
                <a:solidFill>
                  <a:schemeClr val="accent1">
                    <a:lumMod val="60000"/>
                    <a:shade val="95000"/>
                  </a:schemeClr>
                </a:solidFill>
                <a:round/>
              </a:ln>
              <a:effectLst>
                <a:outerShdw blurRad="40000" dist="20000" dir="5400000" rotWithShape="0">
                  <a:srgbClr val="000000">
                    <a:alpha val="38000"/>
                  </a:srgbClr>
                </a:outerShdw>
              </a:effectLst>
            </c:spPr>
            <c:extLst>
              <c:ext xmlns:c16="http://schemas.microsoft.com/office/drawing/2014/chart" uri="{C3380CC4-5D6E-409C-BE32-E72D297353CC}">
                <c16:uniqueId val="{0000000D-F8BB-452E-BFB8-1A1D90280907}"/>
              </c:ext>
            </c:extLst>
          </c:dPt>
          <c:dPt>
            <c:idx val="7"/>
            <c:bubble3D val="0"/>
            <c:spPr>
              <a:gradFill rotWithShape="1">
                <a:gsLst>
                  <a:gs pos="0">
                    <a:schemeClr val="accent2">
                      <a:lumMod val="60000"/>
                      <a:tint val="50000"/>
                      <a:satMod val="300000"/>
                    </a:schemeClr>
                  </a:gs>
                  <a:gs pos="35000">
                    <a:schemeClr val="accent2">
                      <a:lumMod val="60000"/>
                      <a:tint val="37000"/>
                      <a:satMod val="300000"/>
                    </a:schemeClr>
                  </a:gs>
                  <a:gs pos="100000">
                    <a:schemeClr val="accent2">
                      <a:lumMod val="60000"/>
                      <a:tint val="15000"/>
                      <a:satMod val="350000"/>
                    </a:schemeClr>
                  </a:gs>
                </a:gsLst>
                <a:lin ang="16200000" scaled="1"/>
              </a:gradFill>
              <a:ln w="9525" cap="flat" cmpd="sng" algn="ctr">
                <a:solidFill>
                  <a:schemeClr val="accent2">
                    <a:lumMod val="60000"/>
                    <a:shade val="95000"/>
                  </a:schemeClr>
                </a:solidFill>
                <a:round/>
              </a:ln>
              <a:effectLst>
                <a:outerShdw blurRad="40000" dist="20000" dir="5400000" rotWithShape="0">
                  <a:srgbClr val="000000">
                    <a:alpha val="38000"/>
                  </a:srgbClr>
                </a:outerShdw>
              </a:effectLst>
            </c:spPr>
            <c:extLst>
              <c:ext xmlns:c16="http://schemas.microsoft.com/office/drawing/2014/chart" uri="{C3380CC4-5D6E-409C-BE32-E72D297353CC}">
                <c16:uniqueId val="{0000000F-F8BB-452E-BFB8-1A1D90280907}"/>
              </c:ext>
            </c:extLst>
          </c:dPt>
          <c:dPt>
            <c:idx val="8"/>
            <c:bubble3D val="0"/>
            <c:spPr>
              <a:gradFill rotWithShape="1">
                <a:gsLst>
                  <a:gs pos="0">
                    <a:schemeClr val="accent3">
                      <a:lumMod val="60000"/>
                      <a:tint val="50000"/>
                      <a:satMod val="300000"/>
                    </a:schemeClr>
                  </a:gs>
                  <a:gs pos="35000">
                    <a:schemeClr val="accent3">
                      <a:lumMod val="60000"/>
                      <a:tint val="37000"/>
                      <a:satMod val="300000"/>
                    </a:schemeClr>
                  </a:gs>
                  <a:gs pos="100000">
                    <a:schemeClr val="accent3">
                      <a:lumMod val="60000"/>
                      <a:tint val="15000"/>
                      <a:satMod val="350000"/>
                    </a:schemeClr>
                  </a:gs>
                </a:gsLst>
                <a:lin ang="16200000" scaled="1"/>
              </a:gradFill>
              <a:ln w="9525" cap="flat" cmpd="sng" algn="ctr">
                <a:solidFill>
                  <a:schemeClr val="accent3">
                    <a:lumMod val="60000"/>
                    <a:shade val="95000"/>
                  </a:schemeClr>
                </a:solidFill>
                <a:round/>
              </a:ln>
              <a:effectLst>
                <a:outerShdw blurRad="40000" dist="20000" dir="5400000" rotWithShape="0">
                  <a:srgbClr val="000000">
                    <a:alpha val="38000"/>
                  </a:srgbClr>
                </a:outerShdw>
              </a:effectLst>
            </c:spPr>
            <c:extLst>
              <c:ext xmlns:c16="http://schemas.microsoft.com/office/drawing/2014/chart" uri="{C3380CC4-5D6E-409C-BE32-E72D297353CC}">
                <c16:uniqueId val="{00000011-F8BB-452E-BFB8-1A1D90280907}"/>
              </c:ext>
            </c:extLst>
          </c:dPt>
          <c:dLbls>
            <c:dLbl>
              <c:idx val="1"/>
              <c:layout>
                <c:manualLayout>
                  <c:x val="0.1654797385620915"/>
                  <c:y val="6.5291666666666666E-3"/>
                </c:manualLayout>
              </c:layout>
              <c:numFmt formatCode="0.0%" sourceLinked="0"/>
              <c:spPr>
                <a:noFill/>
                <a:ln>
                  <a:noFill/>
                </a:ln>
                <a:effectLst/>
              </c:spPr>
              <c:txPr>
                <a:bodyPr rot="0" spcFirstLastPara="1" vertOverflow="ellipsis" vert="horz" wrap="square" lIns="38100" tIns="19050" rIns="38100" bIns="19050" anchor="ctr" anchorCtr="1">
                  <a:noAutofit/>
                </a:bodyPr>
                <a:lstStyle/>
                <a:p>
                  <a:pPr>
                    <a:defRPr sz="8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showLegendKey val="0"/>
              <c:showVal val="1"/>
              <c:showCatName val="1"/>
              <c:showSerName val="0"/>
              <c:showPercent val="1"/>
              <c:showBubbleSize val="0"/>
              <c:separator>
</c:separator>
              <c:extLst>
                <c:ext xmlns:c15="http://schemas.microsoft.com/office/drawing/2012/chart" uri="{CE6537A1-D6FC-4f65-9D91-7224C49458BB}">
                  <c15:layout>
                    <c:manualLayout>
                      <c:w val="0.12824509803921569"/>
                      <c:h val="0.17982847222222223"/>
                    </c:manualLayout>
                  </c15:layout>
                </c:ext>
                <c:ext xmlns:c16="http://schemas.microsoft.com/office/drawing/2014/chart" uri="{C3380CC4-5D6E-409C-BE32-E72D297353CC}">
                  <c16:uniqueId val="{00000003-F8BB-452E-BFB8-1A1D90280907}"/>
                </c:ext>
              </c:extLst>
            </c:dLbl>
            <c:dLbl>
              <c:idx val="2"/>
              <c:layout>
                <c:manualLayout>
                  <c:x val="0.1579875816993464"/>
                  <c:y val="0.10841701388888889"/>
                </c:manualLayout>
              </c:layout>
              <c:showLegendKey val="0"/>
              <c:showVal val="1"/>
              <c:showCatName val="1"/>
              <c:showSerName val="0"/>
              <c:showPercent val="1"/>
              <c:showBubbleSize val="0"/>
              <c:separator>
</c:separator>
              <c:extLst>
                <c:ext xmlns:c15="http://schemas.microsoft.com/office/drawing/2012/chart" uri="{CE6537A1-D6FC-4f65-9D91-7224C49458BB}">
                  <c15:layout/>
                </c:ext>
                <c:ext xmlns:c16="http://schemas.microsoft.com/office/drawing/2014/chart" uri="{C3380CC4-5D6E-409C-BE32-E72D297353CC}">
                  <c16:uniqueId val="{00000005-F8BB-452E-BFB8-1A1D90280907}"/>
                </c:ext>
              </c:extLst>
            </c:dLbl>
            <c:dLbl>
              <c:idx val="3"/>
              <c:layout>
                <c:manualLayout>
                  <c:x val="0.16864918300653595"/>
                  <c:y val="0.18855104166666667"/>
                </c:manualLayout>
              </c:layout>
              <c:showLegendKey val="0"/>
              <c:showVal val="1"/>
              <c:showCatName val="1"/>
              <c:showSerName val="0"/>
              <c:showPercent val="1"/>
              <c:showBubbleSize val="0"/>
              <c:separator>
</c:separator>
              <c:extLst>
                <c:ext xmlns:c15="http://schemas.microsoft.com/office/drawing/2012/chart" uri="{CE6537A1-D6FC-4f65-9D91-7224C49458BB}">
                  <c15:layout/>
                </c:ext>
                <c:ext xmlns:c16="http://schemas.microsoft.com/office/drawing/2014/chart" uri="{C3380CC4-5D6E-409C-BE32-E72D297353CC}">
                  <c16:uniqueId val="{00000007-F8BB-452E-BFB8-1A1D90280907}"/>
                </c:ext>
              </c:extLst>
            </c:dLbl>
            <c:dLbl>
              <c:idx val="8"/>
              <c:layout>
                <c:manualLayout>
                  <c:x val="-0.28123921568627452"/>
                  <c:y val="-3.7262152777777766E-2"/>
                </c:manualLayout>
              </c:layout>
              <c:showLegendKey val="0"/>
              <c:showVal val="1"/>
              <c:showCatName val="1"/>
              <c:showSerName val="0"/>
              <c:showPercent val="1"/>
              <c:showBubbleSize val="0"/>
              <c:separator>
</c:separator>
              <c:extLst>
                <c:ext xmlns:c15="http://schemas.microsoft.com/office/drawing/2012/chart" uri="{CE6537A1-D6FC-4f65-9D91-7224C49458BB}">
                  <c15:layout/>
                </c:ext>
                <c:ext xmlns:c16="http://schemas.microsoft.com/office/drawing/2014/chart" uri="{C3380CC4-5D6E-409C-BE32-E72D297353CC}">
                  <c16:uniqueId val="{00000011-F8BB-452E-BFB8-1A1D90280907}"/>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showLegendKey val="0"/>
            <c:showVal val="1"/>
            <c:showCatName val="1"/>
            <c:showSerName val="0"/>
            <c:showPercent val="1"/>
            <c:showBubbleSize val="0"/>
            <c:separator>
</c:separator>
            <c:showLeaderLines val="1"/>
            <c:leaderLines>
              <c:spPr>
                <a:ln w="9525">
                  <a:solidFill>
                    <a:schemeClr val="tx1">
                      <a:lumMod val="35000"/>
                      <a:lumOff val="65000"/>
                    </a:schemeClr>
                  </a:solidFill>
                </a:ln>
                <a:effectLst/>
              </c:spPr>
            </c:leaderLines>
            <c:extLst>
              <c:ext xmlns:c15="http://schemas.microsoft.com/office/drawing/2012/chart" uri="{CE6537A1-D6FC-4f65-9D91-7224C49458BB}">
                <c15:layout/>
              </c:ext>
            </c:extLst>
          </c:dLbls>
          <c:cat>
            <c:strRef>
              <c:f>'グラフ(年齢区分）'!$M$5:$M$13</c:f>
              <c:strCache>
                <c:ptCount val="9"/>
                <c:pt idx="0">
                  <c:v>19歳以下</c:v>
                </c:pt>
                <c:pt idx="1">
                  <c:v>20歳代</c:v>
                </c:pt>
                <c:pt idx="2">
                  <c:v>30歳代</c:v>
                </c:pt>
                <c:pt idx="3">
                  <c:v>40歳代</c:v>
                </c:pt>
                <c:pt idx="4">
                  <c:v>50歳代</c:v>
                </c:pt>
                <c:pt idx="5">
                  <c:v>60歳代</c:v>
                </c:pt>
                <c:pt idx="6">
                  <c:v>70歳代</c:v>
                </c:pt>
                <c:pt idx="7">
                  <c:v>80歳代</c:v>
                </c:pt>
                <c:pt idx="8">
                  <c:v>90歳以上</c:v>
                </c:pt>
              </c:strCache>
            </c:strRef>
          </c:cat>
          <c:val>
            <c:numRef>
              <c:f>'グラフ(年齢区分）'!$N$5:$N$13</c:f>
              <c:numCache>
                <c:formatCode>#,##0"人"</c:formatCode>
                <c:ptCount val="9"/>
                <c:pt idx="0">
                  <c:v>125</c:v>
                </c:pt>
                <c:pt idx="1">
                  <c:v>318</c:v>
                </c:pt>
                <c:pt idx="2">
                  <c:v>669</c:v>
                </c:pt>
                <c:pt idx="3">
                  <c:v>1516</c:v>
                </c:pt>
                <c:pt idx="4">
                  <c:v>2456</c:v>
                </c:pt>
                <c:pt idx="5">
                  <c:v>2806</c:v>
                </c:pt>
                <c:pt idx="6">
                  <c:v>4025</c:v>
                </c:pt>
                <c:pt idx="7">
                  <c:v>3075</c:v>
                </c:pt>
                <c:pt idx="8">
                  <c:v>665</c:v>
                </c:pt>
              </c:numCache>
            </c:numRef>
          </c:val>
          <c:extLst>
            <c:ext xmlns:c16="http://schemas.microsoft.com/office/drawing/2014/chart" uri="{C3380CC4-5D6E-409C-BE32-E72D297353CC}">
              <c16:uniqueId val="{00000012-F8BB-452E-BFB8-1A1D90280907}"/>
            </c:ext>
          </c:extLst>
        </c:ser>
        <c:dLbls>
          <c:showLegendKey val="0"/>
          <c:showVal val="1"/>
          <c:showCatName val="0"/>
          <c:showSerName val="0"/>
          <c:showPercent val="0"/>
          <c:showBubbleSize val="0"/>
          <c:showLeaderLines val="1"/>
        </c:dLbls>
        <c:firstSliceAng val="0"/>
      </c:pie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oddHeader>&amp;C○○市町村（○○保健所圏域）の在院患者の状況</c:oddHeader>
    </c:headerFooter>
    <c:pageMargins b="0.75" l="0.7" r="0.7" t="0.75" header="0.3" footer="0.3"/>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cap="none" spc="20" baseline="0">
                <a:solidFill>
                  <a:schemeClr val="tx1">
                    <a:lumMod val="50000"/>
                    <a:lumOff val="50000"/>
                  </a:schemeClr>
                </a:solidFill>
                <a:latin typeface="メイリオ" panose="020B0604030504040204" pitchFamily="50" charset="-128"/>
                <a:ea typeface="メイリオ" panose="020B0604030504040204" pitchFamily="50" charset="-128"/>
                <a:cs typeface="+mn-cs"/>
              </a:defRPr>
            </a:pPr>
            <a:r>
              <a:rPr lang="en-US" altLang="ja-JP" sz="1200" b="1">
                <a:latin typeface="メイリオ" panose="020B0604030504040204" pitchFamily="50" charset="-128"/>
                <a:ea typeface="メイリオ" panose="020B0604030504040204" pitchFamily="50" charset="-128"/>
              </a:rPr>
              <a:t>65</a:t>
            </a:r>
            <a:r>
              <a:rPr lang="ja-JP" altLang="en-US" sz="1200" b="1">
                <a:latin typeface="メイリオ" panose="020B0604030504040204" pitchFamily="50" charset="-128"/>
                <a:ea typeface="メイリオ" panose="020B0604030504040204" pitchFamily="50" charset="-128"/>
              </a:rPr>
              <a:t>歳以上</a:t>
            </a:r>
            <a:endParaRPr lang="ja-JP" sz="1200" b="1">
              <a:latin typeface="メイリオ" panose="020B0604030504040204" pitchFamily="50" charset="-128"/>
              <a:ea typeface="メイリオ" panose="020B0604030504040204" pitchFamily="50" charset="-128"/>
            </a:endParaRPr>
          </a:p>
        </c:rich>
      </c:tx>
      <c:layout>
        <c:manualLayout>
          <c:xMode val="edge"/>
          <c:yMode val="edge"/>
          <c:x val="0.36990981962620362"/>
          <c:y val="8.4938356155221835E-3"/>
        </c:manualLayout>
      </c:layout>
      <c:overlay val="0"/>
      <c:spPr>
        <a:noFill/>
        <a:ln>
          <a:noFill/>
        </a:ln>
        <a:effectLst/>
      </c:spPr>
      <c:txPr>
        <a:bodyPr rot="0" spcFirstLastPara="1" vertOverflow="ellipsis" vert="horz" wrap="square" anchor="ctr" anchorCtr="1"/>
        <a:lstStyle/>
        <a:p>
          <a:pPr>
            <a:defRPr sz="1200" b="1" i="0" u="none" strike="noStrike" kern="1200" cap="none" spc="20" baseline="0">
              <a:solidFill>
                <a:schemeClr val="tx1">
                  <a:lumMod val="50000"/>
                  <a:lumOff val="50000"/>
                </a:schemeClr>
              </a:solidFill>
              <a:latin typeface="メイリオ" panose="020B0604030504040204" pitchFamily="50" charset="-128"/>
              <a:ea typeface="メイリオ" panose="020B0604030504040204" pitchFamily="50" charset="-128"/>
              <a:cs typeface="+mn-cs"/>
            </a:defRPr>
          </a:pPr>
          <a:endParaRPr lang="ja-JP"/>
        </a:p>
      </c:txPr>
    </c:title>
    <c:autoTitleDeleted val="0"/>
    <c:plotArea>
      <c:layout/>
      <c:barChart>
        <c:barDir val="bar"/>
        <c:grouping val="clustered"/>
        <c:varyColors val="0"/>
        <c:ser>
          <c:idx val="0"/>
          <c:order val="0"/>
          <c:tx>
            <c:strRef>
              <c:f>'グラフ(疾患名)'!$O$45</c:f>
              <c:strCache>
                <c:ptCount val="1"/>
                <c:pt idx="0">
                  <c:v>人数</c:v>
                </c:pt>
              </c:strCache>
            </c:strRef>
          </c:tx>
          <c:spPr>
            <a:solidFill>
              <a:srgbClr val="F8FED2"/>
            </a:solidFill>
            <a:ln w="9525" cap="flat" cmpd="sng" algn="ctr">
              <a:solidFill>
                <a:srgbClr val="FFFF00"/>
              </a:solidFill>
              <a:round/>
            </a:ln>
            <a:effectLst>
              <a:outerShdw blurRad="40000" dist="20000" dir="5400000" rotWithShape="0">
                <a:srgbClr val="000000">
                  <a:alpha val="38000"/>
                </a:srgbClr>
              </a:outerShdw>
            </a:effectLst>
          </c:spPr>
          <c:invertIfNegative val="0"/>
          <c:dPt>
            <c:idx val="0"/>
            <c:invertIfNegative val="0"/>
            <c:bubble3D val="0"/>
            <c:spPr>
              <a:solidFill>
                <a:srgbClr val="F8FED2"/>
              </a:solidFill>
              <a:ln w="9525" cap="flat" cmpd="sng" algn="ctr">
                <a:solidFill>
                  <a:srgbClr val="FFFF00"/>
                </a:solidFill>
                <a:round/>
              </a:ln>
              <a:effectLst>
                <a:outerShdw blurRad="40000" dist="20000" dir="5400000" rotWithShape="0">
                  <a:srgbClr val="000000">
                    <a:alpha val="38000"/>
                  </a:srgbClr>
                </a:outerShdw>
              </a:effectLst>
            </c:spPr>
            <c:extLst>
              <c:ext xmlns:c16="http://schemas.microsoft.com/office/drawing/2014/chart" uri="{C3380CC4-5D6E-409C-BE32-E72D297353CC}">
                <c16:uniqueId val="{00000001-196B-4E6B-9279-E7EDE4536D1F}"/>
              </c:ext>
            </c:extLst>
          </c:dPt>
          <c:dPt>
            <c:idx val="1"/>
            <c:invertIfNegative val="0"/>
            <c:bubble3D val="0"/>
            <c:spPr>
              <a:solidFill>
                <a:srgbClr val="F8FED2"/>
              </a:solidFill>
              <a:ln w="9525" cap="flat" cmpd="sng" algn="ctr">
                <a:solidFill>
                  <a:srgbClr val="FFFF00"/>
                </a:solidFill>
                <a:round/>
              </a:ln>
              <a:effectLst>
                <a:outerShdw blurRad="40000" dist="20000" dir="5400000" rotWithShape="0">
                  <a:srgbClr val="000000">
                    <a:alpha val="38000"/>
                  </a:srgbClr>
                </a:outerShdw>
              </a:effectLst>
            </c:spPr>
            <c:extLst>
              <c:ext xmlns:c16="http://schemas.microsoft.com/office/drawing/2014/chart" uri="{C3380CC4-5D6E-409C-BE32-E72D297353CC}">
                <c16:uniqueId val="{00000003-196B-4E6B-9279-E7EDE4536D1F}"/>
              </c:ext>
            </c:extLst>
          </c:dPt>
          <c:dPt>
            <c:idx val="2"/>
            <c:invertIfNegative val="0"/>
            <c:bubble3D val="0"/>
            <c:spPr>
              <a:solidFill>
                <a:srgbClr val="F8FED2"/>
              </a:solidFill>
              <a:ln w="9525" cap="flat" cmpd="sng" algn="ctr">
                <a:solidFill>
                  <a:srgbClr val="FFFF00"/>
                </a:solidFill>
                <a:round/>
              </a:ln>
              <a:effectLst>
                <a:outerShdw blurRad="40000" dist="20000" dir="5400000" rotWithShape="0">
                  <a:srgbClr val="000000">
                    <a:alpha val="38000"/>
                  </a:srgbClr>
                </a:outerShdw>
              </a:effectLst>
            </c:spPr>
            <c:extLst>
              <c:ext xmlns:c16="http://schemas.microsoft.com/office/drawing/2014/chart" uri="{C3380CC4-5D6E-409C-BE32-E72D297353CC}">
                <c16:uniqueId val="{00000005-196B-4E6B-9279-E7EDE4536D1F}"/>
              </c:ext>
            </c:extLst>
          </c:dPt>
          <c:dPt>
            <c:idx val="3"/>
            <c:invertIfNegative val="0"/>
            <c:bubble3D val="0"/>
            <c:spPr>
              <a:solidFill>
                <a:srgbClr val="F8FED2"/>
              </a:solidFill>
              <a:ln w="9525" cap="flat" cmpd="sng" algn="ctr">
                <a:solidFill>
                  <a:srgbClr val="FFFF00"/>
                </a:solidFill>
                <a:round/>
              </a:ln>
              <a:effectLst>
                <a:outerShdw blurRad="40000" dist="20000" dir="5400000" rotWithShape="0">
                  <a:srgbClr val="000000">
                    <a:alpha val="38000"/>
                  </a:srgbClr>
                </a:outerShdw>
              </a:effectLst>
            </c:spPr>
            <c:extLst>
              <c:ext xmlns:c16="http://schemas.microsoft.com/office/drawing/2014/chart" uri="{C3380CC4-5D6E-409C-BE32-E72D297353CC}">
                <c16:uniqueId val="{00000007-196B-4E6B-9279-E7EDE4536D1F}"/>
              </c:ext>
            </c:extLst>
          </c:dPt>
          <c:dPt>
            <c:idx val="4"/>
            <c:invertIfNegative val="0"/>
            <c:bubble3D val="0"/>
            <c:spPr>
              <a:solidFill>
                <a:srgbClr val="F8FED2"/>
              </a:solidFill>
              <a:ln w="9525" cap="flat" cmpd="sng" algn="ctr">
                <a:solidFill>
                  <a:srgbClr val="FFFF00"/>
                </a:solidFill>
                <a:round/>
              </a:ln>
              <a:effectLst>
                <a:outerShdw blurRad="40000" dist="20000" dir="5400000" rotWithShape="0">
                  <a:srgbClr val="000000">
                    <a:alpha val="38000"/>
                  </a:srgbClr>
                </a:outerShdw>
              </a:effectLst>
            </c:spPr>
            <c:extLst>
              <c:ext xmlns:c16="http://schemas.microsoft.com/office/drawing/2014/chart" uri="{C3380CC4-5D6E-409C-BE32-E72D297353CC}">
                <c16:uniqueId val="{00000009-196B-4E6B-9279-E7EDE4536D1F}"/>
              </c:ext>
            </c:extLst>
          </c:dPt>
          <c:dPt>
            <c:idx val="5"/>
            <c:invertIfNegative val="0"/>
            <c:bubble3D val="0"/>
            <c:spPr>
              <a:solidFill>
                <a:srgbClr val="F8FED2"/>
              </a:solidFill>
              <a:ln w="9525" cap="flat" cmpd="sng" algn="ctr">
                <a:solidFill>
                  <a:srgbClr val="FFFF00"/>
                </a:solidFill>
                <a:round/>
              </a:ln>
              <a:effectLst>
                <a:outerShdw blurRad="40000" dist="20000" dir="5400000" rotWithShape="0">
                  <a:srgbClr val="000000">
                    <a:alpha val="38000"/>
                  </a:srgbClr>
                </a:outerShdw>
              </a:effectLst>
            </c:spPr>
            <c:extLst>
              <c:ext xmlns:c16="http://schemas.microsoft.com/office/drawing/2014/chart" uri="{C3380CC4-5D6E-409C-BE32-E72D297353CC}">
                <c16:uniqueId val="{0000000B-196B-4E6B-9279-E7EDE4536D1F}"/>
              </c:ext>
            </c:extLst>
          </c:dPt>
          <c:dPt>
            <c:idx val="6"/>
            <c:invertIfNegative val="0"/>
            <c:bubble3D val="0"/>
            <c:spPr>
              <a:solidFill>
                <a:srgbClr val="F8FED2"/>
              </a:solidFill>
              <a:ln w="9525" cap="flat" cmpd="sng" algn="ctr">
                <a:solidFill>
                  <a:srgbClr val="FFFF00"/>
                </a:solidFill>
                <a:round/>
              </a:ln>
              <a:effectLst>
                <a:outerShdw blurRad="40000" dist="20000" dir="5400000" rotWithShape="0">
                  <a:srgbClr val="000000">
                    <a:alpha val="38000"/>
                  </a:srgbClr>
                </a:outerShdw>
              </a:effectLst>
            </c:spPr>
            <c:extLst>
              <c:ext xmlns:c16="http://schemas.microsoft.com/office/drawing/2014/chart" uri="{C3380CC4-5D6E-409C-BE32-E72D297353CC}">
                <c16:uniqueId val="{0000000D-196B-4E6B-9279-E7EDE4536D1F}"/>
              </c:ext>
            </c:extLst>
          </c:dPt>
          <c:dPt>
            <c:idx val="7"/>
            <c:invertIfNegative val="0"/>
            <c:bubble3D val="0"/>
            <c:spPr>
              <a:solidFill>
                <a:srgbClr val="F8FED2"/>
              </a:solidFill>
              <a:ln w="9525" cap="flat" cmpd="sng" algn="ctr">
                <a:solidFill>
                  <a:srgbClr val="FFFF00"/>
                </a:solidFill>
                <a:round/>
              </a:ln>
              <a:effectLst>
                <a:outerShdw blurRad="40000" dist="20000" dir="5400000" rotWithShape="0">
                  <a:srgbClr val="000000">
                    <a:alpha val="38000"/>
                  </a:srgbClr>
                </a:outerShdw>
              </a:effectLst>
            </c:spPr>
            <c:extLst>
              <c:ext xmlns:c16="http://schemas.microsoft.com/office/drawing/2014/chart" uri="{C3380CC4-5D6E-409C-BE32-E72D297353CC}">
                <c16:uniqueId val="{0000000F-196B-4E6B-9279-E7EDE4536D1F}"/>
              </c:ext>
            </c:extLst>
          </c:dPt>
          <c:dPt>
            <c:idx val="8"/>
            <c:invertIfNegative val="0"/>
            <c:bubble3D val="0"/>
            <c:spPr>
              <a:solidFill>
                <a:srgbClr val="F8FED2"/>
              </a:solidFill>
              <a:ln w="9525" cap="flat" cmpd="sng" algn="ctr">
                <a:solidFill>
                  <a:srgbClr val="FFFF00"/>
                </a:solidFill>
                <a:round/>
              </a:ln>
              <a:effectLst>
                <a:outerShdw blurRad="40000" dist="20000" dir="5400000" rotWithShape="0">
                  <a:srgbClr val="000000">
                    <a:alpha val="38000"/>
                  </a:srgbClr>
                </a:outerShdw>
              </a:effectLst>
            </c:spPr>
            <c:extLst>
              <c:ext xmlns:c16="http://schemas.microsoft.com/office/drawing/2014/chart" uri="{C3380CC4-5D6E-409C-BE32-E72D297353CC}">
                <c16:uniqueId val="{00000011-196B-4E6B-9279-E7EDE4536D1F}"/>
              </c:ext>
            </c:extLst>
          </c:dPt>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'グラフ(疾患名)'!$T$5:$T$16</c:f>
              <c:strCache>
                <c:ptCount val="12"/>
                <c:pt idx="0">
                  <c:v>F0</c:v>
                </c:pt>
                <c:pt idx="1">
                  <c:v>F1</c:v>
                </c:pt>
                <c:pt idx="2">
                  <c:v>F2</c:v>
                </c:pt>
                <c:pt idx="3">
                  <c:v>F3</c:v>
                </c:pt>
                <c:pt idx="4">
                  <c:v>F4</c:v>
                </c:pt>
                <c:pt idx="5">
                  <c:v>F5</c:v>
                </c:pt>
                <c:pt idx="6">
                  <c:v>F6</c:v>
                </c:pt>
                <c:pt idx="7">
                  <c:v>F7</c:v>
                </c:pt>
                <c:pt idx="8">
                  <c:v>F8</c:v>
                </c:pt>
                <c:pt idx="9">
                  <c:v>F9</c:v>
                </c:pt>
                <c:pt idx="10">
                  <c:v>てんかん</c:v>
                </c:pt>
                <c:pt idx="11">
                  <c:v>その他</c:v>
                </c:pt>
              </c:strCache>
            </c:strRef>
          </c:cat>
          <c:val>
            <c:numRef>
              <c:f>'グラフ(疾患名)'!$O$46:$O$57</c:f>
              <c:numCache>
                <c:formatCode>#,###"人"</c:formatCode>
                <c:ptCount val="12"/>
                <c:pt idx="0">
                  <c:v>3929</c:v>
                </c:pt>
                <c:pt idx="1">
                  <c:v>418</c:v>
                </c:pt>
                <c:pt idx="2">
                  <c:v>3713</c:v>
                </c:pt>
                <c:pt idx="3">
                  <c:v>955</c:v>
                </c:pt>
                <c:pt idx="4">
                  <c:v>121</c:v>
                </c:pt>
                <c:pt idx="5">
                  <c:v>6</c:v>
                </c:pt>
                <c:pt idx="6">
                  <c:v>11</c:v>
                </c:pt>
                <c:pt idx="7">
                  <c:v>66</c:v>
                </c:pt>
                <c:pt idx="8">
                  <c:v>4</c:v>
                </c:pt>
                <c:pt idx="9">
                  <c:v>9</c:v>
                </c:pt>
                <c:pt idx="10">
                  <c:v>16</c:v>
                </c:pt>
                <c:pt idx="11">
                  <c:v>77</c:v>
                </c:pt>
              </c:numCache>
            </c:numRef>
          </c:val>
          <c:extLst>
            <c:ext xmlns:c16="http://schemas.microsoft.com/office/drawing/2014/chart" uri="{C3380CC4-5D6E-409C-BE32-E72D297353CC}">
              <c16:uniqueId val="{00000012-196B-4E6B-9279-E7EDE4536D1F}"/>
            </c:ext>
          </c:extLst>
        </c:ser>
        <c:dLbls>
          <c:showLegendKey val="0"/>
          <c:showVal val="0"/>
          <c:showCatName val="0"/>
          <c:showSerName val="0"/>
          <c:showPercent val="0"/>
          <c:showBubbleSize val="0"/>
        </c:dLbls>
        <c:gapWidth val="100"/>
        <c:axId val="635408048"/>
        <c:axId val="635413872"/>
      </c:barChart>
      <c:valAx>
        <c:axId val="635413872"/>
        <c:scaling>
          <c:orientation val="minMax"/>
        </c:scaling>
        <c:delete val="0"/>
        <c:axPos val="t"/>
        <c:majorGridlines>
          <c:spPr>
            <a:ln w="9525" cap="flat" cmpd="sng" algn="ctr">
              <a:solidFill>
                <a:schemeClr val="tx1">
                  <a:lumMod val="15000"/>
                  <a:lumOff val="85000"/>
                </a:schemeClr>
              </a:solidFill>
              <a:round/>
            </a:ln>
            <a:effectLst/>
          </c:spPr>
        </c:majorGridlines>
        <c:numFmt formatCode="#,###&quot;人&quot;"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ja-JP"/>
          </a:p>
        </c:txPr>
        <c:crossAx val="635408048"/>
        <c:crosses val="autoZero"/>
        <c:crossBetween val="between"/>
      </c:valAx>
      <c:catAx>
        <c:axId val="635408048"/>
        <c:scaling>
          <c:orientation val="maxMin"/>
        </c:scaling>
        <c:delete val="0"/>
        <c:axPos val="l"/>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ja-JP"/>
          </a:p>
        </c:txPr>
        <c:crossAx val="635413872"/>
        <c:crosses val="autoZero"/>
        <c:auto val="1"/>
        <c:lblAlgn val="ctr"/>
        <c:lblOffset val="100"/>
        <c:noMultiLvlLbl val="0"/>
      </c:cat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orientation="portrait"/>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cap="none" spc="20" baseline="0">
                <a:solidFill>
                  <a:schemeClr val="tx1">
                    <a:lumMod val="50000"/>
                    <a:lumOff val="50000"/>
                  </a:schemeClr>
                </a:solidFill>
                <a:latin typeface="メイリオ" panose="020B0604030504040204" pitchFamily="50" charset="-128"/>
                <a:ea typeface="メイリオ" panose="020B0604030504040204" pitchFamily="50" charset="-128"/>
                <a:cs typeface="+mn-cs"/>
              </a:defRPr>
            </a:pPr>
            <a:r>
              <a:rPr lang="en-US" altLang="ja-JP" sz="1200" b="1">
                <a:latin typeface="メイリオ" panose="020B0604030504040204" pitchFamily="50" charset="-128"/>
                <a:ea typeface="メイリオ" panose="020B0604030504040204" pitchFamily="50" charset="-128"/>
              </a:rPr>
              <a:t>65</a:t>
            </a:r>
            <a:r>
              <a:rPr lang="ja-JP" altLang="en-US" sz="1200" b="1">
                <a:latin typeface="メイリオ" panose="020B0604030504040204" pitchFamily="50" charset="-128"/>
                <a:ea typeface="メイリオ" panose="020B0604030504040204" pitchFamily="50" charset="-128"/>
              </a:rPr>
              <a:t>歳以上＿寛解・院内寛解群</a:t>
            </a:r>
            <a:endParaRPr lang="ja-JP" sz="1200" b="1">
              <a:latin typeface="メイリオ" panose="020B0604030504040204" pitchFamily="50" charset="-128"/>
              <a:ea typeface="メイリオ" panose="020B0604030504040204" pitchFamily="50" charset="-128"/>
            </a:endParaRPr>
          </a:p>
        </c:rich>
      </c:tx>
      <c:layout>
        <c:manualLayout>
          <c:xMode val="edge"/>
          <c:yMode val="edge"/>
          <c:x val="0.159632072694495"/>
          <c:y val="8.4938356155221835E-3"/>
        </c:manualLayout>
      </c:layout>
      <c:overlay val="0"/>
      <c:spPr>
        <a:noFill/>
        <a:ln>
          <a:noFill/>
        </a:ln>
        <a:effectLst/>
      </c:spPr>
      <c:txPr>
        <a:bodyPr rot="0" spcFirstLastPara="1" vertOverflow="ellipsis" vert="horz" wrap="square" anchor="ctr" anchorCtr="1"/>
        <a:lstStyle/>
        <a:p>
          <a:pPr>
            <a:defRPr sz="1200" b="1" i="0" u="none" strike="noStrike" kern="1200" cap="none" spc="20" baseline="0">
              <a:solidFill>
                <a:schemeClr val="tx1">
                  <a:lumMod val="50000"/>
                  <a:lumOff val="50000"/>
                </a:schemeClr>
              </a:solidFill>
              <a:latin typeface="メイリオ" panose="020B0604030504040204" pitchFamily="50" charset="-128"/>
              <a:ea typeface="メイリオ" panose="020B0604030504040204" pitchFamily="50" charset="-128"/>
              <a:cs typeface="+mn-cs"/>
            </a:defRPr>
          </a:pPr>
          <a:endParaRPr lang="ja-JP"/>
        </a:p>
      </c:txPr>
    </c:title>
    <c:autoTitleDeleted val="0"/>
    <c:plotArea>
      <c:layout/>
      <c:barChart>
        <c:barDir val="bar"/>
        <c:grouping val="clustered"/>
        <c:varyColors val="0"/>
        <c:ser>
          <c:idx val="2"/>
          <c:order val="0"/>
          <c:spPr>
            <a:solidFill>
              <a:srgbClr val="F8FED2"/>
            </a:solidFill>
            <a:ln w="9525" cap="flat" cmpd="sng" algn="ctr">
              <a:solidFill>
                <a:srgbClr val="FFFF00"/>
              </a:solidFill>
              <a:round/>
            </a:ln>
            <a:effectLst>
              <a:outerShdw blurRad="40000" dist="20000" dir="5400000" rotWithShape="0">
                <a:srgbClr val="000000">
                  <a:alpha val="38000"/>
                </a:srgbClr>
              </a:outerShdw>
            </a:effectLst>
          </c:spPr>
          <c:invertIfNegative val="0"/>
          <c:dPt>
            <c:idx val="0"/>
            <c:invertIfNegative val="0"/>
            <c:bubble3D val="0"/>
            <c:spPr>
              <a:solidFill>
                <a:srgbClr val="F8FED2"/>
              </a:solidFill>
              <a:ln w="9525" cap="flat" cmpd="sng" algn="ctr">
                <a:solidFill>
                  <a:srgbClr val="FFFF00"/>
                </a:solidFill>
                <a:round/>
              </a:ln>
              <a:effectLst>
                <a:outerShdw blurRad="40000" dist="20000" dir="5400000" rotWithShape="0">
                  <a:srgbClr val="000000">
                    <a:alpha val="38000"/>
                  </a:srgbClr>
                </a:outerShdw>
              </a:effectLst>
            </c:spPr>
            <c:extLst>
              <c:ext xmlns:c16="http://schemas.microsoft.com/office/drawing/2014/chart" uri="{C3380CC4-5D6E-409C-BE32-E72D297353CC}">
                <c16:uniqueId val="{00000001-F055-4CA5-BF89-8FDF1AA0C46E}"/>
              </c:ext>
            </c:extLst>
          </c:dPt>
          <c:dPt>
            <c:idx val="1"/>
            <c:invertIfNegative val="0"/>
            <c:bubble3D val="0"/>
            <c:spPr>
              <a:solidFill>
                <a:srgbClr val="F8FED2"/>
              </a:solidFill>
              <a:ln w="9525" cap="flat" cmpd="sng" algn="ctr">
                <a:solidFill>
                  <a:srgbClr val="FFFF00"/>
                </a:solidFill>
                <a:round/>
              </a:ln>
              <a:effectLst>
                <a:outerShdw blurRad="40000" dist="20000" dir="5400000" rotWithShape="0">
                  <a:srgbClr val="000000">
                    <a:alpha val="38000"/>
                  </a:srgbClr>
                </a:outerShdw>
              </a:effectLst>
            </c:spPr>
            <c:extLst>
              <c:ext xmlns:c16="http://schemas.microsoft.com/office/drawing/2014/chart" uri="{C3380CC4-5D6E-409C-BE32-E72D297353CC}">
                <c16:uniqueId val="{00000003-F055-4CA5-BF89-8FDF1AA0C46E}"/>
              </c:ext>
            </c:extLst>
          </c:dPt>
          <c:dPt>
            <c:idx val="2"/>
            <c:invertIfNegative val="0"/>
            <c:bubble3D val="0"/>
            <c:spPr>
              <a:solidFill>
                <a:srgbClr val="F8FED2"/>
              </a:solidFill>
              <a:ln w="9525" cap="flat" cmpd="sng" algn="ctr">
                <a:solidFill>
                  <a:srgbClr val="FFFF00"/>
                </a:solidFill>
                <a:round/>
              </a:ln>
              <a:effectLst>
                <a:outerShdw blurRad="40000" dist="20000" dir="5400000" rotWithShape="0">
                  <a:srgbClr val="000000">
                    <a:alpha val="38000"/>
                  </a:srgbClr>
                </a:outerShdw>
              </a:effectLst>
            </c:spPr>
            <c:extLst>
              <c:ext xmlns:c16="http://schemas.microsoft.com/office/drawing/2014/chart" uri="{C3380CC4-5D6E-409C-BE32-E72D297353CC}">
                <c16:uniqueId val="{00000005-F055-4CA5-BF89-8FDF1AA0C46E}"/>
              </c:ext>
            </c:extLst>
          </c:dPt>
          <c:dPt>
            <c:idx val="3"/>
            <c:invertIfNegative val="0"/>
            <c:bubble3D val="0"/>
            <c:spPr>
              <a:solidFill>
                <a:srgbClr val="F8FED2"/>
              </a:solidFill>
              <a:ln w="9525" cap="flat" cmpd="sng" algn="ctr">
                <a:solidFill>
                  <a:srgbClr val="FFFF00"/>
                </a:solidFill>
                <a:round/>
              </a:ln>
              <a:effectLst>
                <a:outerShdw blurRad="40000" dist="20000" dir="5400000" rotWithShape="0">
                  <a:srgbClr val="000000">
                    <a:alpha val="38000"/>
                  </a:srgbClr>
                </a:outerShdw>
              </a:effectLst>
            </c:spPr>
            <c:extLst>
              <c:ext xmlns:c16="http://schemas.microsoft.com/office/drawing/2014/chart" uri="{C3380CC4-5D6E-409C-BE32-E72D297353CC}">
                <c16:uniqueId val="{00000007-F055-4CA5-BF89-8FDF1AA0C46E}"/>
              </c:ext>
            </c:extLst>
          </c:dPt>
          <c:dPt>
            <c:idx val="4"/>
            <c:invertIfNegative val="0"/>
            <c:bubble3D val="0"/>
            <c:spPr>
              <a:solidFill>
                <a:srgbClr val="F8FED2"/>
              </a:solidFill>
              <a:ln w="9525" cap="flat" cmpd="sng" algn="ctr">
                <a:solidFill>
                  <a:srgbClr val="FFFF00"/>
                </a:solidFill>
                <a:round/>
              </a:ln>
              <a:effectLst>
                <a:outerShdw blurRad="40000" dist="20000" dir="5400000" rotWithShape="0">
                  <a:srgbClr val="000000">
                    <a:alpha val="38000"/>
                  </a:srgbClr>
                </a:outerShdw>
              </a:effectLst>
            </c:spPr>
            <c:extLst>
              <c:ext xmlns:c16="http://schemas.microsoft.com/office/drawing/2014/chart" uri="{C3380CC4-5D6E-409C-BE32-E72D297353CC}">
                <c16:uniqueId val="{00000009-F055-4CA5-BF89-8FDF1AA0C46E}"/>
              </c:ext>
            </c:extLst>
          </c:dPt>
          <c:dPt>
            <c:idx val="5"/>
            <c:invertIfNegative val="0"/>
            <c:bubble3D val="0"/>
            <c:spPr>
              <a:solidFill>
                <a:srgbClr val="F8FED2"/>
              </a:solidFill>
              <a:ln w="9525" cap="flat" cmpd="sng" algn="ctr">
                <a:solidFill>
                  <a:srgbClr val="FFFF00"/>
                </a:solidFill>
                <a:round/>
              </a:ln>
              <a:effectLst>
                <a:outerShdw blurRad="40000" dist="20000" dir="5400000" rotWithShape="0">
                  <a:srgbClr val="000000">
                    <a:alpha val="38000"/>
                  </a:srgbClr>
                </a:outerShdw>
              </a:effectLst>
            </c:spPr>
            <c:extLst>
              <c:ext xmlns:c16="http://schemas.microsoft.com/office/drawing/2014/chart" uri="{C3380CC4-5D6E-409C-BE32-E72D297353CC}">
                <c16:uniqueId val="{0000000B-F055-4CA5-BF89-8FDF1AA0C46E}"/>
              </c:ext>
            </c:extLst>
          </c:dPt>
          <c:dPt>
            <c:idx val="6"/>
            <c:invertIfNegative val="0"/>
            <c:bubble3D val="0"/>
            <c:spPr>
              <a:solidFill>
                <a:srgbClr val="F8FED2"/>
              </a:solidFill>
              <a:ln w="9525" cap="flat" cmpd="sng" algn="ctr">
                <a:solidFill>
                  <a:srgbClr val="FFFF00"/>
                </a:solidFill>
                <a:round/>
              </a:ln>
              <a:effectLst>
                <a:outerShdw blurRad="40000" dist="20000" dir="5400000" rotWithShape="0">
                  <a:srgbClr val="000000">
                    <a:alpha val="38000"/>
                  </a:srgbClr>
                </a:outerShdw>
              </a:effectLst>
            </c:spPr>
            <c:extLst>
              <c:ext xmlns:c16="http://schemas.microsoft.com/office/drawing/2014/chart" uri="{C3380CC4-5D6E-409C-BE32-E72D297353CC}">
                <c16:uniqueId val="{0000000D-F055-4CA5-BF89-8FDF1AA0C46E}"/>
              </c:ext>
            </c:extLst>
          </c:dPt>
          <c:dPt>
            <c:idx val="7"/>
            <c:invertIfNegative val="0"/>
            <c:bubble3D val="0"/>
            <c:spPr>
              <a:solidFill>
                <a:srgbClr val="F8FED2"/>
              </a:solidFill>
              <a:ln w="9525" cap="flat" cmpd="sng" algn="ctr">
                <a:solidFill>
                  <a:srgbClr val="FFFF00"/>
                </a:solidFill>
                <a:round/>
              </a:ln>
              <a:effectLst>
                <a:outerShdw blurRad="40000" dist="20000" dir="5400000" rotWithShape="0">
                  <a:srgbClr val="000000">
                    <a:alpha val="38000"/>
                  </a:srgbClr>
                </a:outerShdw>
              </a:effectLst>
            </c:spPr>
            <c:extLst>
              <c:ext xmlns:c16="http://schemas.microsoft.com/office/drawing/2014/chart" uri="{C3380CC4-5D6E-409C-BE32-E72D297353CC}">
                <c16:uniqueId val="{0000000F-F055-4CA5-BF89-8FDF1AA0C46E}"/>
              </c:ext>
            </c:extLst>
          </c:dPt>
          <c:dPt>
            <c:idx val="8"/>
            <c:invertIfNegative val="0"/>
            <c:bubble3D val="0"/>
            <c:spPr>
              <a:solidFill>
                <a:srgbClr val="F8FED2"/>
              </a:solidFill>
              <a:ln w="9525" cap="flat" cmpd="sng" algn="ctr">
                <a:solidFill>
                  <a:srgbClr val="FFFF00"/>
                </a:solidFill>
                <a:round/>
              </a:ln>
              <a:effectLst>
                <a:outerShdw blurRad="40000" dist="20000" dir="5400000" rotWithShape="0">
                  <a:srgbClr val="000000">
                    <a:alpha val="38000"/>
                  </a:srgbClr>
                </a:outerShdw>
              </a:effectLst>
            </c:spPr>
            <c:extLst>
              <c:ext xmlns:c16="http://schemas.microsoft.com/office/drawing/2014/chart" uri="{C3380CC4-5D6E-409C-BE32-E72D297353CC}">
                <c16:uniqueId val="{00000011-F055-4CA5-BF89-8FDF1AA0C46E}"/>
              </c:ext>
            </c:extLst>
          </c:dPt>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'グラフ(疾患名)'!$T$5:$T$16</c:f>
              <c:strCache>
                <c:ptCount val="12"/>
                <c:pt idx="0">
                  <c:v>F0</c:v>
                </c:pt>
                <c:pt idx="1">
                  <c:v>F1</c:v>
                </c:pt>
                <c:pt idx="2">
                  <c:v>F2</c:v>
                </c:pt>
                <c:pt idx="3">
                  <c:v>F3</c:v>
                </c:pt>
                <c:pt idx="4">
                  <c:v>F4</c:v>
                </c:pt>
                <c:pt idx="5">
                  <c:v>F5</c:v>
                </c:pt>
                <c:pt idx="6">
                  <c:v>F6</c:v>
                </c:pt>
                <c:pt idx="7">
                  <c:v>F7</c:v>
                </c:pt>
                <c:pt idx="8">
                  <c:v>F8</c:v>
                </c:pt>
                <c:pt idx="9">
                  <c:v>F9</c:v>
                </c:pt>
                <c:pt idx="10">
                  <c:v>てんかん</c:v>
                </c:pt>
                <c:pt idx="11">
                  <c:v>その他</c:v>
                </c:pt>
              </c:strCache>
            </c:strRef>
          </c:cat>
          <c:val>
            <c:numRef>
              <c:f>'グラフ(疾患名)'!$P$46:$P$57</c:f>
              <c:numCache>
                <c:formatCode>#,###"人"</c:formatCode>
                <c:ptCount val="12"/>
                <c:pt idx="0">
                  <c:v>214</c:v>
                </c:pt>
                <c:pt idx="1">
                  <c:v>66</c:v>
                </c:pt>
                <c:pt idx="2">
                  <c:v>262</c:v>
                </c:pt>
                <c:pt idx="3">
                  <c:v>181</c:v>
                </c:pt>
                <c:pt idx="4">
                  <c:v>21</c:v>
                </c:pt>
                <c:pt idx="5">
                  <c:v>1</c:v>
                </c:pt>
                <c:pt idx="6">
                  <c:v>1</c:v>
                </c:pt>
                <c:pt idx="7">
                  <c:v>5</c:v>
                </c:pt>
                <c:pt idx="8">
                  <c:v>0</c:v>
                </c:pt>
                <c:pt idx="9">
                  <c:v>0</c:v>
                </c:pt>
                <c:pt idx="10">
                  <c:v>1</c:v>
                </c:pt>
                <c:pt idx="11">
                  <c:v>8</c:v>
                </c:pt>
              </c:numCache>
            </c:numRef>
          </c:val>
          <c:extLst>
            <c:ext xmlns:c16="http://schemas.microsoft.com/office/drawing/2014/chart" uri="{C3380CC4-5D6E-409C-BE32-E72D297353CC}">
              <c16:uniqueId val="{00000012-F055-4CA5-BF89-8FDF1AA0C46E}"/>
            </c:ext>
          </c:extLst>
        </c:ser>
        <c:dLbls>
          <c:showLegendKey val="0"/>
          <c:showVal val="0"/>
          <c:showCatName val="0"/>
          <c:showSerName val="0"/>
          <c:showPercent val="0"/>
          <c:showBubbleSize val="0"/>
        </c:dLbls>
        <c:gapWidth val="100"/>
        <c:axId val="292094896"/>
        <c:axId val="292097808"/>
      </c:barChart>
      <c:valAx>
        <c:axId val="292097808"/>
        <c:scaling>
          <c:orientation val="minMax"/>
        </c:scaling>
        <c:delete val="0"/>
        <c:axPos val="t"/>
        <c:majorGridlines>
          <c:spPr>
            <a:ln w="9525" cap="flat" cmpd="sng" algn="ctr">
              <a:solidFill>
                <a:schemeClr val="tx1">
                  <a:lumMod val="15000"/>
                  <a:lumOff val="85000"/>
                </a:schemeClr>
              </a:solidFill>
              <a:round/>
            </a:ln>
            <a:effectLst/>
          </c:spPr>
        </c:majorGridlines>
        <c:numFmt formatCode="#,###&quot;人&quot;"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ja-JP"/>
          </a:p>
        </c:txPr>
        <c:crossAx val="292094896"/>
        <c:crosses val="autoZero"/>
        <c:crossBetween val="between"/>
      </c:valAx>
      <c:catAx>
        <c:axId val="292094896"/>
        <c:scaling>
          <c:orientation val="maxMin"/>
        </c:scaling>
        <c:delete val="0"/>
        <c:axPos val="l"/>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ja-JP"/>
          </a:p>
        </c:txPr>
        <c:crossAx val="292097808"/>
        <c:crosses val="autoZero"/>
        <c:auto val="1"/>
        <c:lblAlgn val="ctr"/>
        <c:lblOffset val="100"/>
        <c:noMultiLvlLbl val="0"/>
      </c:cat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cap="none" spc="20" baseline="0">
                <a:solidFill>
                  <a:schemeClr val="tx1">
                    <a:lumMod val="50000"/>
                    <a:lumOff val="50000"/>
                  </a:schemeClr>
                </a:solidFill>
                <a:latin typeface="メイリオ" panose="020B0604030504040204" pitchFamily="50" charset="-128"/>
                <a:ea typeface="メイリオ" panose="020B0604030504040204" pitchFamily="50" charset="-128"/>
                <a:cs typeface="+mn-cs"/>
              </a:defRPr>
            </a:pPr>
            <a:r>
              <a:rPr lang="en-US" altLang="ja-JP" sz="1200" b="1">
                <a:latin typeface="メイリオ" panose="020B0604030504040204" pitchFamily="50" charset="-128"/>
                <a:ea typeface="メイリオ" panose="020B0604030504040204" pitchFamily="50" charset="-128"/>
              </a:rPr>
              <a:t>1</a:t>
            </a:r>
            <a:r>
              <a:rPr lang="ja-JP" altLang="en-US" sz="1200" b="1">
                <a:latin typeface="メイリオ" panose="020B0604030504040204" pitchFamily="50" charset="-128"/>
                <a:ea typeface="メイリオ" panose="020B0604030504040204" pitchFamily="50" charset="-128"/>
              </a:rPr>
              <a:t>年以上＿寛解・院内寛解群</a:t>
            </a:r>
            <a:endParaRPr lang="ja-JP" sz="1200" b="1">
              <a:latin typeface="メイリオ" panose="020B0604030504040204" pitchFamily="50" charset="-128"/>
              <a:ea typeface="メイリオ" panose="020B0604030504040204" pitchFamily="50" charset="-128"/>
            </a:endParaRPr>
          </a:p>
        </c:rich>
      </c:tx>
      <c:layout>
        <c:manualLayout>
          <c:xMode val="edge"/>
          <c:yMode val="edge"/>
          <c:x val="0.22917408818129503"/>
          <c:y val="1.2740753423283275E-2"/>
        </c:manualLayout>
      </c:layout>
      <c:overlay val="0"/>
      <c:spPr>
        <a:noFill/>
        <a:ln>
          <a:noFill/>
        </a:ln>
        <a:effectLst/>
      </c:spPr>
      <c:txPr>
        <a:bodyPr rot="0" spcFirstLastPara="1" vertOverflow="ellipsis" vert="horz" wrap="square" anchor="ctr" anchorCtr="1"/>
        <a:lstStyle/>
        <a:p>
          <a:pPr>
            <a:defRPr sz="1200" b="1" i="0" u="none" strike="noStrike" kern="1200" cap="none" spc="20" baseline="0">
              <a:solidFill>
                <a:schemeClr val="tx1">
                  <a:lumMod val="50000"/>
                  <a:lumOff val="50000"/>
                </a:schemeClr>
              </a:solidFill>
              <a:latin typeface="メイリオ" panose="020B0604030504040204" pitchFamily="50" charset="-128"/>
              <a:ea typeface="メイリオ" panose="020B0604030504040204" pitchFamily="50" charset="-128"/>
              <a:cs typeface="+mn-cs"/>
            </a:defRPr>
          </a:pPr>
          <a:endParaRPr lang="ja-JP"/>
        </a:p>
      </c:txPr>
    </c:title>
    <c:autoTitleDeleted val="0"/>
    <c:plotArea>
      <c:layout/>
      <c:barChart>
        <c:barDir val="bar"/>
        <c:grouping val="clustered"/>
        <c:varyColors val="0"/>
        <c:ser>
          <c:idx val="0"/>
          <c:order val="0"/>
          <c:tx>
            <c:strRef>
              <c:f>'グラフ(疾患名)'!$R$23</c:f>
              <c:strCache>
                <c:ptCount val="1"/>
                <c:pt idx="0">
                  <c:v>計</c:v>
                </c:pt>
              </c:strCache>
            </c:strRef>
          </c:tx>
          <c:spPr>
            <a:gradFill rotWithShape="1">
              <a:gsLst>
                <a:gs pos="0">
                  <a:schemeClr val="accent1">
                    <a:tint val="50000"/>
                    <a:satMod val="300000"/>
                  </a:schemeClr>
                </a:gs>
                <a:gs pos="35000">
                  <a:schemeClr val="accent1">
                    <a:tint val="37000"/>
                    <a:satMod val="300000"/>
                  </a:schemeClr>
                </a:gs>
                <a:gs pos="100000">
                  <a:schemeClr val="accent1">
                    <a:tint val="15000"/>
                    <a:satMod val="350000"/>
                  </a:schemeClr>
                </a:gs>
              </a:gsLst>
              <a:lin ang="16200000" scaled="1"/>
            </a:gradFill>
            <a:ln w="9525" cap="flat" cmpd="sng" algn="ctr">
              <a:solidFill>
                <a:schemeClr val="accent1">
                  <a:shade val="95000"/>
                </a:schemeClr>
              </a:solidFill>
              <a:round/>
            </a:ln>
            <a:effectLst>
              <a:outerShdw blurRad="40000" dist="20000" dir="5400000" rotWithShape="0">
                <a:srgbClr val="000000">
                  <a:alpha val="38000"/>
                </a:srgbClr>
              </a:outerShdw>
            </a:effectLst>
          </c:spPr>
          <c:invertIfNegative val="0"/>
          <c:dPt>
            <c:idx val="0"/>
            <c:invertIfNegative val="0"/>
            <c:bubble3D val="0"/>
            <c:spPr>
              <a:gradFill rotWithShape="1">
                <a:gsLst>
                  <a:gs pos="0">
                    <a:schemeClr val="accent1">
                      <a:tint val="50000"/>
                      <a:satMod val="300000"/>
                    </a:schemeClr>
                  </a:gs>
                  <a:gs pos="35000">
                    <a:schemeClr val="accent1">
                      <a:tint val="37000"/>
                      <a:satMod val="300000"/>
                    </a:schemeClr>
                  </a:gs>
                  <a:gs pos="100000">
                    <a:schemeClr val="accent1">
                      <a:tint val="15000"/>
                      <a:satMod val="350000"/>
                    </a:schemeClr>
                  </a:gs>
                </a:gsLst>
                <a:lin ang="16200000" scaled="1"/>
              </a:gradFill>
              <a:ln w="9525" cap="flat" cmpd="sng" algn="ctr">
                <a:solidFill>
                  <a:schemeClr val="accent1">
                    <a:shade val="95000"/>
                  </a:schemeClr>
                </a:solidFill>
                <a:round/>
              </a:ln>
              <a:effectLst>
                <a:outerShdw blurRad="40000" dist="20000" dir="5400000" rotWithShape="0">
                  <a:srgbClr val="000000">
                    <a:alpha val="38000"/>
                  </a:srgbClr>
                </a:outerShdw>
              </a:effectLst>
            </c:spPr>
            <c:extLst>
              <c:ext xmlns:c16="http://schemas.microsoft.com/office/drawing/2014/chart" uri="{C3380CC4-5D6E-409C-BE32-E72D297353CC}">
                <c16:uniqueId val="{00000001-35F0-45D8-9675-A466BE431B89}"/>
              </c:ext>
            </c:extLst>
          </c:dPt>
          <c:dPt>
            <c:idx val="1"/>
            <c:invertIfNegative val="0"/>
            <c:bubble3D val="0"/>
            <c:spPr>
              <a:gradFill rotWithShape="1">
                <a:gsLst>
                  <a:gs pos="0">
                    <a:schemeClr val="accent1">
                      <a:tint val="50000"/>
                      <a:satMod val="300000"/>
                    </a:schemeClr>
                  </a:gs>
                  <a:gs pos="35000">
                    <a:schemeClr val="accent1">
                      <a:tint val="37000"/>
                      <a:satMod val="300000"/>
                    </a:schemeClr>
                  </a:gs>
                  <a:gs pos="100000">
                    <a:schemeClr val="accent1">
                      <a:tint val="15000"/>
                      <a:satMod val="350000"/>
                    </a:schemeClr>
                  </a:gs>
                </a:gsLst>
                <a:lin ang="16200000" scaled="1"/>
              </a:gradFill>
              <a:ln w="9525" cap="flat" cmpd="sng" algn="ctr">
                <a:solidFill>
                  <a:schemeClr val="accent1">
                    <a:shade val="95000"/>
                  </a:schemeClr>
                </a:solidFill>
                <a:round/>
              </a:ln>
              <a:effectLst>
                <a:outerShdw blurRad="40000" dist="20000" dir="5400000" rotWithShape="0">
                  <a:srgbClr val="000000">
                    <a:alpha val="38000"/>
                  </a:srgbClr>
                </a:outerShdw>
              </a:effectLst>
            </c:spPr>
            <c:extLst>
              <c:ext xmlns:c16="http://schemas.microsoft.com/office/drawing/2014/chart" uri="{C3380CC4-5D6E-409C-BE32-E72D297353CC}">
                <c16:uniqueId val="{00000003-35F0-45D8-9675-A466BE431B89}"/>
              </c:ext>
            </c:extLst>
          </c:dPt>
          <c:dPt>
            <c:idx val="2"/>
            <c:invertIfNegative val="0"/>
            <c:bubble3D val="0"/>
            <c:spPr>
              <a:gradFill rotWithShape="1">
                <a:gsLst>
                  <a:gs pos="0">
                    <a:schemeClr val="accent1">
                      <a:tint val="50000"/>
                      <a:satMod val="300000"/>
                    </a:schemeClr>
                  </a:gs>
                  <a:gs pos="35000">
                    <a:schemeClr val="accent1">
                      <a:tint val="37000"/>
                      <a:satMod val="300000"/>
                    </a:schemeClr>
                  </a:gs>
                  <a:gs pos="100000">
                    <a:schemeClr val="accent1">
                      <a:tint val="15000"/>
                      <a:satMod val="350000"/>
                    </a:schemeClr>
                  </a:gs>
                </a:gsLst>
                <a:lin ang="16200000" scaled="1"/>
              </a:gradFill>
              <a:ln w="9525" cap="flat" cmpd="sng" algn="ctr">
                <a:solidFill>
                  <a:schemeClr val="accent1">
                    <a:shade val="95000"/>
                  </a:schemeClr>
                </a:solidFill>
                <a:round/>
              </a:ln>
              <a:effectLst>
                <a:outerShdw blurRad="40000" dist="20000" dir="5400000" rotWithShape="0">
                  <a:srgbClr val="000000">
                    <a:alpha val="38000"/>
                  </a:srgbClr>
                </a:outerShdw>
              </a:effectLst>
            </c:spPr>
            <c:extLst>
              <c:ext xmlns:c16="http://schemas.microsoft.com/office/drawing/2014/chart" uri="{C3380CC4-5D6E-409C-BE32-E72D297353CC}">
                <c16:uniqueId val="{00000005-35F0-45D8-9675-A466BE431B89}"/>
              </c:ext>
            </c:extLst>
          </c:dPt>
          <c:dPt>
            <c:idx val="3"/>
            <c:invertIfNegative val="0"/>
            <c:bubble3D val="0"/>
            <c:spPr>
              <a:gradFill rotWithShape="1">
                <a:gsLst>
                  <a:gs pos="0">
                    <a:schemeClr val="accent1">
                      <a:tint val="50000"/>
                      <a:satMod val="300000"/>
                    </a:schemeClr>
                  </a:gs>
                  <a:gs pos="35000">
                    <a:schemeClr val="accent1">
                      <a:tint val="37000"/>
                      <a:satMod val="300000"/>
                    </a:schemeClr>
                  </a:gs>
                  <a:gs pos="100000">
                    <a:schemeClr val="accent1">
                      <a:tint val="15000"/>
                      <a:satMod val="350000"/>
                    </a:schemeClr>
                  </a:gs>
                </a:gsLst>
                <a:lin ang="16200000" scaled="1"/>
              </a:gradFill>
              <a:ln w="9525" cap="flat" cmpd="sng" algn="ctr">
                <a:solidFill>
                  <a:schemeClr val="accent1">
                    <a:shade val="95000"/>
                  </a:schemeClr>
                </a:solidFill>
                <a:round/>
              </a:ln>
              <a:effectLst>
                <a:outerShdw blurRad="40000" dist="20000" dir="5400000" rotWithShape="0">
                  <a:srgbClr val="000000">
                    <a:alpha val="38000"/>
                  </a:srgbClr>
                </a:outerShdw>
              </a:effectLst>
            </c:spPr>
            <c:extLst>
              <c:ext xmlns:c16="http://schemas.microsoft.com/office/drawing/2014/chart" uri="{C3380CC4-5D6E-409C-BE32-E72D297353CC}">
                <c16:uniqueId val="{00000007-35F0-45D8-9675-A466BE431B89}"/>
              </c:ext>
            </c:extLst>
          </c:dPt>
          <c:dPt>
            <c:idx val="4"/>
            <c:invertIfNegative val="0"/>
            <c:bubble3D val="0"/>
            <c:spPr>
              <a:gradFill rotWithShape="1">
                <a:gsLst>
                  <a:gs pos="0">
                    <a:schemeClr val="accent1">
                      <a:tint val="50000"/>
                      <a:satMod val="300000"/>
                    </a:schemeClr>
                  </a:gs>
                  <a:gs pos="35000">
                    <a:schemeClr val="accent1">
                      <a:tint val="37000"/>
                      <a:satMod val="300000"/>
                    </a:schemeClr>
                  </a:gs>
                  <a:gs pos="100000">
                    <a:schemeClr val="accent1">
                      <a:tint val="15000"/>
                      <a:satMod val="350000"/>
                    </a:schemeClr>
                  </a:gs>
                </a:gsLst>
                <a:lin ang="16200000" scaled="1"/>
              </a:gradFill>
              <a:ln w="9525" cap="flat" cmpd="sng" algn="ctr">
                <a:solidFill>
                  <a:schemeClr val="accent1">
                    <a:shade val="95000"/>
                  </a:schemeClr>
                </a:solidFill>
                <a:round/>
              </a:ln>
              <a:effectLst>
                <a:outerShdw blurRad="40000" dist="20000" dir="5400000" rotWithShape="0">
                  <a:srgbClr val="000000">
                    <a:alpha val="38000"/>
                  </a:srgbClr>
                </a:outerShdw>
              </a:effectLst>
            </c:spPr>
            <c:extLst>
              <c:ext xmlns:c16="http://schemas.microsoft.com/office/drawing/2014/chart" uri="{C3380CC4-5D6E-409C-BE32-E72D297353CC}">
                <c16:uniqueId val="{00000009-35F0-45D8-9675-A466BE431B89}"/>
              </c:ext>
            </c:extLst>
          </c:dPt>
          <c:dPt>
            <c:idx val="5"/>
            <c:invertIfNegative val="0"/>
            <c:bubble3D val="0"/>
            <c:spPr>
              <a:gradFill rotWithShape="1">
                <a:gsLst>
                  <a:gs pos="0">
                    <a:schemeClr val="accent1">
                      <a:tint val="50000"/>
                      <a:satMod val="300000"/>
                    </a:schemeClr>
                  </a:gs>
                  <a:gs pos="35000">
                    <a:schemeClr val="accent1">
                      <a:tint val="37000"/>
                      <a:satMod val="300000"/>
                    </a:schemeClr>
                  </a:gs>
                  <a:gs pos="100000">
                    <a:schemeClr val="accent1">
                      <a:tint val="15000"/>
                      <a:satMod val="350000"/>
                    </a:schemeClr>
                  </a:gs>
                </a:gsLst>
                <a:lin ang="16200000" scaled="1"/>
              </a:gradFill>
              <a:ln w="9525" cap="flat" cmpd="sng" algn="ctr">
                <a:solidFill>
                  <a:schemeClr val="accent1">
                    <a:shade val="95000"/>
                  </a:schemeClr>
                </a:solidFill>
                <a:round/>
              </a:ln>
              <a:effectLst>
                <a:outerShdw blurRad="40000" dist="20000" dir="5400000" rotWithShape="0">
                  <a:srgbClr val="000000">
                    <a:alpha val="38000"/>
                  </a:srgbClr>
                </a:outerShdw>
              </a:effectLst>
            </c:spPr>
            <c:extLst>
              <c:ext xmlns:c16="http://schemas.microsoft.com/office/drawing/2014/chart" uri="{C3380CC4-5D6E-409C-BE32-E72D297353CC}">
                <c16:uniqueId val="{0000000B-35F0-45D8-9675-A466BE431B89}"/>
              </c:ext>
            </c:extLst>
          </c:dPt>
          <c:dPt>
            <c:idx val="6"/>
            <c:invertIfNegative val="0"/>
            <c:bubble3D val="0"/>
            <c:spPr>
              <a:gradFill rotWithShape="1">
                <a:gsLst>
                  <a:gs pos="0">
                    <a:schemeClr val="accent1">
                      <a:tint val="50000"/>
                      <a:satMod val="300000"/>
                    </a:schemeClr>
                  </a:gs>
                  <a:gs pos="35000">
                    <a:schemeClr val="accent1">
                      <a:tint val="37000"/>
                      <a:satMod val="300000"/>
                    </a:schemeClr>
                  </a:gs>
                  <a:gs pos="100000">
                    <a:schemeClr val="accent1">
                      <a:tint val="15000"/>
                      <a:satMod val="350000"/>
                    </a:schemeClr>
                  </a:gs>
                </a:gsLst>
                <a:lin ang="16200000" scaled="1"/>
              </a:gradFill>
              <a:ln w="9525" cap="flat" cmpd="sng" algn="ctr">
                <a:solidFill>
                  <a:schemeClr val="accent1">
                    <a:shade val="95000"/>
                  </a:schemeClr>
                </a:solidFill>
                <a:round/>
              </a:ln>
              <a:effectLst>
                <a:outerShdw blurRad="40000" dist="20000" dir="5400000" rotWithShape="0">
                  <a:srgbClr val="000000">
                    <a:alpha val="38000"/>
                  </a:srgbClr>
                </a:outerShdw>
              </a:effectLst>
            </c:spPr>
            <c:extLst>
              <c:ext xmlns:c16="http://schemas.microsoft.com/office/drawing/2014/chart" uri="{C3380CC4-5D6E-409C-BE32-E72D297353CC}">
                <c16:uniqueId val="{0000000D-35F0-45D8-9675-A466BE431B89}"/>
              </c:ext>
            </c:extLst>
          </c:dPt>
          <c:dPt>
            <c:idx val="7"/>
            <c:invertIfNegative val="0"/>
            <c:bubble3D val="0"/>
            <c:spPr>
              <a:gradFill rotWithShape="1">
                <a:gsLst>
                  <a:gs pos="0">
                    <a:schemeClr val="accent1">
                      <a:tint val="50000"/>
                      <a:satMod val="300000"/>
                    </a:schemeClr>
                  </a:gs>
                  <a:gs pos="35000">
                    <a:schemeClr val="accent1">
                      <a:tint val="37000"/>
                      <a:satMod val="300000"/>
                    </a:schemeClr>
                  </a:gs>
                  <a:gs pos="100000">
                    <a:schemeClr val="accent1">
                      <a:tint val="15000"/>
                      <a:satMod val="350000"/>
                    </a:schemeClr>
                  </a:gs>
                </a:gsLst>
                <a:lin ang="16200000" scaled="1"/>
              </a:gradFill>
              <a:ln w="9525" cap="flat" cmpd="sng" algn="ctr">
                <a:solidFill>
                  <a:schemeClr val="accent1">
                    <a:shade val="95000"/>
                  </a:schemeClr>
                </a:solidFill>
                <a:round/>
              </a:ln>
              <a:effectLst>
                <a:outerShdw blurRad="40000" dist="20000" dir="5400000" rotWithShape="0">
                  <a:srgbClr val="000000">
                    <a:alpha val="38000"/>
                  </a:srgbClr>
                </a:outerShdw>
              </a:effectLst>
            </c:spPr>
            <c:extLst>
              <c:ext xmlns:c16="http://schemas.microsoft.com/office/drawing/2014/chart" uri="{C3380CC4-5D6E-409C-BE32-E72D297353CC}">
                <c16:uniqueId val="{0000000F-35F0-45D8-9675-A466BE431B89}"/>
              </c:ext>
            </c:extLst>
          </c:dPt>
          <c:dPt>
            <c:idx val="8"/>
            <c:invertIfNegative val="0"/>
            <c:bubble3D val="0"/>
            <c:spPr>
              <a:gradFill rotWithShape="1">
                <a:gsLst>
                  <a:gs pos="0">
                    <a:schemeClr val="accent1">
                      <a:tint val="50000"/>
                      <a:satMod val="300000"/>
                    </a:schemeClr>
                  </a:gs>
                  <a:gs pos="35000">
                    <a:schemeClr val="accent1">
                      <a:tint val="37000"/>
                      <a:satMod val="300000"/>
                    </a:schemeClr>
                  </a:gs>
                  <a:gs pos="100000">
                    <a:schemeClr val="accent1">
                      <a:tint val="15000"/>
                      <a:satMod val="350000"/>
                    </a:schemeClr>
                  </a:gs>
                </a:gsLst>
                <a:lin ang="16200000" scaled="1"/>
              </a:gradFill>
              <a:ln w="9525" cap="flat" cmpd="sng" algn="ctr">
                <a:solidFill>
                  <a:schemeClr val="accent1">
                    <a:shade val="95000"/>
                  </a:schemeClr>
                </a:solidFill>
                <a:round/>
              </a:ln>
              <a:effectLst>
                <a:outerShdw blurRad="40000" dist="20000" dir="5400000" rotWithShape="0">
                  <a:srgbClr val="000000">
                    <a:alpha val="38000"/>
                  </a:srgbClr>
                </a:outerShdw>
              </a:effectLst>
            </c:spPr>
            <c:extLst>
              <c:ext xmlns:c16="http://schemas.microsoft.com/office/drawing/2014/chart" uri="{C3380CC4-5D6E-409C-BE32-E72D297353CC}">
                <c16:uniqueId val="{00000011-35F0-45D8-9675-A466BE431B89}"/>
              </c:ext>
            </c:extLst>
          </c:dPt>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'グラフ(疾患名)'!$T$5:$T$16</c:f>
              <c:strCache>
                <c:ptCount val="12"/>
                <c:pt idx="0">
                  <c:v>F0</c:v>
                </c:pt>
                <c:pt idx="1">
                  <c:v>F1</c:v>
                </c:pt>
                <c:pt idx="2">
                  <c:v>F2</c:v>
                </c:pt>
                <c:pt idx="3">
                  <c:v>F3</c:v>
                </c:pt>
                <c:pt idx="4">
                  <c:v>F4</c:v>
                </c:pt>
                <c:pt idx="5">
                  <c:v>F5</c:v>
                </c:pt>
                <c:pt idx="6">
                  <c:v>F6</c:v>
                </c:pt>
                <c:pt idx="7">
                  <c:v>F7</c:v>
                </c:pt>
                <c:pt idx="8">
                  <c:v>F8</c:v>
                </c:pt>
                <c:pt idx="9">
                  <c:v>F9</c:v>
                </c:pt>
                <c:pt idx="10">
                  <c:v>てんかん</c:v>
                </c:pt>
                <c:pt idx="11">
                  <c:v>その他</c:v>
                </c:pt>
              </c:strCache>
            </c:strRef>
          </c:cat>
          <c:val>
            <c:numRef>
              <c:f>'グラフ(疾患名)'!$R$24:$R$35</c:f>
              <c:numCache>
                <c:formatCode>#,##0"人"</c:formatCode>
                <c:ptCount val="12"/>
                <c:pt idx="0">
                  <c:v>77</c:v>
                </c:pt>
                <c:pt idx="1">
                  <c:v>29</c:v>
                </c:pt>
                <c:pt idx="2">
                  <c:v>350</c:v>
                </c:pt>
                <c:pt idx="3">
                  <c:v>78</c:v>
                </c:pt>
                <c:pt idx="4">
                  <c:v>9</c:v>
                </c:pt>
                <c:pt idx="5">
                  <c:v>2</c:v>
                </c:pt>
                <c:pt idx="6">
                  <c:v>1</c:v>
                </c:pt>
                <c:pt idx="7">
                  <c:v>12</c:v>
                </c:pt>
                <c:pt idx="8">
                  <c:v>2</c:v>
                </c:pt>
                <c:pt idx="9">
                  <c:v>5</c:v>
                </c:pt>
                <c:pt idx="10">
                  <c:v>2</c:v>
                </c:pt>
                <c:pt idx="11">
                  <c:v>6</c:v>
                </c:pt>
              </c:numCache>
            </c:numRef>
          </c:val>
          <c:extLst>
            <c:ext xmlns:c16="http://schemas.microsoft.com/office/drawing/2014/chart" uri="{C3380CC4-5D6E-409C-BE32-E72D297353CC}">
              <c16:uniqueId val="{00000012-35F0-45D8-9675-A466BE431B89}"/>
            </c:ext>
          </c:extLst>
        </c:ser>
        <c:dLbls>
          <c:showLegendKey val="0"/>
          <c:showVal val="0"/>
          <c:showCatName val="0"/>
          <c:showSerName val="0"/>
          <c:showPercent val="0"/>
          <c:showBubbleSize val="0"/>
        </c:dLbls>
        <c:gapWidth val="100"/>
        <c:axId val="630611664"/>
        <c:axId val="630606256"/>
      </c:barChart>
      <c:valAx>
        <c:axId val="630606256"/>
        <c:scaling>
          <c:orientation val="minMax"/>
        </c:scaling>
        <c:delete val="0"/>
        <c:axPos val="t"/>
        <c:majorGridlines>
          <c:spPr>
            <a:ln w="9525" cap="flat" cmpd="sng" algn="ctr">
              <a:solidFill>
                <a:schemeClr val="tx1">
                  <a:lumMod val="15000"/>
                  <a:lumOff val="85000"/>
                </a:schemeClr>
              </a:solidFill>
              <a:round/>
            </a:ln>
            <a:effectLst/>
          </c:spPr>
        </c:majorGridlines>
        <c:numFmt formatCode="#,##0&quot;人&quot;"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ja-JP"/>
          </a:p>
        </c:txPr>
        <c:crossAx val="630611664"/>
        <c:crosses val="autoZero"/>
        <c:crossBetween val="between"/>
      </c:valAx>
      <c:catAx>
        <c:axId val="630611664"/>
        <c:scaling>
          <c:orientation val="maxMin"/>
        </c:scaling>
        <c:delete val="0"/>
        <c:axPos val="l"/>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ja-JP"/>
          </a:p>
        </c:txPr>
        <c:crossAx val="630606256"/>
        <c:crosses val="autoZero"/>
        <c:auto val="1"/>
        <c:lblAlgn val="ctr"/>
        <c:lblOffset val="100"/>
        <c:noMultiLvlLbl val="0"/>
      </c:cat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cap="none" spc="20" baseline="0">
                <a:solidFill>
                  <a:schemeClr val="tx1">
                    <a:lumMod val="50000"/>
                    <a:lumOff val="50000"/>
                  </a:schemeClr>
                </a:solidFill>
                <a:latin typeface="+mn-lt"/>
                <a:ea typeface="+mn-ea"/>
                <a:cs typeface="+mn-cs"/>
              </a:defRPr>
            </a:pPr>
            <a:r>
              <a:rPr lang="ja-JP" altLang="en-US" sz="1200" b="1"/>
              <a:t>在院期間＿患者全体</a:t>
            </a:r>
            <a:endParaRPr lang="ja-JP" sz="1200" b="1"/>
          </a:p>
        </c:rich>
      </c:tx>
      <c:overlay val="0"/>
      <c:spPr>
        <a:noFill/>
        <a:ln>
          <a:noFill/>
        </a:ln>
        <a:effectLst/>
      </c:spPr>
      <c:txPr>
        <a:bodyPr rot="0" spcFirstLastPara="1" vertOverflow="ellipsis" vert="horz" wrap="square" anchor="ctr" anchorCtr="1"/>
        <a:lstStyle/>
        <a:p>
          <a:pPr>
            <a:defRPr sz="1200" b="1" i="0" u="none" strike="noStrike" kern="1200" cap="none" spc="20" baseline="0">
              <a:solidFill>
                <a:schemeClr val="tx1">
                  <a:lumMod val="50000"/>
                  <a:lumOff val="50000"/>
                </a:schemeClr>
              </a:solidFill>
              <a:latin typeface="+mn-lt"/>
              <a:ea typeface="+mn-ea"/>
              <a:cs typeface="+mn-cs"/>
            </a:defRPr>
          </a:pPr>
          <a:endParaRPr lang="ja-JP"/>
        </a:p>
      </c:txPr>
    </c:title>
    <c:autoTitleDeleted val="0"/>
    <c:plotArea>
      <c:layout/>
      <c:barChart>
        <c:barDir val="bar"/>
        <c:grouping val="stacked"/>
        <c:varyColors val="0"/>
        <c:ser>
          <c:idx val="0"/>
          <c:order val="0"/>
          <c:tx>
            <c:strRef>
              <c:f>'グラフ(在院期間) '!$M$3</c:f>
              <c:strCache>
                <c:ptCount val="1"/>
                <c:pt idx="0">
                  <c:v>65歳未満</c:v>
                </c:pt>
              </c:strCache>
            </c:strRef>
          </c:tx>
          <c:spPr>
            <a:gradFill rotWithShape="1">
              <a:gsLst>
                <a:gs pos="0">
                  <a:schemeClr val="accent1">
                    <a:tint val="50000"/>
                    <a:satMod val="300000"/>
                  </a:schemeClr>
                </a:gs>
                <a:gs pos="35000">
                  <a:schemeClr val="accent1">
                    <a:tint val="37000"/>
                    <a:satMod val="300000"/>
                  </a:schemeClr>
                </a:gs>
                <a:gs pos="100000">
                  <a:schemeClr val="accent1">
                    <a:tint val="15000"/>
                    <a:satMod val="350000"/>
                  </a:schemeClr>
                </a:gs>
              </a:gsLst>
              <a:lin ang="16200000" scaled="1"/>
            </a:gradFill>
            <a:ln w="9525" cap="flat" cmpd="sng" algn="ctr">
              <a:solidFill>
                <a:schemeClr val="accent1">
                  <a:shade val="95000"/>
                </a:schemeClr>
              </a:solidFill>
              <a:round/>
            </a:ln>
            <a:effectLst>
              <a:outerShdw blurRad="40000" dist="20000" dir="5400000" rotWithShape="0">
                <a:srgbClr val="000000">
                  <a:alpha val="38000"/>
                </a:srgbClr>
              </a:outerShdw>
            </a:effectLst>
          </c:spPr>
          <c:invertIfNegative val="0"/>
          <c:dLbls>
            <c:dLbl>
              <c:idx val="0"/>
              <c:tx>
                <c:rich>
                  <a:bodyPr/>
                  <a:lstStyle/>
                  <a:p>
                    <a:fld id="{8EACBB11-D961-469D-9164-292F9F9F3EE6}" type="CELLRANGE">
                      <a:rPr lang="en-US" altLang="ja-JP"/>
                      <a:pPr/>
                      <a:t>[CELLRANGE]</a:t>
                    </a:fld>
                    <a:endParaRPr lang="ja-JP" altLang="en-US"/>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2-92B7-4A50-8C5E-7771008A3F96}"/>
                </c:ext>
              </c:extLst>
            </c:dLbl>
            <c:dLbl>
              <c:idx val="1"/>
              <c:tx>
                <c:rich>
                  <a:bodyPr/>
                  <a:lstStyle/>
                  <a:p>
                    <a:fld id="{A4306567-9D2D-47F6-9029-22123414892A}" type="CELLRANGE">
                      <a:rPr lang="ja-JP" altLang="en-US"/>
                      <a:pPr/>
                      <a:t>[CELLRANGE]</a:t>
                    </a:fld>
                    <a:endParaRPr lang="ja-JP" alt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92B7-4A50-8C5E-7771008A3F96}"/>
                </c:ext>
              </c:extLst>
            </c:dLbl>
            <c:dLbl>
              <c:idx val="2"/>
              <c:tx>
                <c:rich>
                  <a:bodyPr/>
                  <a:lstStyle/>
                  <a:p>
                    <a:fld id="{650A9942-94A3-4B30-8091-660EEB9CE206}" type="CELLRANGE">
                      <a:rPr lang="ja-JP" altLang="en-US"/>
                      <a:pPr/>
                      <a:t>[CELLRANGE]</a:t>
                    </a:fld>
                    <a:endParaRPr lang="ja-JP" alt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92B7-4A50-8C5E-7771008A3F96}"/>
                </c:ext>
              </c:extLst>
            </c:dLbl>
            <c:dLbl>
              <c:idx val="3"/>
              <c:tx>
                <c:rich>
                  <a:bodyPr/>
                  <a:lstStyle/>
                  <a:p>
                    <a:fld id="{D18C3FDA-F57B-4AFD-B850-921C48A543F2}" type="CELLRANGE">
                      <a:rPr lang="ja-JP" altLang="en-US"/>
                      <a:pPr/>
                      <a:t>[CELLRANGE]</a:t>
                    </a:fld>
                    <a:endParaRPr lang="ja-JP" alt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92B7-4A50-8C5E-7771008A3F96}"/>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ja-JP"/>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a:solidFill>
                        <a:schemeClr val="tx1">
                          <a:lumMod val="35000"/>
                          <a:lumOff val="65000"/>
                        </a:schemeClr>
                      </a:solidFill>
                    </a:ln>
                    <a:effectLst/>
                  </c:spPr>
                </c15:leaderLines>
              </c:ext>
            </c:extLst>
          </c:dLbls>
          <c:cat>
            <c:strRef>
              <c:f>'グラフ(在院期間) '!$L$4:$L$7</c:f>
              <c:strCache>
                <c:ptCount val="4"/>
                <c:pt idx="0">
                  <c:v>1年未満</c:v>
                </c:pt>
                <c:pt idx="1">
                  <c:v>1年以上5年未満</c:v>
                </c:pt>
                <c:pt idx="2">
                  <c:v>5年以上10年未満</c:v>
                </c:pt>
                <c:pt idx="3">
                  <c:v>10年以上</c:v>
                </c:pt>
              </c:strCache>
            </c:strRef>
          </c:cat>
          <c:val>
            <c:numRef>
              <c:f>'グラフ(在院期間) '!$M$4:$M$7</c:f>
              <c:numCache>
                <c:formatCode>#,##0"人"</c:formatCode>
                <c:ptCount val="4"/>
                <c:pt idx="0">
                  <c:v>2835</c:v>
                </c:pt>
                <c:pt idx="1">
                  <c:v>1692</c:v>
                </c:pt>
                <c:pt idx="2">
                  <c:v>874</c:v>
                </c:pt>
                <c:pt idx="3">
                  <c:v>929</c:v>
                </c:pt>
              </c:numCache>
            </c:numRef>
          </c:val>
          <c:extLst>
            <c:ext xmlns:c15="http://schemas.microsoft.com/office/drawing/2012/chart" uri="{02D57815-91ED-43cb-92C2-25804820EDAC}">
              <c15:datalabelsRange>
                <c15:f>'グラフ(在院期間) '!$P$4:$P$7</c15:f>
                <c15:dlblRangeCache>
                  <c:ptCount val="4"/>
                  <c:pt idx="0">
                    <c:v>43.5%</c:v>
                  </c:pt>
                  <c:pt idx="1">
                    <c:v>35.1%</c:v>
                  </c:pt>
                  <c:pt idx="2">
                    <c:v>43.4%</c:v>
                  </c:pt>
                  <c:pt idx="3">
                    <c:v>40.3%</c:v>
                  </c:pt>
                </c15:dlblRangeCache>
              </c15:datalabelsRange>
            </c:ext>
            <c:ext xmlns:c16="http://schemas.microsoft.com/office/drawing/2014/chart" uri="{C3380CC4-5D6E-409C-BE32-E72D297353CC}">
              <c16:uniqueId val="{00000000-92B7-4A50-8C5E-7771008A3F96}"/>
            </c:ext>
          </c:extLst>
        </c:ser>
        <c:ser>
          <c:idx val="1"/>
          <c:order val="1"/>
          <c:tx>
            <c:strRef>
              <c:f>'グラフ(在院期間) '!$N$3</c:f>
              <c:strCache>
                <c:ptCount val="1"/>
                <c:pt idx="0">
                  <c:v>65歳以上</c:v>
                </c:pt>
              </c:strCache>
            </c:strRef>
          </c:tx>
          <c:spPr>
            <a:gradFill rotWithShape="1">
              <a:gsLst>
                <a:gs pos="0">
                  <a:schemeClr val="accent2">
                    <a:tint val="50000"/>
                    <a:satMod val="300000"/>
                  </a:schemeClr>
                </a:gs>
                <a:gs pos="35000">
                  <a:schemeClr val="accent2">
                    <a:tint val="37000"/>
                    <a:satMod val="300000"/>
                  </a:schemeClr>
                </a:gs>
                <a:gs pos="100000">
                  <a:schemeClr val="accent2">
                    <a:tint val="15000"/>
                    <a:satMod val="350000"/>
                  </a:schemeClr>
                </a:gs>
              </a:gsLst>
              <a:lin ang="16200000" scaled="1"/>
            </a:gradFill>
            <a:ln w="9525" cap="flat" cmpd="sng" algn="ctr">
              <a:solidFill>
                <a:schemeClr val="accent2">
                  <a:shade val="95000"/>
                </a:schemeClr>
              </a:solidFill>
              <a:round/>
            </a:ln>
            <a:effectLst>
              <a:outerShdw blurRad="40000" dist="20000" dir="5400000" rotWithShape="0">
                <a:srgbClr val="000000">
                  <a:alpha val="38000"/>
                </a:srgbClr>
              </a:outerShdw>
            </a:effectLst>
          </c:spPr>
          <c:invertIfNegative val="0"/>
          <c:dLbls>
            <c:dLbl>
              <c:idx val="0"/>
              <c:tx>
                <c:rich>
                  <a:bodyPr/>
                  <a:lstStyle/>
                  <a:p>
                    <a:fld id="{FAD992BA-F188-4C60-B68D-5B43DE9F758D}" type="CELLRANGE">
                      <a:rPr lang="en-US" altLang="ja-JP"/>
                      <a:pPr/>
                      <a:t>[CELLRANGE]</a:t>
                    </a:fld>
                    <a:endParaRPr lang="ja-JP" altLang="en-US"/>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6-92B7-4A50-8C5E-7771008A3F96}"/>
                </c:ext>
              </c:extLst>
            </c:dLbl>
            <c:dLbl>
              <c:idx val="1"/>
              <c:tx>
                <c:rich>
                  <a:bodyPr/>
                  <a:lstStyle/>
                  <a:p>
                    <a:fld id="{F888AB30-4171-4296-9688-704AC9B7DDF4}" type="CELLRANGE">
                      <a:rPr lang="ja-JP" altLang="en-US"/>
                      <a:pPr/>
                      <a:t>[CELLRANGE]</a:t>
                    </a:fld>
                    <a:endParaRPr lang="ja-JP" alt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92B7-4A50-8C5E-7771008A3F96}"/>
                </c:ext>
              </c:extLst>
            </c:dLbl>
            <c:dLbl>
              <c:idx val="2"/>
              <c:tx>
                <c:rich>
                  <a:bodyPr/>
                  <a:lstStyle/>
                  <a:p>
                    <a:fld id="{98397719-4961-4821-B3B3-89819D3ACF6B}" type="CELLRANGE">
                      <a:rPr lang="ja-JP" altLang="en-US"/>
                      <a:pPr/>
                      <a:t>[CELLRANGE]</a:t>
                    </a:fld>
                    <a:endParaRPr lang="ja-JP" alt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92B7-4A50-8C5E-7771008A3F96}"/>
                </c:ext>
              </c:extLst>
            </c:dLbl>
            <c:dLbl>
              <c:idx val="3"/>
              <c:tx>
                <c:rich>
                  <a:bodyPr/>
                  <a:lstStyle/>
                  <a:p>
                    <a:fld id="{FADF37A8-474D-4F32-A324-C584077BC89F}" type="CELLRANGE">
                      <a:rPr lang="ja-JP" altLang="en-US"/>
                      <a:pPr/>
                      <a:t>[CELLRANGE]</a:t>
                    </a:fld>
                    <a:endParaRPr lang="ja-JP" alt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92B7-4A50-8C5E-7771008A3F96}"/>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ja-JP"/>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a:solidFill>
                        <a:schemeClr val="tx1">
                          <a:lumMod val="35000"/>
                          <a:lumOff val="65000"/>
                        </a:schemeClr>
                      </a:solidFill>
                    </a:ln>
                    <a:effectLst/>
                  </c:spPr>
                </c15:leaderLines>
              </c:ext>
            </c:extLst>
          </c:dLbls>
          <c:cat>
            <c:strRef>
              <c:f>'グラフ(在院期間) '!$L$4:$L$7</c:f>
              <c:strCache>
                <c:ptCount val="4"/>
                <c:pt idx="0">
                  <c:v>1年未満</c:v>
                </c:pt>
                <c:pt idx="1">
                  <c:v>1年以上5年未満</c:v>
                </c:pt>
                <c:pt idx="2">
                  <c:v>5年以上10年未満</c:v>
                </c:pt>
                <c:pt idx="3">
                  <c:v>10年以上</c:v>
                </c:pt>
              </c:strCache>
            </c:strRef>
          </c:cat>
          <c:val>
            <c:numRef>
              <c:f>'グラフ(在院期間) '!$N$4:$N$7</c:f>
              <c:numCache>
                <c:formatCode>#,##0"人"</c:formatCode>
                <c:ptCount val="4"/>
                <c:pt idx="0">
                  <c:v>3678</c:v>
                </c:pt>
                <c:pt idx="1">
                  <c:v>3133</c:v>
                </c:pt>
                <c:pt idx="2">
                  <c:v>1139</c:v>
                </c:pt>
                <c:pt idx="3">
                  <c:v>1375</c:v>
                </c:pt>
              </c:numCache>
            </c:numRef>
          </c:val>
          <c:extLst>
            <c:ext xmlns:c15="http://schemas.microsoft.com/office/drawing/2012/chart" uri="{02D57815-91ED-43cb-92C2-25804820EDAC}">
              <c15:datalabelsRange>
                <c15:f>'グラフ(在院期間) '!$Q$4:$Q$7</c15:f>
                <c15:dlblRangeCache>
                  <c:ptCount val="4"/>
                  <c:pt idx="0">
                    <c:v>56.5%</c:v>
                  </c:pt>
                  <c:pt idx="1">
                    <c:v>64.9%</c:v>
                  </c:pt>
                  <c:pt idx="2">
                    <c:v>56.6%</c:v>
                  </c:pt>
                  <c:pt idx="3">
                    <c:v>59.7%</c:v>
                  </c:pt>
                </c15:dlblRangeCache>
              </c15:datalabelsRange>
            </c:ext>
            <c:ext xmlns:c16="http://schemas.microsoft.com/office/drawing/2014/chart" uri="{C3380CC4-5D6E-409C-BE32-E72D297353CC}">
              <c16:uniqueId val="{00000001-92B7-4A50-8C5E-7771008A3F96}"/>
            </c:ext>
          </c:extLst>
        </c:ser>
        <c:dLbls>
          <c:showLegendKey val="0"/>
          <c:showVal val="0"/>
          <c:showCatName val="0"/>
          <c:showSerName val="0"/>
          <c:showPercent val="0"/>
          <c:showBubbleSize val="0"/>
        </c:dLbls>
        <c:gapWidth val="150"/>
        <c:overlap val="100"/>
        <c:axId val="116807760"/>
        <c:axId val="116801936"/>
      </c:barChart>
      <c:catAx>
        <c:axId val="116807760"/>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ja-JP"/>
          </a:p>
        </c:txPr>
        <c:crossAx val="116801936"/>
        <c:crosses val="autoZero"/>
        <c:auto val="1"/>
        <c:lblAlgn val="ctr"/>
        <c:lblOffset val="100"/>
        <c:noMultiLvlLbl val="0"/>
      </c:catAx>
      <c:valAx>
        <c:axId val="116801936"/>
        <c:scaling>
          <c:orientation val="minMax"/>
        </c:scaling>
        <c:delete val="0"/>
        <c:axPos val="b"/>
        <c:majorGridlines>
          <c:spPr>
            <a:ln w="9525" cap="flat" cmpd="sng" algn="ctr">
              <a:solidFill>
                <a:schemeClr val="tx1">
                  <a:lumMod val="15000"/>
                  <a:lumOff val="85000"/>
                </a:schemeClr>
              </a:solidFill>
              <a:round/>
            </a:ln>
            <a:effectLst/>
          </c:spPr>
        </c:majorGridlines>
        <c:numFmt formatCode="#,##0&quot;人&quot;"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ja-JP"/>
          </a:p>
        </c:txPr>
        <c:crossAx val="116807760"/>
        <c:crosses val="autoZero"/>
        <c:crossBetween val="between"/>
      </c:valAx>
      <c:dTable>
        <c:showHorzBorder val="1"/>
        <c:showVertBorder val="1"/>
        <c:showOutline val="1"/>
        <c:showKeys val="0"/>
        <c:spPr>
          <a:noFill/>
          <a:ln w="9525">
            <a:solidFill>
              <a:schemeClr val="tx1">
                <a:lumMod val="15000"/>
                <a:lumOff val="85000"/>
              </a:schemeClr>
            </a:solidFill>
          </a:ln>
          <a:effectLst/>
        </c:spPr>
        <c:txPr>
          <a:bodyPr rot="0" spcFirstLastPara="1" vertOverflow="ellipsis" vert="horz" wrap="square" anchor="ctr" anchorCtr="1"/>
          <a:lstStyle/>
          <a:p>
            <a:pPr rtl="0">
              <a:defRPr sz="800" b="0" i="0" u="none" strike="noStrike" kern="1200" baseline="0">
                <a:solidFill>
                  <a:schemeClr val="tx1">
                    <a:lumMod val="50000"/>
                    <a:lumOff val="50000"/>
                  </a:schemeClr>
                </a:solidFill>
                <a:latin typeface="+mn-lt"/>
                <a:ea typeface="+mn-ea"/>
                <a:cs typeface="+mn-cs"/>
              </a:defRPr>
            </a:pPr>
            <a:endParaRPr lang="ja-JP"/>
          </a:p>
        </c:txPr>
      </c:dTable>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paperSize="9" orientation="landscape"/>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cap="none" spc="20" baseline="0">
                <a:solidFill>
                  <a:schemeClr val="tx1">
                    <a:lumMod val="50000"/>
                    <a:lumOff val="50000"/>
                  </a:schemeClr>
                </a:solidFill>
                <a:latin typeface="+mn-lt"/>
                <a:ea typeface="+mn-ea"/>
                <a:cs typeface="+mn-cs"/>
              </a:defRPr>
            </a:pPr>
            <a:r>
              <a:rPr lang="ja-JP" altLang="en-US" sz="1200" b="1"/>
              <a:t>在院期間＿寛解・院内寛解群</a:t>
            </a:r>
            <a:endParaRPr lang="ja-JP" sz="1200" b="1"/>
          </a:p>
        </c:rich>
      </c:tx>
      <c:overlay val="0"/>
      <c:spPr>
        <a:noFill/>
        <a:ln>
          <a:noFill/>
        </a:ln>
        <a:effectLst/>
      </c:spPr>
      <c:txPr>
        <a:bodyPr rot="0" spcFirstLastPara="1" vertOverflow="ellipsis" vert="horz" wrap="square" anchor="ctr" anchorCtr="1"/>
        <a:lstStyle/>
        <a:p>
          <a:pPr>
            <a:defRPr sz="1200" b="1" i="0" u="none" strike="noStrike" kern="1200" cap="none" spc="20" baseline="0">
              <a:solidFill>
                <a:schemeClr val="tx1">
                  <a:lumMod val="50000"/>
                  <a:lumOff val="50000"/>
                </a:schemeClr>
              </a:solidFill>
              <a:latin typeface="+mn-lt"/>
              <a:ea typeface="+mn-ea"/>
              <a:cs typeface="+mn-cs"/>
            </a:defRPr>
          </a:pPr>
          <a:endParaRPr lang="ja-JP"/>
        </a:p>
      </c:txPr>
    </c:title>
    <c:autoTitleDeleted val="0"/>
    <c:plotArea>
      <c:layout/>
      <c:barChart>
        <c:barDir val="bar"/>
        <c:grouping val="stacked"/>
        <c:varyColors val="0"/>
        <c:ser>
          <c:idx val="0"/>
          <c:order val="0"/>
          <c:tx>
            <c:strRef>
              <c:f>'グラフ(在院期間) '!$M$8</c:f>
              <c:strCache>
                <c:ptCount val="1"/>
                <c:pt idx="0">
                  <c:v>65歳未満</c:v>
                </c:pt>
              </c:strCache>
            </c:strRef>
          </c:tx>
          <c:spPr>
            <a:gradFill rotWithShape="1">
              <a:gsLst>
                <a:gs pos="0">
                  <a:schemeClr val="accent1">
                    <a:tint val="50000"/>
                    <a:satMod val="300000"/>
                  </a:schemeClr>
                </a:gs>
                <a:gs pos="35000">
                  <a:schemeClr val="accent1">
                    <a:tint val="37000"/>
                    <a:satMod val="300000"/>
                  </a:schemeClr>
                </a:gs>
                <a:gs pos="100000">
                  <a:schemeClr val="accent1">
                    <a:tint val="15000"/>
                    <a:satMod val="350000"/>
                  </a:schemeClr>
                </a:gs>
              </a:gsLst>
              <a:lin ang="16200000" scaled="1"/>
            </a:gradFill>
            <a:ln w="9525" cap="flat" cmpd="sng" algn="ctr">
              <a:solidFill>
                <a:schemeClr val="accent1">
                  <a:shade val="95000"/>
                </a:schemeClr>
              </a:solidFill>
              <a:round/>
            </a:ln>
            <a:effectLst>
              <a:outerShdw blurRad="40000" dist="20000" dir="5400000" rotWithShape="0">
                <a:srgbClr val="000000">
                  <a:alpha val="38000"/>
                </a:srgbClr>
              </a:outerShdw>
            </a:effectLst>
          </c:spPr>
          <c:invertIfNegative val="0"/>
          <c:dLbls>
            <c:dLbl>
              <c:idx val="0"/>
              <c:tx>
                <c:rich>
                  <a:bodyPr/>
                  <a:lstStyle/>
                  <a:p>
                    <a:fld id="{E9AD7835-65A0-4CC2-B795-2DED29AA14A8}" type="CELLRANGE">
                      <a:rPr lang="en-US" altLang="ja-JP"/>
                      <a:pPr/>
                      <a:t>[CELLRANGE]</a:t>
                    </a:fld>
                    <a:endParaRPr lang="ja-JP" altLang="en-US"/>
                  </a:p>
                </c:rich>
              </c:tx>
              <c:dLblPos val="ct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6-ED21-42B9-A33C-BF0B0FC6CD8F}"/>
                </c:ext>
              </c:extLst>
            </c:dLbl>
            <c:dLbl>
              <c:idx val="1"/>
              <c:tx>
                <c:rich>
                  <a:bodyPr/>
                  <a:lstStyle/>
                  <a:p>
                    <a:fld id="{D0839389-BBCA-43B2-83D9-03ABD92415E8}" type="CELLRANGE">
                      <a:rPr lang="en-US" altLang="ja-JP"/>
                      <a:pPr/>
                      <a:t>[CELLRANGE]</a:t>
                    </a:fld>
                    <a:endParaRPr lang="ja-JP" altLang="en-US"/>
                  </a:p>
                </c:rich>
              </c:tx>
              <c:dLblPos val="ct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9-ED21-42B9-A33C-BF0B0FC6CD8F}"/>
                </c:ext>
              </c:extLst>
            </c:dLbl>
            <c:dLbl>
              <c:idx val="2"/>
              <c:layout>
                <c:manualLayout>
                  <c:x val="-6.632380182828003E-3"/>
                  <c:y val="-3.6002834868887314E-2"/>
                </c:manualLayout>
              </c:layout>
              <c:tx>
                <c:rich>
                  <a:bodyPr/>
                  <a:lstStyle/>
                  <a:p>
                    <a:fld id="{274410FC-5A5C-4664-A5AC-ABCEEFD0FE49}" type="CELLRANGE">
                      <a:rPr lang="en-US" altLang="ja-JP"/>
                      <a:pPr/>
                      <a:t>[CELLRANGE]</a:t>
                    </a:fld>
                    <a:endParaRPr lang="ja-JP" altLang="en-US"/>
                  </a:p>
                </c:rich>
              </c:tx>
              <c:dLblPos val="ct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5-ED21-42B9-A33C-BF0B0FC6CD8F}"/>
                </c:ext>
              </c:extLst>
            </c:dLbl>
            <c:dLbl>
              <c:idx val="3"/>
              <c:layout>
                <c:manualLayout>
                  <c:x val="3.3050219888893333E-2"/>
                  <c:y val="-7.6506024096385544E-2"/>
                </c:manualLayout>
              </c:layout>
              <c:tx>
                <c:rich>
                  <a:bodyPr/>
                  <a:lstStyle/>
                  <a:p>
                    <a:fld id="{24D671BE-4E31-4AC1-A24E-337F153E5A78}" type="CELLRANGE">
                      <a:rPr lang="en-US" altLang="ja-JP"/>
                      <a:pPr/>
                      <a:t>[CELLRANGE]</a:t>
                    </a:fld>
                    <a:endParaRPr lang="ja-JP" altLang="en-US"/>
                  </a:p>
                </c:rich>
              </c:tx>
              <c:dLblPos val="ct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3-ED21-42B9-A33C-BF0B0FC6CD8F}"/>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ja-JP"/>
              </a:p>
            </c:txPr>
            <c:dLblPos val="inBase"/>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a:solidFill>
                        <a:schemeClr val="tx1">
                          <a:lumMod val="35000"/>
                          <a:lumOff val="65000"/>
                        </a:schemeClr>
                      </a:solidFill>
                    </a:ln>
                    <a:effectLst/>
                  </c:spPr>
                </c15:leaderLines>
              </c:ext>
            </c:extLst>
          </c:dLbls>
          <c:cat>
            <c:strRef>
              <c:f>'グラフ(在院期間) '!$L$9:$L$12</c:f>
              <c:strCache>
                <c:ptCount val="4"/>
                <c:pt idx="0">
                  <c:v>1年未満</c:v>
                </c:pt>
                <c:pt idx="1">
                  <c:v>1年以上5年未満</c:v>
                </c:pt>
                <c:pt idx="2">
                  <c:v>5年以上10年未満</c:v>
                </c:pt>
                <c:pt idx="3">
                  <c:v>10年以上</c:v>
                </c:pt>
              </c:strCache>
            </c:strRef>
          </c:cat>
          <c:val>
            <c:numRef>
              <c:f>'グラフ(在院期間) '!$M$9:$M$12</c:f>
              <c:numCache>
                <c:formatCode>#,##0"人"</c:formatCode>
                <c:ptCount val="4"/>
                <c:pt idx="0">
                  <c:v>666</c:v>
                </c:pt>
                <c:pt idx="1">
                  <c:v>153</c:v>
                </c:pt>
                <c:pt idx="2">
                  <c:v>48</c:v>
                </c:pt>
                <c:pt idx="3">
                  <c:v>51</c:v>
                </c:pt>
              </c:numCache>
            </c:numRef>
          </c:val>
          <c:extLst>
            <c:ext xmlns:c15="http://schemas.microsoft.com/office/drawing/2012/chart" uri="{02D57815-91ED-43cb-92C2-25804820EDAC}">
              <c15:datalabelsRange>
                <c15:f>'グラフ(在院期間) '!$P$9:$P$12</c15:f>
                <c15:dlblRangeCache>
                  <c:ptCount val="4"/>
                  <c:pt idx="0">
                    <c:v>60.3%</c:v>
                  </c:pt>
                  <c:pt idx="1">
                    <c:v>46.2%</c:v>
                  </c:pt>
                  <c:pt idx="2">
                    <c:v>43.2%</c:v>
                  </c:pt>
                  <c:pt idx="3">
                    <c:v>38.9%</c:v>
                  </c:pt>
                </c15:dlblRangeCache>
              </c15:datalabelsRange>
            </c:ext>
            <c:ext xmlns:c16="http://schemas.microsoft.com/office/drawing/2014/chart" uri="{C3380CC4-5D6E-409C-BE32-E72D297353CC}">
              <c16:uniqueId val="{00000000-ED21-42B9-A33C-BF0B0FC6CD8F}"/>
            </c:ext>
          </c:extLst>
        </c:ser>
        <c:ser>
          <c:idx val="1"/>
          <c:order val="1"/>
          <c:tx>
            <c:strRef>
              <c:f>'グラフ(在院期間) '!$N$8</c:f>
              <c:strCache>
                <c:ptCount val="1"/>
                <c:pt idx="0">
                  <c:v>65歳以上</c:v>
                </c:pt>
              </c:strCache>
            </c:strRef>
          </c:tx>
          <c:spPr>
            <a:gradFill rotWithShape="1">
              <a:gsLst>
                <a:gs pos="0">
                  <a:schemeClr val="accent3">
                    <a:tint val="50000"/>
                    <a:satMod val="300000"/>
                  </a:schemeClr>
                </a:gs>
                <a:gs pos="35000">
                  <a:schemeClr val="accent3">
                    <a:tint val="37000"/>
                    <a:satMod val="300000"/>
                  </a:schemeClr>
                </a:gs>
                <a:gs pos="100000">
                  <a:schemeClr val="accent3">
                    <a:tint val="15000"/>
                    <a:satMod val="350000"/>
                  </a:schemeClr>
                </a:gs>
              </a:gsLst>
              <a:lin ang="16200000" scaled="1"/>
            </a:gradFill>
            <a:ln w="9525" cap="flat" cmpd="sng" algn="ctr">
              <a:solidFill>
                <a:schemeClr val="accent3">
                  <a:shade val="95000"/>
                </a:schemeClr>
              </a:solidFill>
              <a:round/>
            </a:ln>
            <a:effectLst>
              <a:outerShdw blurRad="40000" dist="20000" dir="5400000" rotWithShape="0">
                <a:srgbClr val="000000">
                  <a:alpha val="38000"/>
                </a:srgbClr>
              </a:outerShdw>
            </a:effectLst>
          </c:spPr>
          <c:invertIfNegative val="0"/>
          <c:dLbls>
            <c:dLbl>
              <c:idx val="0"/>
              <c:tx>
                <c:rich>
                  <a:bodyPr/>
                  <a:lstStyle/>
                  <a:p>
                    <a:fld id="{E8BCD6BD-A405-4684-AF68-90E578A8E383}" type="CELLRANGE">
                      <a:rPr lang="en-US" altLang="ja-JP"/>
                      <a:pPr/>
                      <a:t>[CELLRANGE]</a:t>
                    </a:fld>
                    <a:endParaRPr lang="ja-JP" altLang="en-US"/>
                  </a:p>
                </c:rich>
              </c:tx>
              <c:dLblPos val="ct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7-ED21-42B9-A33C-BF0B0FC6CD8F}"/>
                </c:ext>
              </c:extLst>
            </c:dLbl>
            <c:dLbl>
              <c:idx val="1"/>
              <c:tx>
                <c:rich>
                  <a:bodyPr rot="0" spcFirstLastPara="1" vertOverflow="overflow" horzOverflow="overflow"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fld id="{C697D6FC-491E-44AD-BAA9-986E9AF5AC94}" type="CELLRANGE">
                      <a:rPr lang="en-US" altLang="ja-JP"/>
                      <a:pPr>
                        <a:defRPr sz="800"/>
                      </a:pPr>
                      <a:t>[CELLRANGE]</a:t>
                    </a:fld>
                    <a:endParaRPr lang="ja-JP" altLang="en-US"/>
                  </a:p>
                </c:rich>
              </c:tx>
              <c:spPr>
                <a:noFill/>
                <a:ln>
                  <a:noFill/>
                </a:ln>
                <a:effectLst/>
              </c:spPr>
              <c:txPr>
                <a:bodyPr rot="0" spcFirstLastPara="1" vertOverflow="overflow" horzOverflow="overflow"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ja-JP"/>
                </a:p>
              </c:txPr>
              <c:dLblPos val="ct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8-ED21-42B9-A33C-BF0B0FC6CD8F}"/>
                </c:ext>
              </c:extLst>
            </c:dLbl>
            <c:dLbl>
              <c:idx val="2"/>
              <c:layout>
                <c:manualLayout>
                  <c:x val="0.13567010946949548"/>
                  <c:y val="0"/>
                </c:manualLayout>
              </c:layout>
              <c:tx>
                <c:rich>
                  <a:bodyPr/>
                  <a:lstStyle/>
                  <a:p>
                    <a:fld id="{78776ADA-6B63-4EC8-A823-9CF628006C12}" type="CELLRANGE">
                      <a:rPr lang="en-US" altLang="ja-JP"/>
                      <a:pPr/>
                      <a:t>[CELLRANGE]</a:t>
                    </a:fld>
                    <a:endParaRPr lang="ja-JP" altLang="en-US"/>
                  </a:p>
                </c:rich>
              </c:tx>
              <c:dLblPos val="ct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4-ED21-42B9-A33C-BF0B0FC6CD8F}"/>
                </c:ext>
              </c:extLst>
            </c:dLbl>
            <c:dLbl>
              <c:idx val="3"/>
              <c:layout>
                <c:manualLayout>
                  <c:x val="0.10596246584831066"/>
                  <c:y val="-2.7002126151665487E-2"/>
                </c:manualLayout>
              </c:layout>
              <c:tx>
                <c:rich>
                  <a:bodyPr/>
                  <a:lstStyle/>
                  <a:p>
                    <a:fld id="{10AFB482-CF89-4F63-8E5C-953673290398}" type="CELLRANGE">
                      <a:rPr lang="en-US" altLang="ja-JP"/>
                      <a:pPr/>
                      <a:t>[CELLRANGE]</a:t>
                    </a:fld>
                    <a:endParaRPr lang="ja-JP" altLang="en-US"/>
                  </a:p>
                </c:rich>
              </c:tx>
              <c:dLblPos val="ct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2-ED21-42B9-A33C-BF0B0FC6CD8F}"/>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ja-JP"/>
              </a:p>
            </c:txPr>
            <c:dLblPos val="inBase"/>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a:solidFill>
                        <a:schemeClr val="tx1">
                          <a:lumMod val="35000"/>
                          <a:lumOff val="65000"/>
                        </a:schemeClr>
                      </a:solidFill>
                    </a:ln>
                    <a:effectLst/>
                  </c:spPr>
                </c15:leaderLines>
              </c:ext>
            </c:extLst>
          </c:dLbls>
          <c:cat>
            <c:strRef>
              <c:f>'グラフ(在院期間) '!$L$9:$L$12</c:f>
              <c:strCache>
                <c:ptCount val="4"/>
                <c:pt idx="0">
                  <c:v>1年未満</c:v>
                </c:pt>
                <c:pt idx="1">
                  <c:v>1年以上5年未満</c:v>
                </c:pt>
                <c:pt idx="2">
                  <c:v>5年以上10年未満</c:v>
                </c:pt>
                <c:pt idx="3">
                  <c:v>10年以上</c:v>
                </c:pt>
              </c:strCache>
            </c:strRef>
          </c:cat>
          <c:val>
            <c:numRef>
              <c:f>'グラフ(在院期間) '!$N$9:$N$12</c:f>
              <c:numCache>
                <c:formatCode>#,##0"人"</c:formatCode>
                <c:ptCount val="4"/>
                <c:pt idx="0">
                  <c:v>439</c:v>
                </c:pt>
                <c:pt idx="1">
                  <c:v>178</c:v>
                </c:pt>
                <c:pt idx="2">
                  <c:v>63</c:v>
                </c:pt>
                <c:pt idx="3">
                  <c:v>80</c:v>
                </c:pt>
              </c:numCache>
            </c:numRef>
          </c:val>
          <c:extLst>
            <c:ext xmlns:c15="http://schemas.microsoft.com/office/drawing/2012/chart" uri="{02D57815-91ED-43cb-92C2-25804820EDAC}">
              <c15:datalabelsRange>
                <c15:f>'グラフ(在院期間) '!$Q$9:$Q$12</c15:f>
                <c15:dlblRangeCache>
                  <c:ptCount val="4"/>
                  <c:pt idx="0">
                    <c:v>39.7%</c:v>
                  </c:pt>
                  <c:pt idx="1">
                    <c:v>53.8%</c:v>
                  </c:pt>
                  <c:pt idx="2">
                    <c:v>56.8%</c:v>
                  </c:pt>
                  <c:pt idx="3">
                    <c:v>61.1%</c:v>
                  </c:pt>
                </c15:dlblRangeCache>
              </c15:datalabelsRange>
            </c:ext>
            <c:ext xmlns:c16="http://schemas.microsoft.com/office/drawing/2014/chart" uri="{C3380CC4-5D6E-409C-BE32-E72D297353CC}">
              <c16:uniqueId val="{00000001-ED21-42B9-A33C-BF0B0FC6CD8F}"/>
            </c:ext>
          </c:extLst>
        </c:ser>
        <c:dLbls>
          <c:showLegendKey val="0"/>
          <c:showVal val="0"/>
          <c:showCatName val="0"/>
          <c:showSerName val="0"/>
          <c:showPercent val="0"/>
          <c:showBubbleSize val="0"/>
        </c:dLbls>
        <c:gapWidth val="150"/>
        <c:overlap val="100"/>
        <c:axId val="116807760"/>
        <c:axId val="116801936"/>
      </c:barChart>
      <c:catAx>
        <c:axId val="116807760"/>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ja-JP"/>
          </a:p>
        </c:txPr>
        <c:crossAx val="116801936"/>
        <c:crosses val="autoZero"/>
        <c:auto val="1"/>
        <c:lblAlgn val="ctr"/>
        <c:lblOffset val="100"/>
        <c:noMultiLvlLbl val="0"/>
      </c:catAx>
      <c:valAx>
        <c:axId val="116801936"/>
        <c:scaling>
          <c:orientation val="minMax"/>
        </c:scaling>
        <c:delete val="0"/>
        <c:axPos val="b"/>
        <c:majorGridlines>
          <c:spPr>
            <a:ln w="9525" cap="flat" cmpd="sng" algn="ctr">
              <a:solidFill>
                <a:schemeClr val="tx1">
                  <a:lumMod val="15000"/>
                  <a:lumOff val="85000"/>
                </a:schemeClr>
              </a:solidFill>
              <a:round/>
            </a:ln>
            <a:effectLst/>
          </c:spPr>
        </c:majorGridlines>
        <c:numFmt formatCode="#,##0&quot;人&quot;"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ja-JP"/>
          </a:p>
        </c:txPr>
        <c:crossAx val="116807760"/>
        <c:crosses val="autoZero"/>
        <c:crossBetween val="between"/>
      </c:valAx>
      <c:dTable>
        <c:showHorzBorder val="1"/>
        <c:showVertBorder val="1"/>
        <c:showOutline val="1"/>
        <c:showKeys val="0"/>
        <c:spPr>
          <a:noFill/>
          <a:ln w="9525">
            <a:solidFill>
              <a:schemeClr val="tx1">
                <a:lumMod val="15000"/>
                <a:lumOff val="85000"/>
              </a:schemeClr>
            </a:solidFill>
          </a:ln>
          <a:effectLst/>
        </c:spPr>
        <c:txPr>
          <a:bodyPr rot="0" spcFirstLastPara="1" vertOverflow="ellipsis" vert="horz" wrap="square" anchor="ctr" anchorCtr="1"/>
          <a:lstStyle/>
          <a:p>
            <a:pPr rtl="0">
              <a:defRPr sz="800" b="0" i="0" u="none" strike="noStrike" kern="1200" baseline="0">
                <a:solidFill>
                  <a:schemeClr val="tx1">
                    <a:lumMod val="50000"/>
                    <a:lumOff val="50000"/>
                  </a:schemeClr>
                </a:solidFill>
                <a:latin typeface="+mn-lt"/>
                <a:ea typeface="+mn-ea"/>
                <a:cs typeface="+mn-cs"/>
              </a:defRPr>
            </a:pPr>
            <a:endParaRPr lang="ja-JP"/>
          </a:p>
        </c:txPr>
      </c:dTable>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orientation="portrait"/>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none" spc="20" baseline="0">
                <a:solidFill>
                  <a:schemeClr val="tx1">
                    <a:lumMod val="50000"/>
                    <a:lumOff val="50000"/>
                  </a:schemeClr>
                </a:solidFill>
                <a:latin typeface="+mn-lt"/>
                <a:ea typeface="+mn-ea"/>
                <a:cs typeface="+mn-cs"/>
              </a:defRPr>
            </a:pPr>
            <a:r>
              <a:rPr lang="ja-JP" b="1"/>
              <a:t>退院阻害要因の有無</a:t>
            </a:r>
          </a:p>
        </c:rich>
      </c:tx>
      <c:layout>
        <c:manualLayout>
          <c:xMode val="edge"/>
          <c:yMode val="edge"/>
          <c:x val="0.34159014620726857"/>
          <c:y val="2.2882777777777776E-2"/>
        </c:manualLayout>
      </c:layout>
      <c:overlay val="0"/>
      <c:spPr>
        <a:noFill/>
        <a:ln>
          <a:noFill/>
        </a:ln>
        <a:effectLst/>
      </c:spPr>
    </c:title>
    <c:autoTitleDeleted val="0"/>
    <c:plotArea>
      <c:layout>
        <c:manualLayout>
          <c:layoutTarget val="inner"/>
          <c:xMode val="edge"/>
          <c:yMode val="edge"/>
          <c:x val="6.9531712199843887E-2"/>
          <c:y val="0.19912972222222222"/>
          <c:w val="0.87222222222222212"/>
          <c:h val="0.74600129172335139"/>
        </c:manualLayout>
      </c:layout>
      <c:ofPieChart>
        <c:ofPieType val="pie"/>
        <c:varyColors val="1"/>
        <c:ser>
          <c:idx val="0"/>
          <c:order val="0"/>
          <c:dPt>
            <c:idx val="0"/>
            <c:bubble3D val="0"/>
            <c:spPr>
              <a:gradFill rotWithShape="1">
                <a:gsLst>
                  <a:gs pos="0">
                    <a:schemeClr val="accent1">
                      <a:tint val="50000"/>
                      <a:satMod val="300000"/>
                    </a:schemeClr>
                  </a:gs>
                  <a:gs pos="35000">
                    <a:schemeClr val="accent1">
                      <a:tint val="37000"/>
                      <a:satMod val="300000"/>
                    </a:schemeClr>
                  </a:gs>
                  <a:gs pos="100000">
                    <a:schemeClr val="accent1">
                      <a:tint val="15000"/>
                      <a:satMod val="350000"/>
                    </a:schemeClr>
                  </a:gs>
                </a:gsLst>
                <a:lin ang="16200000" scaled="1"/>
              </a:gradFill>
              <a:ln w="9525" cap="flat" cmpd="sng" algn="ctr">
                <a:solidFill>
                  <a:schemeClr val="accent1">
                    <a:shade val="95000"/>
                  </a:schemeClr>
                </a:solidFill>
                <a:round/>
              </a:ln>
              <a:effectLst>
                <a:outerShdw blurRad="40000" dist="20000" dir="5400000" rotWithShape="0">
                  <a:srgbClr val="000000">
                    <a:alpha val="38000"/>
                  </a:srgbClr>
                </a:outerShdw>
              </a:effectLst>
            </c:spPr>
            <c:extLst>
              <c:ext xmlns:c16="http://schemas.microsoft.com/office/drawing/2014/chart" uri="{C3380CC4-5D6E-409C-BE32-E72D297353CC}">
                <c16:uniqueId val="{00000001-1C89-44F0-84D0-778BA3C76980}"/>
              </c:ext>
            </c:extLst>
          </c:dPt>
          <c:dPt>
            <c:idx val="1"/>
            <c:bubble3D val="0"/>
            <c:spPr>
              <a:gradFill rotWithShape="1">
                <a:gsLst>
                  <a:gs pos="0">
                    <a:schemeClr val="accent2">
                      <a:tint val="50000"/>
                      <a:satMod val="300000"/>
                    </a:schemeClr>
                  </a:gs>
                  <a:gs pos="35000">
                    <a:schemeClr val="accent2">
                      <a:tint val="37000"/>
                      <a:satMod val="300000"/>
                    </a:schemeClr>
                  </a:gs>
                  <a:gs pos="100000">
                    <a:schemeClr val="accent2">
                      <a:tint val="15000"/>
                      <a:satMod val="350000"/>
                    </a:schemeClr>
                  </a:gs>
                </a:gsLst>
                <a:lin ang="16200000" scaled="1"/>
              </a:gradFill>
              <a:ln w="9525" cap="flat" cmpd="sng" algn="ctr">
                <a:solidFill>
                  <a:schemeClr val="accent2">
                    <a:shade val="95000"/>
                  </a:schemeClr>
                </a:solidFill>
                <a:round/>
              </a:ln>
              <a:effectLst>
                <a:outerShdw blurRad="40000" dist="20000" dir="5400000" rotWithShape="0">
                  <a:srgbClr val="000000">
                    <a:alpha val="38000"/>
                  </a:srgbClr>
                </a:outerShdw>
              </a:effectLst>
            </c:spPr>
            <c:extLst>
              <c:ext xmlns:c16="http://schemas.microsoft.com/office/drawing/2014/chart" uri="{C3380CC4-5D6E-409C-BE32-E72D297353CC}">
                <c16:uniqueId val="{00000003-1C89-44F0-84D0-778BA3C76980}"/>
              </c:ext>
            </c:extLst>
          </c:dPt>
          <c:dPt>
            <c:idx val="2"/>
            <c:bubble3D val="0"/>
            <c:spPr>
              <a:gradFill rotWithShape="1">
                <a:gsLst>
                  <a:gs pos="0">
                    <a:schemeClr val="accent3">
                      <a:tint val="50000"/>
                      <a:satMod val="300000"/>
                    </a:schemeClr>
                  </a:gs>
                  <a:gs pos="35000">
                    <a:schemeClr val="accent3">
                      <a:tint val="37000"/>
                      <a:satMod val="300000"/>
                    </a:schemeClr>
                  </a:gs>
                  <a:gs pos="100000">
                    <a:schemeClr val="accent3">
                      <a:tint val="15000"/>
                      <a:satMod val="350000"/>
                    </a:schemeClr>
                  </a:gs>
                </a:gsLst>
                <a:lin ang="16200000" scaled="1"/>
              </a:gradFill>
              <a:ln w="9525" cap="flat" cmpd="sng" algn="ctr">
                <a:solidFill>
                  <a:schemeClr val="accent3">
                    <a:shade val="95000"/>
                  </a:schemeClr>
                </a:solidFill>
                <a:round/>
              </a:ln>
              <a:effectLst>
                <a:outerShdw blurRad="40000" dist="20000" dir="5400000" rotWithShape="0">
                  <a:srgbClr val="000000">
                    <a:alpha val="38000"/>
                  </a:srgbClr>
                </a:outerShdw>
              </a:effectLst>
            </c:spPr>
            <c:extLst>
              <c:ext xmlns:c16="http://schemas.microsoft.com/office/drawing/2014/chart" uri="{C3380CC4-5D6E-409C-BE32-E72D297353CC}">
                <c16:uniqueId val="{00000005-1C89-44F0-84D0-778BA3C76980}"/>
              </c:ext>
            </c:extLst>
          </c:dPt>
          <c:dPt>
            <c:idx val="3"/>
            <c:bubble3D val="0"/>
            <c:spPr>
              <a:gradFill rotWithShape="1">
                <a:gsLst>
                  <a:gs pos="0">
                    <a:schemeClr val="accent4">
                      <a:tint val="50000"/>
                      <a:satMod val="300000"/>
                    </a:schemeClr>
                  </a:gs>
                  <a:gs pos="35000">
                    <a:schemeClr val="accent4">
                      <a:tint val="37000"/>
                      <a:satMod val="300000"/>
                    </a:schemeClr>
                  </a:gs>
                  <a:gs pos="100000">
                    <a:schemeClr val="accent4">
                      <a:tint val="15000"/>
                      <a:satMod val="350000"/>
                    </a:schemeClr>
                  </a:gs>
                </a:gsLst>
                <a:lin ang="16200000" scaled="1"/>
              </a:gradFill>
              <a:ln w="9525" cap="flat" cmpd="sng" algn="ctr">
                <a:solidFill>
                  <a:schemeClr val="accent4">
                    <a:shade val="95000"/>
                  </a:schemeClr>
                </a:solidFill>
                <a:round/>
              </a:ln>
              <a:effectLst>
                <a:outerShdw blurRad="40000" dist="20000" dir="5400000" rotWithShape="0">
                  <a:srgbClr val="000000">
                    <a:alpha val="38000"/>
                  </a:srgbClr>
                </a:outerShdw>
              </a:effectLst>
            </c:spPr>
            <c:extLst>
              <c:ext xmlns:c16="http://schemas.microsoft.com/office/drawing/2014/chart" uri="{C3380CC4-5D6E-409C-BE32-E72D297353CC}">
                <c16:uniqueId val="{00000007-1C89-44F0-84D0-778BA3C76980}"/>
              </c:ext>
            </c:extLst>
          </c:dPt>
          <c:dPt>
            <c:idx val="4"/>
            <c:bubble3D val="0"/>
            <c:spPr>
              <a:gradFill rotWithShape="1">
                <a:gsLst>
                  <a:gs pos="0">
                    <a:schemeClr val="accent5">
                      <a:tint val="50000"/>
                      <a:satMod val="300000"/>
                    </a:schemeClr>
                  </a:gs>
                  <a:gs pos="35000">
                    <a:schemeClr val="accent5">
                      <a:tint val="37000"/>
                      <a:satMod val="300000"/>
                    </a:schemeClr>
                  </a:gs>
                  <a:gs pos="100000">
                    <a:schemeClr val="accent5">
                      <a:tint val="15000"/>
                      <a:satMod val="350000"/>
                    </a:schemeClr>
                  </a:gs>
                </a:gsLst>
                <a:lin ang="16200000" scaled="1"/>
              </a:gradFill>
              <a:ln w="9525" cap="flat" cmpd="sng" algn="ctr">
                <a:solidFill>
                  <a:schemeClr val="accent5">
                    <a:shade val="95000"/>
                  </a:schemeClr>
                </a:solidFill>
                <a:round/>
              </a:ln>
              <a:effectLst>
                <a:outerShdw blurRad="40000" dist="20000" dir="5400000" rotWithShape="0">
                  <a:srgbClr val="000000">
                    <a:alpha val="38000"/>
                  </a:srgbClr>
                </a:outerShdw>
              </a:effectLst>
            </c:spPr>
            <c:extLst>
              <c:ext xmlns:c16="http://schemas.microsoft.com/office/drawing/2014/chart" uri="{C3380CC4-5D6E-409C-BE32-E72D297353CC}">
                <c16:uniqueId val="{00000009-1C89-44F0-84D0-778BA3C76980}"/>
              </c:ext>
            </c:extLst>
          </c:dPt>
          <c:dLbls>
            <c:dLbl>
              <c:idx val="0"/>
              <c:numFmt formatCode="0.0%" sourceLinked="0"/>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65000"/>
                          <a:lumOff val="35000"/>
                        </a:schemeClr>
                      </a:solidFill>
                      <a:latin typeface="+mn-lt"/>
                      <a:ea typeface="+mn-ea"/>
                      <a:cs typeface="+mn-cs"/>
                    </a:defRPr>
                  </a:pPr>
                  <a:endParaRPr lang="ja-JP"/>
                </a:p>
              </c:txPr>
              <c:dLblPos val="bestFit"/>
              <c:showLegendKey val="0"/>
              <c:showVal val="1"/>
              <c:showCatName val="1"/>
              <c:showSerName val="0"/>
              <c:showPercent val="1"/>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1-1C89-44F0-84D0-778BA3C76980}"/>
                </c:ext>
              </c:extLst>
            </c:dLbl>
            <c:dLbl>
              <c:idx val="2"/>
              <c:layout>
                <c:manualLayout>
                  <c:x val="0.11914289077212806"/>
                  <c:y val="-0.21606543209876544"/>
                </c:manualLayout>
              </c:layout>
              <c:dLblPos val="bestFit"/>
              <c:showLegendKey val="0"/>
              <c:showVal val="1"/>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5-1C89-44F0-84D0-778BA3C76980}"/>
                </c:ext>
              </c:extLst>
            </c:dLbl>
            <c:dLbl>
              <c:idx val="4"/>
              <c:layout>
                <c:manualLayout>
                  <c:x val="-3.5997292843691096E-2"/>
                  <c:y val="3.9743209876543208E-2"/>
                </c:manualLayout>
              </c:layout>
              <c:tx>
                <c:rich>
                  <a:bodyPr/>
                  <a:lstStyle/>
                  <a:p>
                    <a:r>
                      <a:rPr lang="ja-JP" altLang="en-US" baseline="0"/>
                      <a:t>病状（主症状）が落ち着き、入院によらない形で治療ができる程度まで回復</a:t>
                    </a:r>
                  </a:p>
                  <a:p>
                    <a:fld id="{7F0892E7-840C-4598-A7A2-E00560B6A5DD}" type="VALUE">
                      <a:rPr lang="ja-JP" altLang="en-US" baseline="0"/>
                      <a:pPr/>
                      <a:t>[値]</a:t>
                    </a:fld>
                    <a:endParaRPr lang="ja-JP" altLang="en-US" baseline="0"/>
                  </a:p>
                  <a:p>
                    <a:fld id="{06981F6A-4E2F-444E-A025-F19EAE412878}" type="PERCENTAGE">
                      <a:rPr lang="en-US" altLang="ja-JP" baseline="0"/>
                      <a:pPr/>
                      <a:t>[パーセンテージ]</a:t>
                    </a:fld>
                    <a:endParaRPr lang="ja-JP" altLang="en-US"/>
                  </a:p>
                </c:rich>
              </c:tx>
              <c:dLblPos val="bestFit"/>
              <c:showLegendKey val="0"/>
              <c:showVal val="1"/>
              <c:showCatName val="1"/>
              <c:showSerName val="0"/>
              <c:showPercent val="1"/>
              <c:showBubbleSize val="0"/>
              <c:separator>
</c:separator>
              <c:extLst>
                <c:ext xmlns:c15="http://schemas.microsoft.com/office/drawing/2012/chart" uri="{CE6537A1-D6FC-4f65-9D91-7224C49458BB}">
                  <c15:dlblFieldTable/>
                  <c15:showDataLabelsRange val="0"/>
                </c:ext>
                <c:ext xmlns:c16="http://schemas.microsoft.com/office/drawing/2014/chart" uri="{C3380CC4-5D6E-409C-BE32-E72D297353CC}">
                  <c16:uniqueId val="{00000009-1C89-44F0-84D0-778BA3C76980}"/>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ja-JP"/>
              </a:p>
            </c:txPr>
            <c:dLblPos val="bestFit"/>
            <c:showLegendKey val="0"/>
            <c:showVal val="1"/>
            <c:showCatName val="1"/>
            <c:showSerName val="0"/>
            <c:showPercent val="1"/>
            <c:showBubbleSize val="0"/>
            <c:separator>
</c:separator>
            <c:showLeaderLines val="1"/>
            <c:leaderLines>
              <c:spPr>
                <a:ln w="9525">
                  <a:solidFill>
                    <a:schemeClr val="tx1">
                      <a:lumMod val="35000"/>
                      <a:lumOff val="65000"/>
                    </a:schemeClr>
                  </a:solidFill>
                </a:ln>
                <a:effectLst/>
              </c:spPr>
            </c:leaderLines>
            <c:extLst>
              <c:ext xmlns:c15="http://schemas.microsoft.com/office/drawing/2012/chart" uri="{CE6537A1-D6FC-4f65-9D91-7224C49458BB}"/>
            </c:extLst>
          </c:dLbls>
          <c:cat>
            <c:strRef>
              <c:f>'グラフ(退院阻害要因＿１) '!$P$9:$P$12</c:f>
              <c:strCache>
                <c:ptCount val="4"/>
                <c:pt idx="0">
                  <c:v>病状（主症状）が不安定で入院による治療が必要</c:v>
                </c:pt>
                <c:pt idx="1">
                  <c:v>退院予定</c:v>
                </c:pt>
                <c:pt idx="2">
                  <c:v>退院阻害要因がある</c:v>
                </c:pt>
                <c:pt idx="3">
                  <c:v>退院阻害要因がない</c:v>
                </c:pt>
              </c:strCache>
            </c:strRef>
          </c:cat>
          <c:val>
            <c:numRef>
              <c:f>'グラフ(退院阻害要因＿１) '!$Q$9:$Q$12</c:f>
              <c:numCache>
                <c:formatCode>#,##0"人"</c:formatCode>
                <c:ptCount val="4"/>
                <c:pt idx="0">
                  <c:v>11300</c:v>
                </c:pt>
                <c:pt idx="1">
                  <c:v>1841</c:v>
                </c:pt>
                <c:pt idx="2">
                  <c:v>2318</c:v>
                </c:pt>
                <c:pt idx="3">
                  <c:v>196</c:v>
                </c:pt>
              </c:numCache>
            </c:numRef>
          </c:val>
          <c:extLst>
            <c:ext xmlns:c16="http://schemas.microsoft.com/office/drawing/2014/chart" uri="{C3380CC4-5D6E-409C-BE32-E72D297353CC}">
              <c16:uniqueId val="{0000000A-1C89-44F0-84D0-778BA3C76980}"/>
            </c:ext>
          </c:extLst>
        </c:ser>
        <c:dLbls>
          <c:showLegendKey val="0"/>
          <c:showVal val="0"/>
          <c:showCatName val="0"/>
          <c:showSerName val="0"/>
          <c:showPercent val="0"/>
          <c:showBubbleSize val="0"/>
          <c:showLeaderLines val="1"/>
        </c:dLbls>
        <c:gapWidth val="100"/>
        <c:secondPieSize val="75"/>
        <c:serLines>
          <c:spPr>
            <a:ln w="9525">
              <a:solidFill>
                <a:schemeClr val="tx1">
                  <a:lumMod val="35000"/>
                  <a:lumOff val="65000"/>
                </a:schemeClr>
              </a:solidFill>
              <a:prstDash val="dash"/>
            </a:ln>
            <a:effectLst/>
          </c:spPr>
        </c:serLines>
      </c:ofPieChart>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cap="none" spc="20" baseline="0">
                <a:solidFill>
                  <a:schemeClr val="tx1">
                    <a:lumMod val="50000"/>
                    <a:lumOff val="50000"/>
                  </a:schemeClr>
                </a:solidFill>
                <a:latin typeface="+mn-lt"/>
                <a:ea typeface="+mn-ea"/>
                <a:cs typeface="+mn-cs"/>
              </a:defRPr>
            </a:pPr>
            <a:r>
              <a:rPr lang="ja-JP" sz="1200" b="1"/>
              <a:t>退院阻害要因の有無</a:t>
            </a:r>
            <a:r>
              <a:rPr lang="ja-JP" altLang="en-US" sz="1200" b="1"/>
              <a:t>＿</a:t>
            </a:r>
            <a:r>
              <a:rPr lang="en-US" altLang="ja-JP" sz="1200" b="1"/>
              <a:t>1</a:t>
            </a:r>
            <a:r>
              <a:rPr lang="ja-JP" altLang="en-US" sz="1200" b="1"/>
              <a:t>年以上　寛解・院内寛解群</a:t>
            </a:r>
            <a:endParaRPr lang="ja-JP" sz="1200" b="1"/>
          </a:p>
        </c:rich>
      </c:tx>
      <c:layout>
        <c:manualLayout>
          <c:xMode val="edge"/>
          <c:yMode val="edge"/>
          <c:x val="0.12753567378198905"/>
          <c:y val="2.2882740324149081E-2"/>
        </c:manualLayout>
      </c:layout>
      <c:overlay val="0"/>
      <c:spPr>
        <a:noFill/>
        <a:ln>
          <a:noFill/>
        </a:ln>
        <a:effectLst/>
      </c:spPr>
      <c:txPr>
        <a:bodyPr rot="0" spcFirstLastPara="1" vertOverflow="ellipsis" vert="horz" wrap="square" anchor="ctr" anchorCtr="1"/>
        <a:lstStyle/>
        <a:p>
          <a:pPr>
            <a:defRPr sz="1200" b="1" i="0" u="none" strike="noStrike" kern="1200" cap="none" spc="20" baseline="0">
              <a:solidFill>
                <a:schemeClr val="tx1">
                  <a:lumMod val="50000"/>
                  <a:lumOff val="50000"/>
                </a:schemeClr>
              </a:solidFill>
              <a:latin typeface="+mn-lt"/>
              <a:ea typeface="+mn-ea"/>
              <a:cs typeface="+mn-cs"/>
            </a:defRPr>
          </a:pPr>
          <a:endParaRPr lang="ja-JP"/>
        </a:p>
      </c:txPr>
    </c:title>
    <c:autoTitleDeleted val="0"/>
    <c:plotArea>
      <c:layout>
        <c:manualLayout>
          <c:layoutTarget val="inner"/>
          <c:xMode val="edge"/>
          <c:yMode val="edge"/>
          <c:x val="6.9531712199843887E-2"/>
          <c:y val="0.19912972222222222"/>
          <c:w val="0.87222222222222212"/>
          <c:h val="0.74600129172335139"/>
        </c:manualLayout>
      </c:layout>
      <c:ofPieChart>
        <c:ofPieType val="pie"/>
        <c:varyColors val="1"/>
        <c:ser>
          <c:idx val="0"/>
          <c:order val="0"/>
          <c:dPt>
            <c:idx val="0"/>
            <c:bubble3D val="0"/>
            <c:spPr>
              <a:gradFill rotWithShape="1">
                <a:gsLst>
                  <a:gs pos="0">
                    <a:schemeClr val="accent1">
                      <a:tint val="50000"/>
                      <a:satMod val="300000"/>
                    </a:schemeClr>
                  </a:gs>
                  <a:gs pos="35000">
                    <a:schemeClr val="accent1">
                      <a:tint val="37000"/>
                      <a:satMod val="300000"/>
                    </a:schemeClr>
                  </a:gs>
                  <a:gs pos="100000">
                    <a:schemeClr val="accent1">
                      <a:tint val="15000"/>
                      <a:satMod val="350000"/>
                    </a:schemeClr>
                  </a:gs>
                </a:gsLst>
                <a:lin ang="16200000" scaled="1"/>
              </a:gradFill>
              <a:ln w="9525" cap="flat" cmpd="sng" algn="ctr">
                <a:solidFill>
                  <a:schemeClr val="accent1">
                    <a:shade val="95000"/>
                  </a:schemeClr>
                </a:solidFill>
                <a:round/>
              </a:ln>
              <a:effectLst>
                <a:outerShdw blurRad="40000" dist="20000" dir="5400000" rotWithShape="0">
                  <a:srgbClr val="000000">
                    <a:alpha val="38000"/>
                  </a:srgbClr>
                </a:outerShdw>
              </a:effectLst>
            </c:spPr>
            <c:extLst>
              <c:ext xmlns:c16="http://schemas.microsoft.com/office/drawing/2014/chart" uri="{C3380CC4-5D6E-409C-BE32-E72D297353CC}">
                <c16:uniqueId val="{00000001-5B7A-41BE-A599-6FBD5DED398A}"/>
              </c:ext>
            </c:extLst>
          </c:dPt>
          <c:dPt>
            <c:idx val="1"/>
            <c:bubble3D val="0"/>
            <c:spPr>
              <a:gradFill rotWithShape="1">
                <a:gsLst>
                  <a:gs pos="0">
                    <a:schemeClr val="accent2">
                      <a:tint val="50000"/>
                      <a:satMod val="300000"/>
                    </a:schemeClr>
                  </a:gs>
                  <a:gs pos="35000">
                    <a:schemeClr val="accent2">
                      <a:tint val="37000"/>
                      <a:satMod val="300000"/>
                    </a:schemeClr>
                  </a:gs>
                  <a:gs pos="100000">
                    <a:schemeClr val="accent2">
                      <a:tint val="15000"/>
                      <a:satMod val="350000"/>
                    </a:schemeClr>
                  </a:gs>
                </a:gsLst>
                <a:lin ang="16200000" scaled="1"/>
              </a:gradFill>
              <a:ln w="9525" cap="flat" cmpd="sng" algn="ctr">
                <a:solidFill>
                  <a:schemeClr val="accent2">
                    <a:shade val="95000"/>
                  </a:schemeClr>
                </a:solidFill>
                <a:round/>
              </a:ln>
              <a:effectLst>
                <a:outerShdw blurRad="40000" dist="20000" dir="5400000" rotWithShape="0">
                  <a:srgbClr val="000000">
                    <a:alpha val="38000"/>
                  </a:srgbClr>
                </a:outerShdw>
              </a:effectLst>
            </c:spPr>
            <c:extLst>
              <c:ext xmlns:c16="http://schemas.microsoft.com/office/drawing/2014/chart" uri="{C3380CC4-5D6E-409C-BE32-E72D297353CC}">
                <c16:uniqueId val="{00000003-5B7A-41BE-A599-6FBD5DED398A}"/>
              </c:ext>
            </c:extLst>
          </c:dPt>
          <c:dPt>
            <c:idx val="2"/>
            <c:bubble3D val="0"/>
            <c:spPr>
              <a:gradFill rotWithShape="1">
                <a:gsLst>
                  <a:gs pos="0">
                    <a:schemeClr val="accent3">
                      <a:tint val="50000"/>
                      <a:satMod val="300000"/>
                    </a:schemeClr>
                  </a:gs>
                  <a:gs pos="35000">
                    <a:schemeClr val="accent3">
                      <a:tint val="37000"/>
                      <a:satMod val="300000"/>
                    </a:schemeClr>
                  </a:gs>
                  <a:gs pos="100000">
                    <a:schemeClr val="accent3">
                      <a:tint val="15000"/>
                      <a:satMod val="350000"/>
                    </a:schemeClr>
                  </a:gs>
                </a:gsLst>
                <a:lin ang="16200000" scaled="1"/>
              </a:gradFill>
              <a:ln w="9525" cap="flat" cmpd="sng" algn="ctr">
                <a:solidFill>
                  <a:schemeClr val="accent3">
                    <a:shade val="95000"/>
                  </a:schemeClr>
                </a:solidFill>
                <a:round/>
              </a:ln>
              <a:effectLst>
                <a:outerShdw blurRad="40000" dist="20000" dir="5400000" rotWithShape="0">
                  <a:srgbClr val="000000">
                    <a:alpha val="38000"/>
                  </a:srgbClr>
                </a:outerShdw>
              </a:effectLst>
            </c:spPr>
            <c:extLst>
              <c:ext xmlns:c16="http://schemas.microsoft.com/office/drawing/2014/chart" uri="{C3380CC4-5D6E-409C-BE32-E72D297353CC}">
                <c16:uniqueId val="{00000005-5B7A-41BE-A599-6FBD5DED398A}"/>
              </c:ext>
            </c:extLst>
          </c:dPt>
          <c:dPt>
            <c:idx val="3"/>
            <c:bubble3D val="0"/>
            <c:spPr>
              <a:gradFill rotWithShape="1">
                <a:gsLst>
                  <a:gs pos="0">
                    <a:schemeClr val="accent4">
                      <a:tint val="50000"/>
                      <a:satMod val="300000"/>
                    </a:schemeClr>
                  </a:gs>
                  <a:gs pos="35000">
                    <a:schemeClr val="accent4">
                      <a:tint val="37000"/>
                      <a:satMod val="300000"/>
                    </a:schemeClr>
                  </a:gs>
                  <a:gs pos="100000">
                    <a:schemeClr val="accent4">
                      <a:tint val="15000"/>
                      <a:satMod val="350000"/>
                    </a:schemeClr>
                  </a:gs>
                </a:gsLst>
                <a:lin ang="16200000" scaled="1"/>
              </a:gradFill>
              <a:ln w="9525" cap="flat" cmpd="sng" algn="ctr">
                <a:solidFill>
                  <a:schemeClr val="accent4">
                    <a:shade val="95000"/>
                  </a:schemeClr>
                </a:solidFill>
                <a:round/>
              </a:ln>
              <a:effectLst>
                <a:outerShdw blurRad="40000" dist="20000" dir="5400000" rotWithShape="0">
                  <a:srgbClr val="000000">
                    <a:alpha val="38000"/>
                  </a:srgbClr>
                </a:outerShdw>
              </a:effectLst>
            </c:spPr>
            <c:extLst>
              <c:ext xmlns:c16="http://schemas.microsoft.com/office/drawing/2014/chart" uri="{C3380CC4-5D6E-409C-BE32-E72D297353CC}">
                <c16:uniqueId val="{00000007-5B7A-41BE-A599-6FBD5DED398A}"/>
              </c:ext>
            </c:extLst>
          </c:dPt>
          <c:dPt>
            <c:idx val="4"/>
            <c:bubble3D val="0"/>
            <c:spPr>
              <a:gradFill rotWithShape="1">
                <a:gsLst>
                  <a:gs pos="0">
                    <a:schemeClr val="accent5">
                      <a:tint val="50000"/>
                      <a:satMod val="300000"/>
                    </a:schemeClr>
                  </a:gs>
                  <a:gs pos="35000">
                    <a:schemeClr val="accent5">
                      <a:tint val="37000"/>
                      <a:satMod val="300000"/>
                    </a:schemeClr>
                  </a:gs>
                  <a:gs pos="100000">
                    <a:schemeClr val="accent5">
                      <a:tint val="15000"/>
                      <a:satMod val="350000"/>
                    </a:schemeClr>
                  </a:gs>
                </a:gsLst>
                <a:lin ang="16200000" scaled="1"/>
              </a:gradFill>
              <a:ln w="9525" cap="flat" cmpd="sng" algn="ctr">
                <a:solidFill>
                  <a:schemeClr val="accent5">
                    <a:shade val="95000"/>
                  </a:schemeClr>
                </a:solidFill>
                <a:round/>
              </a:ln>
              <a:effectLst>
                <a:outerShdw blurRad="40000" dist="20000" dir="5400000" rotWithShape="0">
                  <a:srgbClr val="000000">
                    <a:alpha val="38000"/>
                  </a:srgbClr>
                </a:outerShdw>
              </a:effectLst>
            </c:spPr>
            <c:extLst>
              <c:ext xmlns:c16="http://schemas.microsoft.com/office/drawing/2014/chart" uri="{C3380CC4-5D6E-409C-BE32-E72D297353CC}">
                <c16:uniqueId val="{00000009-5B7A-41BE-A599-6FBD5DED398A}"/>
              </c:ext>
            </c:extLst>
          </c:dPt>
          <c:dLbls>
            <c:dLbl>
              <c:idx val="4"/>
              <c:tx>
                <c:rich>
                  <a:bodyPr/>
                  <a:lstStyle/>
                  <a:p>
                    <a:r>
                      <a:rPr lang="ja-JP" altLang="en-US" baseline="0"/>
                      <a:t>病状（主症状）が落ち着き、入院によらない形で治療ができる程度まで回復</a:t>
                    </a:r>
                  </a:p>
                  <a:p>
                    <a:fld id="{599181A0-E3F6-4864-A070-B120CBE38657}" type="VALUE">
                      <a:rPr lang="ja-JP" altLang="en-US" baseline="0"/>
                      <a:pPr/>
                      <a:t>[値]</a:t>
                    </a:fld>
                    <a:endParaRPr lang="ja-JP" altLang="en-US" baseline="0"/>
                  </a:p>
                  <a:p>
                    <a:fld id="{06EA2244-7612-4771-8098-D5BBB153D990}" type="PERCENTAGE">
                      <a:rPr lang="en-US" altLang="ja-JP" baseline="0"/>
                      <a:pPr/>
                      <a:t>[パーセンテージ]</a:t>
                    </a:fld>
                    <a:endParaRPr lang="ja-JP" altLang="en-US"/>
                  </a:p>
                </c:rich>
              </c:tx>
              <c:dLblPos val="bestFit"/>
              <c:showLegendKey val="0"/>
              <c:showVal val="1"/>
              <c:showCatName val="1"/>
              <c:showSerName val="0"/>
              <c:showPercent val="1"/>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9-5B7A-41BE-A599-6FBD5DED398A}"/>
                </c:ext>
              </c:extLst>
            </c:dLbl>
            <c:numFmt formatCode="0.0%" sourceLinked="0"/>
            <c:spPr>
              <a:noFill/>
              <a:ln>
                <a:noFill/>
              </a:ln>
              <a:effectLst/>
            </c:spPr>
            <c:txPr>
              <a:bodyPr rot="0" spcFirstLastPara="1" vertOverflow="overflow" horzOverflow="overflow"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ja-JP"/>
              </a:p>
            </c:txPr>
            <c:dLblPos val="bestFit"/>
            <c:showLegendKey val="0"/>
            <c:showVal val="1"/>
            <c:showCatName val="1"/>
            <c:showSerName val="0"/>
            <c:showPercent val="1"/>
            <c:showBubbleSize val="0"/>
            <c:separator>
</c:separator>
            <c:showLeaderLines val="1"/>
            <c:leaderLines>
              <c:spPr>
                <a:ln w="9525">
                  <a:solidFill>
                    <a:schemeClr val="tx1">
                      <a:lumMod val="35000"/>
                      <a:lumOff val="65000"/>
                    </a:schemeClr>
                  </a:solidFill>
                </a:ln>
                <a:effectLst/>
              </c:spPr>
            </c:leaderLines>
            <c:extLst>
              <c:ext xmlns:c15="http://schemas.microsoft.com/office/drawing/2012/chart" uri="{CE6537A1-D6FC-4f65-9D91-7224C49458BB}"/>
            </c:extLst>
          </c:dLbls>
          <c:cat>
            <c:strRef>
              <c:f>'グラフ(退院阻害要因＿１) '!$P$9:$P$12</c:f>
              <c:strCache>
                <c:ptCount val="4"/>
                <c:pt idx="0">
                  <c:v>病状（主症状）が不安定で入院による治療が必要</c:v>
                </c:pt>
                <c:pt idx="1">
                  <c:v>退院予定</c:v>
                </c:pt>
                <c:pt idx="2">
                  <c:v>退院阻害要因がある</c:v>
                </c:pt>
                <c:pt idx="3">
                  <c:v>退院阻害要因がない</c:v>
                </c:pt>
              </c:strCache>
            </c:strRef>
          </c:cat>
          <c:val>
            <c:numRef>
              <c:f>'グラフ(退院阻害要因＿１) '!$S$9:$S$12</c:f>
              <c:numCache>
                <c:formatCode>#,##0"人"</c:formatCode>
                <c:ptCount val="4"/>
                <c:pt idx="0">
                  <c:v>60</c:v>
                </c:pt>
                <c:pt idx="1">
                  <c:v>96</c:v>
                </c:pt>
                <c:pt idx="2">
                  <c:v>403</c:v>
                </c:pt>
                <c:pt idx="3">
                  <c:v>14</c:v>
                </c:pt>
              </c:numCache>
            </c:numRef>
          </c:val>
          <c:extLst>
            <c:ext xmlns:c15="http://schemas.microsoft.com/office/drawing/2012/chart" uri="{02D57815-91ED-43cb-92C2-25804820EDAC}">
              <c15:datalabelsRange>
                <c15:f>'グラフ(退院阻害要因＿１) '!$I$3:$I$5</c15:f>
                <c15:dlblRangeCache>
                  <c:ptCount val="3"/>
                  <c:pt idx="0">
                    <c:v>病状（主症状）が落ち着き、入院によらない形で治療ができる程度まで回復</c:v>
                  </c:pt>
                  <c:pt idx="1">
                    <c:v>病状（主症状）が不安定で入院による治療が必要</c:v>
                  </c:pt>
                  <c:pt idx="2">
                    <c:v>退院予定</c:v>
                  </c:pt>
                </c15:dlblRangeCache>
              </c15:datalabelsRange>
            </c:ext>
            <c:ext xmlns:c16="http://schemas.microsoft.com/office/drawing/2014/chart" uri="{C3380CC4-5D6E-409C-BE32-E72D297353CC}">
              <c16:uniqueId val="{0000000A-5B7A-41BE-A599-6FBD5DED398A}"/>
            </c:ext>
          </c:extLst>
        </c:ser>
        <c:dLbls>
          <c:showLegendKey val="0"/>
          <c:showVal val="0"/>
          <c:showCatName val="0"/>
          <c:showSerName val="0"/>
          <c:showPercent val="0"/>
          <c:showBubbleSize val="0"/>
          <c:showLeaderLines val="1"/>
        </c:dLbls>
        <c:gapWidth val="100"/>
        <c:secondPieSize val="75"/>
        <c:serLines>
          <c:spPr>
            <a:ln w="9525">
              <a:solidFill>
                <a:schemeClr val="tx1">
                  <a:lumMod val="35000"/>
                  <a:lumOff val="65000"/>
                </a:schemeClr>
              </a:solidFill>
              <a:prstDash val="dash"/>
            </a:ln>
            <a:effectLst/>
          </c:spPr>
        </c:serLines>
      </c:ofPieChart>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orientation="portrait"/>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none" spc="20" baseline="0">
                <a:solidFill>
                  <a:schemeClr val="tx1">
                    <a:lumMod val="50000"/>
                    <a:lumOff val="50000"/>
                  </a:schemeClr>
                </a:solidFill>
                <a:latin typeface="+mn-lt"/>
                <a:ea typeface="+mn-ea"/>
                <a:cs typeface="+mn-cs"/>
              </a:defRPr>
            </a:pPr>
            <a:r>
              <a:rPr lang="ja-JP" b="1"/>
              <a:t>退院予定の有無</a:t>
            </a:r>
          </a:p>
        </c:rich>
      </c:tx>
      <c:overlay val="0"/>
      <c:spPr>
        <a:noFill/>
        <a:ln>
          <a:noFill/>
        </a:ln>
        <a:effectLst/>
      </c:spPr>
      <c:txPr>
        <a:bodyPr rot="0" spcFirstLastPara="1" vertOverflow="ellipsis" vert="horz" wrap="square" anchor="ctr" anchorCtr="1"/>
        <a:lstStyle/>
        <a:p>
          <a:pPr>
            <a:defRPr sz="1400" b="1" i="0" u="none" strike="noStrike" kern="1200" cap="none" spc="20" baseline="0">
              <a:solidFill>
                <a:schemeClr val="tx1">
                  <a:lumMod val="50000"/>
                  <a:lumOff val="50000"/>
                </a:schemeClr>
              </a:solidFill>
              <a:latin typeface="+mn-lt"/>
              <a:ea typeface="+mn-ea"/>
              <a:cs typeface="+mn-cs"/>
            </a:defRPr>
          </a:pPr>
          <a:endParaRPr lang="ja-JP"/>
        </a:p>
      </c:txPr>
    </c:title>
    <c:autoTitleDeleted val="0"/>
    <c:plotArea>
      <c:layout>
        <c:manualLayout>
          <c:layoutTarget val="inner"/>
          <c:xMode val="edge"/>
          <c:yMode val="edge"/>
          <c:x val="0.23362970809792846"/>
          <c:y val="0.29219135802469137"/>
          <c:w val="0.53694268608580786"/>
          <c:h val="0.58126578517307981"/>
        </c:manualLayout>
      </c:layout>
      <c:pieChart>
        <c:varyColors val="1"/>
        <c:ser>
          <c:idx val="0"/>
          <c:order val="0"/>
          <c:dPt>
            <c:idx val="0"/>
            <c:bubble3D val="0"/>
            <c:spPr>
              <a:gradFill rotWithShape="1">
                <a:gsLst>
                  <a:gs pos="0">
                    <a:schemeClr val="accent1">
                      <a:tint val="50000"/>
                      <a:satMod val="300000"/>
                    </a:schemeClr>
                  </a:gs>
                  <a:gs pos="35000">
                    <a:schemeClr val="accent1">
                      <a:tint val="37000"/>
                      <a:satMod val="300000"/>
                    </a:schemeClr>
                  </a:gs>
                  <a:gs pos="100000">
                    <a:schemeClr val="accent1">
                      <a:tint val="15000"/>
                      <a:satMod val="350000"/>
                    </a:schemeClr>
                  </a:gs>
                </a:gsLst>
                <a:lin ang="16200000" scaled="1"/>
              </a:gradFill>
              <a:ln w="9525" cap="flat" cmpd="sng" algn="ctr">
                <a:solidFill>
                  <a:schemeClr val="accent1">
                    <a:shade val="95000"/>
                  </a:schemeClr>
                </a:solidFill>
                <a:round/>
              </a:ln>
              <a:effectLst>
                <a:outerShdw blurRad="40000" dist="20000" dir="5400000" rotWithShape="0">
                  <a:srgbClr val="000000">
                    <a:alpha val="38000"/>
                  </a:srgbClr>
                </a:outerShdw>
              </a:effectLst>
            </c:spPr>
            <c:extLst>
              <c:ext xmlns:c16="http://schemas.microsoft.com/office/drawing/2014/chart" uri="{C3380CC4-5D6E-409C-BE32-E72D297353CC}">
                <c16:uniqueId val="{00000001-2B92-4CD4-90AA-2F1A93583109}"/>
              </c:ext>
            </c:extLst>
          </c:dPt>
          <c:dPt>
            <c:idx val="1"/>
            <c:bubble3D val="0"/>
            <c:spPr>
              <a:gradFill rotWithShape="1">
                <a:gsLst>
                  <a:gs pos="0">
                    <a:schemeClr val="accent2">
                      <a:tint val="50000"/>
                      <a:satMod val="300000"/>
                    </a:schemeClr>
                  </a:gs>
                  <a:gs pos="35000">
                    <a:schemeClr val="accent2">
                      <a:tint val="37000"/>
                      <a:satMod val="300000"/>
                    </a:schemeClr>
                  </a:gs>
                  <a:gs pos="100000">
                    <a:schemeClr val="accent2">
                      <a:tint val="15000"/>
                      <a:satMod val="350000"/>
                    </a:schemeClr>
                  </a:gs>
                </a:gsLst>
                <a:lin ang="16200000" scaled="1"/>
              </a:gradFill>
              <a:ln w="9525" cap="flat" cmpd="sng" algn="ctr">
                <a:solidFill>
                  <a:schemeClr val="accent2">
                    <a:shade val="95000"/>
                  </a:schemeClr>
                </a:solidFill>
                <a:round/>
              </a:ln>
              <a:effectLst>
                <a:outerShdw blurRad="40000" dist="20000" dir="5400000" rotWithShape="0">
                  <a:srgbClr val="000000">
                    <a:alpha val="38000"/>
                  </a:srgbClr>
                </a:outerShdw>
              </a:effectLst>
            </c:spPr>
            <c:extLst>
              <c:ext xmlns:c16="http://schemas.microsoft.com/office/drawing/2014/chart" uri="{C3380CC4-5D6E-409C-BE32-E72D297353CC}">
                <c16:uniqueId val="{00000003-2B92-4CD4-90AA-2F1A93583109}"/>
              </c:ext>
            </c:extLst>
          </c:dPt>
          <c:dPt>
            <c:idx val="2"/>
            <c:bubble3D val="0"/>
            <c:spPr>
              <a:gradFill rotWithShape="1">
                <a:gsLst>
                  <a:gs pos="0">
                    <a:schemeClr val="accent3">
                      <a:tint val="50000"/>
                      <a:satMod val="300000"/>
                    </a:schemeClr>
                  </a:gs>
                  <a:gs pos="35000">
                    <a:schemeClr val="accent3">
                      <a:tint val="37000"/>
                      <a:satMod val="300000"/>
                    </a:schemeClr>
                  </a:gs>
                  <a:gs pos="100000">
                    <a:schemeClr val="accent3">
                      <a:tint val="15000"/>
                      <a:satMod val="350000"/>
                    </a:schemeClr>
                  </a:gs>
                </a:gsLst>
                <a:lin ang="16200000" scaled="1"/>
              </a:gradFill>
              <a:ln w="9525" cap="flat" cmpd="sng" algn="ctr">
                <a:solidFill>
                  <a:schemeClr val="accent3">
                    <a:shade val="95000"/>
                  </a:schemeClr>
                </a:solidFill>
                <a:round/>
              </a:ln>
              <a:effectLst>
                <a:outerShdw blurRad="40000" dist="20000" dir="5400000" rotWithShape="0">
                  <a:srgbClr val="000000">
                    <a:alpha val="38000"/>
                  </a:srgbClr>
                </a:outerShdw>
              </a:effectLst>
            </c:spPr>
            <c:extLst>
              <c:ext xmlns:c16="http://schemas.microsoft.com/office/drawing/2014/chart" uri="{C3380CC4-5D6E-409C-BE32-E72D297353CC}">
                <c16:uniqueId val="{00000005-2B92-4CD4-90AA-2F1A93583109}"/>
              </c:ext>
            </c:extLst>
          </c:dPt>
          <c:dLbls>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ja-JP"/>
              </a:p>
            </c:txPr>
            <c:dLblPos val="bestFit"/>
            <c:showLegendKey val="0"/>
            <c:showVal val="1"/>
            <c:showCatName val="1"/>
            <c:showSerName val="0"/>
            <c:showPercent val="1"/>
            <c:showBubbleSize val="0"/>
            <c:separator>, </c:separator>
            <c:showLeaderLines val="1"/>
            <c:leaderLines>
              <c:spPr>
                <a:ln w="9525">
                  <a:solidFill>
                    <a:schemeClr val="tx1">
                      <a:lumMod val="35000"/>
                      <a:lumOff val="65000"/>
                    </a:schemeClr>
                  </a:solidFill>
                </a:ln>
                <a:effectLst/>
              </c:spPr>
            </c:leaderLines>
            <c:extLst>
              <c:ext xmlns:c15="http://schemas.microsoft.com/office/drawing/2012/chart" uri="{CE6537A1-D6FC-4f65-9D91-7224C49458BB}"/>
            </c:extLst>
          </c:dLbls>
          <c:cat>
            <c:strRef>
              <c:f>'グラフ(退院阻害要因＿１) '!$I$3:$I$5</c:f>
              <c:strCache>
                <c:ptCount val="3"/>
                <c:pt idx="0">
                  <c:v>病状（主症状）が落ち着き、入院によらない形で治療ができる程度まで回復</c:v>
                </c:pt>
                <c:pt idx="1">
                  <c:v>病状（主症状）が不安定で入院による治療が必要</c:v>
                </c:pt>
                <c:pt idx="2">
                  <c:v>退院予定</c:v>
                </c:pt>
              </c:strCache>
            </c:strRef>
          </c:cat>
          <c:val>
            <c:numRef>
              <c:f>'グラフ(退院阻害要因＿１) '!$J$3:$J$5</c:f>
              <c:numCache>
                <c:formatCode>#,##0"人"</c:formatCode>
                <c:ptCount val="3"/>
                <c:pt idx="0">
                  <c:v>2514</c:v>
                </c:pt>
                <c:pt idx="1">
                  <c:v>11300</c:v>
                </c:pt>
                <c:pt idx="2">
                  <c:v>1841</c:v>
                </c:pt>
              </c:numCache>
            </c:numRef>
          </c:val>
          <c:extLst>
            <c:ext xmlns:c16="http://schemas.microsoft.com/office/drawing/2014/chart" uri="{C3380CC4-5D6E-409C-BE32-E72D297353CC}">
              <c16:uniqueId val="{00000006-2B92-4CD4-90AA-2F1A93583109}"/>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orientation="portrait"/>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none" spc="20" baseline="0">
                <a:solidFill>
                  <a:schemeClr val="tx1">
                    <a:lumMod val="50000"/>
                    <a:lumOff val="50000"/>
                  </a:schemeClr>
                </a:solidFill>
                <a:latin typeface="+mn-lt"/>
                <a:ea typeface="+mn-ea"/>
                <a:cs typeface="+mn-cs"/>
              </a:defRPr>
            </a:pPr>
            <a:r>
              <a:rPr lang="ja-JP" b="1"/>
              <a:t>退院予定の有無（</a:t>
            </a:r>
            <a:r>
              <a:rPr lang="en-US" b="1"/>
              <a:t>1</a:t>
            </a:r>
            <a:r>
              <a:rPr lang="ja-JP" b="1"/>
              <a:t>年以上寛解・院内寛解群）</a:t>
            </a:r>
          </a:p>
        </c:rich>
      </c:tx>
      <c:overlay val="0"/>
      <c:spPr>
        <a:noFill/>
        <a:ln>
          <a:noFill/>
        </a:ln>
        <a:effectLst/>
      </c:spPr>
      <c:txPr>
        <a:bodyPr rot="0" spcFirstLastPara="1" vertOverflow="ellipsis" vert="horz" wrap="square" anchor="ctr" anchorCtr="1"/>
        <a:lstStyle/>
        <a:p>
          <a:pPr>
            <a:defRPr sz="1400" b="1" i="0" u="none" strike="noStrike" kern="1200" cap="none" spc="20" baseline="0">
              <a:solidFill>
                <a:schemeClr val="tx1">
                  <a:lumMod val="50000"/>
                  <a:lumOff val="50000"/>
                </a:schemeClr>
              </a:solidFill>
              <a:latin typeface="+mn-lt"/>
              <a:ea typeface="+mn-ea"/>
              <a:cs typeface="+mn-cs"/>
            </a:defRPr>
          </a:pPr>
          <a:endParaRPr lang="ja-JP"/>
        </a:p>
      </c:txPr>
    </c:title>
    <c:autoTitleDeleted val="0"/>
    <c:plotArea>
      <c:layout/>
      <c:pieChart>
        <c:varyColors val="1"/>
        <c:ser>
          <c:idx val="0"/>
          <c:order val="0"/>
          <c:explosion val="2"/>
          <c:dPt>
            <c:idx val="0"/>
            <c:bubble3D val="0"/>
            <c:spPr>
              <a:gradFill rotWithShape="1">
                <a:gsLst>
                  <a:gs pos="0">
                    <a:schemeClr val="accent1">
                      <a:tint val="50000"/>
                      <a:satMod val="300000"/>
                    </a:schemeClr>
                  </a:gs>
                  <a:gs pos="35000">
                    <a:schemeClr val="accent1">
                      <a:tint val="37000"/>
                      <a:satMod val="300000"/>
                    </a:schemeClr>
                  </a:gs>
                  <a:gs pos="100000">
                    <a:schemeClr val="accent1">
                      <a:tint val="15000"/>
                      <a:satMod val="350000"/>
                    </a:schemeClr>
                  </a:gs>
                </a:gsLst>
                <a:lin ang="16200000" scaled="1"/>
              </a:gradFill>
              <a:ln w="9525" cap="flat" cmpd="sng" algn="ctr">
                <a:solidFill>
                  <a:schemeClr val="accent1">
                    <a:shade val="95000"/>
                  </a:schemeClr>
                </a:solidFill>
                <a:round/>
              </a:ln>
              <a:effectLst>
                <a:outerShdw blurRad="40000" dist="20000" dir="5400000" rotWithShape="0">
                  <a:srgbClr val="000000">
                    <a:alpha val="38000"/>
                  </a:srgbClr>
                </a:outerShdw>
              </a:effectLst>
            </c:spPr>
            <c:extLst>
              <c:ext xmlns:c16="http://schemas.microsoft.com/office/drawing/2014/chart" uri="{C3380CC4-5D6E-409C-BE32-E72D297353CC}">
                <c16:uniqueId val="{00000001-ABFC-405E-8739-0649B48FAC54}"/>
              </c:ext>
            </c:extLst>
          </c:dPt>
          <c:dPt>
            <c:idx val="1"/>
            <c:bubble3D val="0"/>
            <c:spPr>
              <a:gradFill rotWithShape="1">
                <a:gsLst>
                  <a:gs pos="0">
                    <a:schemeClr val="accent2">
                      <a:tint val="50000"/>
                      <a:satMod val="300000"/>
                    </a:schemeClr>
                  </a:gs>
                  <a:gs pos="35000">
                    <a:schemeClr val="accent2">
                      <a:tint val="37000"/>
                      <a:satMod val="300000"/>
                    </a:schemeClr>
                  </a:gs>
                  <a:gs pos="100000">
                    <a:schemeClr val="accent2">
                      <a:tint val="15000"/>
                      <a:satMod val="350000"/>
                    </a:schemeClr>
                  </a:gs>
                </a:gsLst>
                <a:lin ang="16200000" scaled="1"/>
              </a:gradFill>
              <a:ln w="9525" cap="flat" cmpd="sng" algn="ctr">
                <a:solidFill>
                  <a:schemeClr val="accent2">
                    <a:shade val="95000"/>
                  </a:schemeClr>
                </a:solidFill>
                <a:round/>
              </a:ln>
              <a:effectLst>
                <a:outerShdw blurRad="40000" dist="20000" dir="5400000" rotWithShape="0">
                  <a:srgbClr val="000000">
                    <a:alpha val="38000"/>
                  </a:srgbClr>
                </a:outerShdw>
              </a:effectLst>
            </c:spPr>
            <c:extLst>
              <c:ext xmlns:c16="http://schemas.microsoft.com/office/drawing/2014/chart" uri="{C3380CC4-5D6E-409C-BE32-E72D297353CC}">
                <c16:uniqueId val="{00000003-ABFC-405E-8739-0649B48FAC54}"/>
              </c:ext>
            </c:extLst>
          </c:dPt>
          <c:dPt>
            <c:idx val="2"/>
            <c:bubble3D val="0"/>
            <c:spPr>
              <a:gradFill rotWithShape="1">
                <a:gsLst>
                  <a:gs pos="0">
                    <a:schemeClr val="accent3">
                      <a:tint val="50000"/>
                      <a:satMod val="300000"/>
                    </a:schemeClr>
                  </a:gs>
                  <a:gs pos="35000">
                    <a:schemeClr val="accent3">
                      <a:tint val="37000"/>
                      <a:satMod val="300000"/>
                    </a:schemeClr>
                  </a:gs>
                  <a:gs pos="100000">
                    <a:schemeClr val="accent3">
                      <a:tint val="15000"/>
                      <a:satMod val="350000"/>
                    </a:schemeClr>
                  </a:gs>
                </a:gsLst>
                <a:lin ang="16200000" scaled="1"/>
              </a:gradFill>
              <a:ln w="9525" cap="flat" cmpd="sng" algn="ctr">
                <a:solidFill>
                  <a:schemeClr val="accent3">
                    <a:shade val="95000"/>
                  </a:schemeClr>
                </a:solidFill>
                <a:round/>
              </a:ln>
              <a:effectLst>
                <a:outerShdw blurRad="40000" dist="20000" dir="5400000" rotWithShape="0">
                  <a:srgbClr val="000000">
                    <a:alpha val="38000"/>
                  </a:srgbClr>
                </a:outerShdw>
              </a:effectLst>
            </c:spPr>
            <c:extLst>
              <c:ext xmlns:c16="http://schemas.microsoft.com/office/drawing/2014/chart" uri="{C3380CC4-5D6E-409C-BE32-E72D297353CC}">
                <c16:uniqueId val="{00000005-ABFC-405E-8739-0649B48FAC54}"/>
              </c:ext>
            </c:extLst>
          </c:dPt>
          <c:dLbls>
            <c:dLbl>
              <c:idx val="0"/>
              <c:layout>
                <c:manualLayout>
                  <c:x val="-2.224495916504296E-3"/>
                  <c:y val="-4.2453908103277059E-2"/>
                </c:manualLayout>
              </c:layout>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ABFC-405E-8739-0649B48FAC54}"/>
                </c:ext>
              </c:extLst>
            </c:dLbl>
            <c:dLbl>
              <c:idx val="1"/>
              <c:layout>
                <c:manualLayout>
                  <c:x val="9.9084645669291357E-2"/>
                  <c:y val="6.1385243511227677E-2"/>
                </c:manualLayout>
              </c:layout>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ABFC-405E-8739-0649B48FAC54}"/>
                </c:ext>
              </c:extLst>
            </c:dLbl>
            <c:dLbl>
              <c:idx val="2"/>
              <c:layout>
                <c:manualLayout>
                  <c:x val="4.8185258092738409E-2"/>
                  <c:y val="6.2194881889763777E-2"/>
                </c:manualLayout>
              </c:layout>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ABFC-405E-8739-0649B48FAC54}"/>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ja-JP"/>
              </a:p>
            </c:txPr>
            <c:showLegendKey val="0"/>
            <c:showVal val="1"/>
            <c:showCatName val="1"/>
            <c:showSerName val="0"/>
            <c:showPercent val="1"/>
            <c:showBubbleSize val="0"/>
            <c:showLeaderLines val="1"/>
            <c:leaderLines>
              <c:spPr>
                <a:ln w="9525">
                  <a:solidFill>
                    <a:schemeClr val="tx1">
                      <a:lumMod val="35000"/>
                      <a:lumOff val="65000"/>
                    </a:schemeClr>
                  </a:solidFill>
                </a:ln>
                <a:effectLst/>
              </c:spPr>
            </c:leaderLines>
            <c:extLst>
              <c:ext xmlns:c15="http://schemas.microsoft.com/office/drawing/2012/chart" uri="{CE6537A1-D6FC-4f65-9D91-7224C49458BB}"/>
            </c:extLst>
          </c:dLbls>
          <c:cat>
            <c:strRef>
              <c:f>'グラフ(退院阻害要因＿１) '!$I$3:$I$5</c:f>
              <c:strCache>
                <c:ptCount val="3"/>
                <c:pt idx="0">
                  <c:v>病状（主症状）が落ち着き、入院によらない形で治療ができる程度まで回復</c:v>
                </c:pt>
                <c:pt idx="1">
                  <c:v>病状（主症状）が不安定で入院による治療が必要</c:v>
                </c:pt>
                <c:pt idx="2">
                  <c:v>退院予定</c:v>
                </c:pt>
              </c:strCache>
            </c:strRef>
          </c:cat>
          <c:val>
            <c:numRef>
              <c:f>'グラフ(退院阻害要因＿１) '!$L$3:$L$5</c:f>
              <c:numCache>
                <c:formatCode>#,##0"人"</c:formatCode>
                <c:ptCount val="3"/>
                <c:pt idx="0">
                  <c:v>417</c:v>
                </c:pt>
                <c:pt idx="1">
                  <c:v>60</c:v>
                </c:pt>
                <c:pt idx="2">
                  <c:v>96</c:v>
                </c:pt>
              </c:numCache>
            </c:numRef>
          </c:val>
          <c:extLst>
            <c:ext xmlns:c16="http://schemas.microsoft.com/office/drawing/2014/chart" uri="{C3380CC4-5D6E-409C-BE32-E72D297353CC}">
              <c16:uniqueId val="{00000006-ABFC-405E-8739-0649B48FAC54}"/>
            </c:ext>
          </c:extLst>
        </c:ser>
        <c:dLbls>
          <c:showLegendKey val="0"/>
          <c:showVal val="0"/>
          <c:showCatName val="1"/>
          <c:showSerName val="0"/>
          <c:showPercent val="1"/>
          <c:showBubbleSize val="0"/>
          <c:showLeaderLines val="1"/>
        </c:dLbls>
        <c:firstSliceAng val="0"/>
      </c:pieChart>
      <c:spPr>
        <a:noFill/>
        <a:ln>
          <a:noFill/>
        </a:ln>
        <a:effectLst/>
      </c:spPr>
    </c:plotArea>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orientation="portrait"/>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cap="none" spc="20" baseline="0">
                <a:solidFill>
                  <a:schemeClr val="tx1">
                    <a:lumMod val="50000"/>
                    <a:lumOff val="50000"/>
                  </a:schemeClr>
                </a:solidFill>
                <a:latin typeface="+mn-lt"/>
                <a:ea typeface="+mn-ea"/>
                <a:cs typeface="+mn-cs"/>
              </a:defRPr>
            </a:pPr>
            <a:r>
              <a:rPr lang="ja-JP"/>
              <a:t>退院阻害要因（複数回答）</a:t>
            </a:r>
          </a:p>
        </c:rich>
      </c:tx>
      <c:layout>
        <c:manualLayout>
          <c:xMode val="edge"/>
          <c:yMode val="edge"/>
          <c:x val="0.25397944100006864"/>
          <c:y val="4.7142134634455676E-3"/>
        </c:manualLayout>
      </c:layout>
      <c:overlay val="0"/>
      <c:spPr>
        <a:noFill/>
        <a:ln>
          <a:noFill/>
        </a:ln>
        <a:effectLst/>
      </c:spPr>
      <c:txPr>
        <a:bodyPr rot="0" spcFirstLastPara="1" vertOverflow="ellipsis" vert="horz" wrap="square" anchor="ctr" anchorCtr="1"/>
        <a:lstStyle/>
        <a:p>
          <a:pPr>
            <a:defRPr sz="1400" b="0" i="0" u="none" strike="noStrike" kern="1200" cap="none" spc="20" baseline="0">
              <a:solidFill>
                <a:schemeClr val="tx1">
                  <a:lumMod val="50000"/>
                  <a:lumOff val="50000"/>
                </a:schemeClr>
              </a:solidFill>
              <a:latin typeface="+mn-lt"/>
              <a:ea typeface="+mn-ea"/>
              <a:cs typeface="+mn-cs"/>
            </a:defRPr>
          </a:pPr>
          <a:endParaRPr lang="ja-JP"/>
        </a:p>
      </c:txPr>
    </c:title>
    <c:autoTitleDeleted val="0"/>
    <c:plotArea>
      <c:layout>
        <c:manualLayout>
          <c:layoutTarget val="inner"/>
          <c:xMode val="edge"/>
          <c:yMode val="edge"/>
          <c:x val="0.5006108611423572"/>
          <c:y val="8.7115148450480392E-2"/>
          <c:w val="0.45619237924329531"/>
          <c:h val="0.85802993089166602"/>
        </c:manualLayout>
      </c:layout>
      <c:barChart>
        <c:barDir val="bar"/>
        <c:grouping val="clustered"/>
        <c:varyColors val="0"/>
        <c:ser>
          <c:idx val="0"/>
          <c:order val="0"/>
          <c:tx>
            <c:strRef>
              <c:f>'グラフ(退院阻害要因＿２）'!$L$3</c:f>
              <c:strCache>
                <c:ptCount val="1"/>
                <c:pt idx="0">
                  <c:v>65歳未満</c:v>
                </c:pt>
              </c:strCache>
            </c:strRef>
          </c:tx>
          <c:spPr>
            <a:gradFill rotWithShape="1">
              <a:gsLst>
                <a:gs pos="0">
                  <a:schemeClr val="accent1">
                    <a:tint val="50000"/>
                    <a:satMod val="300000"/>
                  </a:schemeClr>
                </a:gs>
                <a:gs pos="35000">
                  <a:schemeClr val="accent1">
                    <a:tint val="37000"/>
                    <a:satMod val="300000"/>
                  </a:schemeClr>
                </a:gs>
                <a:gs pos="100000">
                  <a:schemeClr val="accent1">
                    <a:tint val="15000"/>
                    <a:satMod val="350000"/>
                  </a:schemeClr>
                </a:gs>
              </a:gsLst>
              <a:lin ang="16200000" scaled="1"/>
            </a:gradFill>
            <a:ln w="9525" cap="flat" cmpd="sng" algn="ctr">
              <a:solidFill>
                <a:schemeClr val="accent1">
                  <a:shade val="95000"/>
                </a:schemeClr>
              </a:solidFill>
              <a:round/>
            </a:ln>
            <a:effectLst>
              <a:outerShdw blurRad="40000" dist="20000" dir="5400000" rotWithShape="0">
                <a:srgbClr val="000000">
                  <a:alpha val="38000"/>
                </a:srgbClr>
              </a:outerShdw>
            </a:effectLst>
          </c:spPr>
          <c:invertIfNegative val="0"/>
          <c:cat>
            <c:strRef>
              <c:f>'グラフ(退院阻害要因＿２）'!$K$4:$K$21</c:f>
              <c:strCache>
                <c:ptCount val="18"/>
                <c:pt idx="0">
                  <c:v>病状は落ち着いているが、ときどき不安定な病状が見られ、そのことが退院を阻害する要因になっている</c:v>
                </c:pt>
                <c:pt idx="1">
                  <c:v>病識がなく通院服薬の中断が予測される</c:v>
                </c:pt>
                <c:pt idx="2">
                  <c:v>反社会的行動が予測される</c:v>
                </c:pt>
                <c:pt idx="3">
                  <c:v>退院意欲が乏しい</c:v>
                </c:pt>
                <c:pt idx="4">
                  <c:v>現実認識が乏しい</c:v>
                </c:pt>
                <c:pt idx="5">
                  <c:v>退院による環境変化への不安が強い</c:v>
                </c:pt>
                <c:pt idx="6">
                  <c:v>援助者との対人関係がもてない</c:v>
                </c:pt>
                <c:pt idx="7">
                  <c:v>家事（食事・洗濯・金銭管理など）ができない</c:v>
                </c:pt>
                <c:pt idx="8">
                  <c:v>家族がいない・本人をサポートする機能が実質ない</c:v>
                </c:pt>
                <c:pt idx="9">
                  <c:v>家族が退院に反対している</c:v>
                </c:pt>
                <c:pt idx="10">
                  <c:v>住まいの確保ができない</c:v>
                </c:pt>
                <c:pt idx="11">
                  <c:v>生活費の確保ができない</c:v>
                </c:pt>
                <c:pt idx="12">
                  <c:v>日常生活を支える制度がない</c:v>
                </c:pt>
                <c:pt idx="13">
                  <c:v>救急診療体制がない</c:v>
                </c:pt>
                <c:pt idx="14">
                  <c:v>退院に向けてサポートする人的資源が乏しい</c:v>
                </c:pt>
                <c:pt idx="15">
                  <c:v>退院後サポート・マネジメントする人的資源が乏しい</c:v>
                </c:pt>
                <c:pt idx="16">
                  <c:v>住所地と入院先の距離があり支援体制がとりにくい</c:v>
                </c:pt>
                <c:pt idx="17">
                  <c:v>その他の退院阻害要因がある</c:v>
                </c:pt>
              </c:strCache>
            </c:strRef>
          </c:cat>
          <c:val>
            <c:numRef>
              <c:f>'グラフ(退院阻害要因＿２）'!$L$4:$L$21</c:f>
              <c:numCache>
                <c:formatCode>0.0%</c:formatCode>
                <c:ptCount val="18"/>
                <c:pt idx="0">
                  <c:v>0.40078201368523947</c:v>
                </c:pt>
                <c:pt idx="1">
                  <c:v>0.35288367546432065</c:v>
                </c:pt>
                <c:pt idx="2">
                  <c:v>0.10850439882697947</c:v>
                </c:pt>
                <c:pt idx="3">
                  <c:v>0.33040078201368522</c:v>
                </c:pt>
                <c:pt idx="4">
                  <c:v>0.46138807429130008</c:v>
                </c:pt>
                <c:pt idx="5">
                  <c:v>0.32355816226783968</c:v>
                </c:pt>
                <c:pt idx="6">
                  <c:v>0.12316715542521994</c:v>
                </c:pt>
                <c:pt idx="7">
                  <c:v>0.34701857282502446</c:v>
                </c:pt>
                <c:pt idx="8">
                  <c:v>0.18572825024437928</c:v>
                </c:pt>
                <c:pt idx="9">
                  <c:v>0.22482893450635386</c:v>
                </c:pt>
                <c:pt idx="10">
                  <c:v>0.35972629521016619</c:v>
                </c:pt>
                <c:pt idx="11">
                  <c:v>4.2033235581622676E-2</c:v>
                </c:pt>
                <c:pt idx="12">
                  <c:v>7.4291300097751714E-2</c:v>
                </c:pt>
                <c:pt idx="13">
                  <c:v>7.8201368523949169E-3</c:v>
                </c:pt>
                <c:pt idx="14">
                  <c:v>0.11730205278592376</c:v>
                </c:pt>
                <c:pt idx="15">
                  <c:v>0.12414467253176931</c:v>
                </c:pt>
                <c:pt idx="16">
                  <c:v>2.8347996089931573E-2</c:v>
                </c:pt>
                <c:pt idx="17">
                  <c:v>8.113391984359726E-2</c:v>
                </c:pt>
              </c:numCache>
            </c:numRef>
          </c:val>
          <c:extLst>
            <c:ext xmlns:c16="http://schemas.microsoft.com/office/drawing/2014/chart" uri="{C3380CC4-5D6E-409C-BE32-E72D297353CC}">
              <c16:uniqueId val="{00000000-937D-4A97-83B7-B58ADA48352F}"/>
            </c:ext>
          </c:extLst>
        </c:ser>
        <c:ser>
          <c:idx val="1"/>
          <c:order val="1"/>
          <c:tx>
            <c:strRef>
              <c:f>'グラフ(退院阻害要因＿２）'!$M$3</c:f>
              <c:strCache>
                <c:ptCount val="1"/>
                <c:pt idx="0">
                  <c:v>65歳以上</c:v>
                </c:pt>
              </c:strCache>
            </c:strRef>
          </c:tx>
          <c:spPr>
            <a:gradFill rotWithShape="1">
              <a:gsLst>
                <a:gs pos="0">
                  <a:schemeClr val="accent3">
                    <a:tint val="50000"/>
                    <a:satMod val="300000"/>
                  </a:schemeClr>
                </a:gs>
                <a:gs pos="35000">
                  <a:schemeClr val="accent3">
                    <a:tint val="37000"/>
                    <a:satMod val="300000"/>
                  </a:schemeClr>
                </a:gs>
                <a:gs pos="100000">
                  <a:schemeClr val="accent3">
                    <a:tint val="15000"/>
                    <a:satMod val="350000"/>
                  </a:schemeClr>
                </a:gs>
              </a:gsLst>
              <a:lin ang="16200000" scaled="1"/>
            </a:gradFill>
            <a:ln w="9525" cap="flat" cmpd="sng" algn="ctr">
              <a:solidFill>
                <a:schemeClr val="accent3">
                  <a:shade val="95000"/>
                </a:schemeClr>
              </a:solidFill>
              <a:round/>
            </a:ln>
            <a:effectLst>
              <a:outerShdw blurRad="40000" dist="20000" dir="5400000" rotWithShape="0">
                <a:srgbClr val="000000">
                  <a:alpha val="38000"/>
                </a:srgbClr>
              </a:outerShdw>
            </a:effectLst>
          </c:spPr>
          <c:invertIfNegative val="0"/>
          <c:cat>
            <c:strRef>
              <c:f>'グラフ(退院阻害要因＿２）'!$K$4:$K$21</c:f>
              <c:strCache>
                <c:ptCount val="18"/>
                <c:pt idx="0">
                  <c:v>病状は落ち着いているが、ときどき不安定な病状が見られ、そのことが退院を阻害する要因になっている</c:v>
                </c:pt>
                <c:pt idx="1">
                  <c:v>病識がなく通院服薬の中断が予測される</c:v>
                </c:pt>
                <c:pt idx="2">
                  <c:v>反社会的行動が予測される</c:v>
                </c:pt>
                <c:pt idx="3">
                  <c:v>退院意欲が乏しい</c:v>
                </c:pt>
                <c:pt idx="4">
                  <c:v>現実認識が乏しい</c:v>
                </c:pt>
                <c:pt idx="5">
                  <c:v>退院による環境変化への不安が強い</c:v>
                </c:pt>
                <c:pt idx="6">
                  <c:v>援助者との対人関係がもてない</c:v>
                </c:pt>
                <c:pt idx="7">
                  <c:v>家事（食事・洗濯・金銭管理など）ができない</c:v>
                </c:pt>
                <c:pt idx="8">
                  <c:v>家族がいない・本人をサポートする機能が実質ない</c:v>
                </c:pt>
                <c:pt idx="9">
                  <c:v>家族が退院に反対している</c:v>
                </c:pt>
                <c:pt idx="10">
                  <c:v>住まいの確保ができない</c:v>
                </c:pt>
                <c:pt idx="11">
                  <c:v>生活費の確保ができない</c:v>
                </c:pt>
                <c:pt idx="12">
                  <c:v>日常生活を支える制度がない</c:v>
                </c:pt>
                <c:pt idx="13">
                  <c:v>救急診療体制がない</c:v>
                </c:pt>
                <c:pt idx="14">
                  <c:v>退院に向けてサポートする人的資源が乏しい</c:v>
                </c:pt>
                <c:pt idx="15">
                  <c:v>退院後サポート・マネジメントする人的資源が乏しい</c:v>
                </c:pt>
                <c:pt idx="16">
                  <c:v>住所地と入院先の距離があり支援体制がとりにくい</c:v>
                </c:pt>
                <c:pt idx="17">
                  <c:v>その他の退院阻害要因がある</c:v>
                </c:pt>
              </c:strCache>
            </c:strRef>
          </c:cat>
          <c:val>
            <c:numRef>
              <c:f>'グラフ(退院阻害要因＿２）'!$M$4:$M$21</c:f>
              <c:numCache>
                <c:formatCode>0.0%</c:formatCode>
                <c:ptCount val="18"/>
                <c:pt idx="0">
                  <c:v>0.37065637065637064</c:v>
                </c:pt>
                <c:pt idx="1">
                  <c:v>0.28725868725868725</c:v>
                </c:pt>
                <c:pt idx="2">
                  <c:v>4.2471042471042469E-2</c:v>
                </c:pt>
                <c:pt idx="3">
                  <c:v>0.39922779922779922</c:v>
                </c:pt>
                <c:pt idx="4">
                  <c:v>0.4332046332046332</c:v>
                </c:pt>
                <c:pt idx="5">
                  <c:v>0.31969111969111969</c:v>
                </c:pt>
                <c:pt idx="6">
                  <c:v>9.4980694980694974E-2</c:v>
                </c:pt>
                <c:pt idx="7">
                  <c:v>0.3799227799227799</c:v>
                </c:pt>
                <c:pt idx="8">
                  <c:v>0.18146718146718147</c:v>
                </c:pt>
                <c:pt idx="9">
                  <c:v>0.22162162162162163</c:v>
                </c:pt>
                <c:pt idx="10">
                  <c:v>0.37683397683397685</c:v>
                </c:pt>
                <c:pt idx="11">
                  <c:v>4.4787644787644784E-2</c:v>
                </c:pt>
                <c:pt idx="12">
                  <c:v>6.8725868725868722E-2</c:v>
                </c:pt>
                <c:pt idx="13">
                  <c:v>1.4671814671814672E-2</c:v>
                </c:pt>
                <c:pt idx="14">
                  <c:v>0.10115830115830116</c:v>
                </c:pt>
                <c:pt idx="15">
                  <c:v>0.12818532818532818</c:v>
                </c:pt>
                <c:pt idx="16">
                  <c:v>1.698841698841699E-2</c:v>
                </c:pt>
                <c:pt idx="17">
                  <c:v>6.8725868725868722E-2</c:v>
                </c:pt>
              </c:numCache>
            </c:numRef>
          </c:val>
          <c:extLst>
            <c:ext xmlns:c16="http://schemas.microsoft.com/office/drawing/2014/chart" uri="{C3380CC4-5D6E-409C-BE32-E72D297353CC}">
              <c16:uniqueId val="{00000001-937D-4A97-83B7-B58ADA48352F}"/>
            </c:ext>
          </c:extLst>
        </c:ser>
        <c:dLbls>
          <c:showLegendKey val="0"/>
          <c:showVal val="0"/>
          <c:showCatName val="0"/>
          <c:showSerName val="0"/>
          <c:showPercent val="0"/>
          <c:showBubbleSize val="0"/>
        </c:dLbls>
        <c:gapWidth val="100"/>
        <c:axId val="1896483359"/>
        <c:axId val="1896485023"/>
      </c:barChart>
      <c:catAx>
        <c:axId val="1896483359"/>
        <c:scaling>
          <c:orientation val="maxMin"/>
        </c:scaling>
        <c:delete val="0"/>
        <c:axPos val="l"/>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900" b="0" i="0" u="none" strike="noStrike" kern="1200" baseline="0">
                <a:solidFill>
                  <a:schemeClr val="tx1">
                    <a:lumMod val="50000"/>
                    <a:lumOff val="50000"/>
                  </a:schemeClr>
                </a:solidFill>
                <a:latin typeface="+mn-lt"/>
                <a:ea typeface="+mn-ea"/>
                <a:cs typeface="+mn-cs"/>
              </a:defRPr>
            </a:pPr>
            <a:endParaRPr lang="ja-JP"/>
          </a:p>
        </c:txPr>
        <c:crossAx val="1896485023"/>
        <c:crosses val="autoZero"/>
        <c:auto val="1"/>
        <c:lblAlgn val="ctr"/>
        <c:lblOffset val="100"/>
        <c:tickMarkSkip val="1"/>
        <c:noMultiLvlLbl val="0"/>
      </c:catAx>
      <c:valAx>
        <c:axId val="1896485023"/>
        <c:scaling>
          <c:orientation val="minMax"/>
        </c:scaling>
        <c:delete val="0"/>
        <c:axPos val="t"/>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ja-JP"/>
          </a:p>
        </c:txPr>
        <c:crossAx val="1896483359"/>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cap="none" spc="20" baseline="0">
                <a:solidFill>
                  <a:schemeClr val="tx1">
                    <a:lumMod val="50000"/>
                    <a:lumOff val="50000"/>
                  </a:schemeClr>
                </a:solidFill>
                <a:latin typeface="メイリオ" panose="020B0604030504040204" pitchFamily="50" charset="-128"/>
                <a:ea typeface="メイリオ" panose="020B0604030504040204" pitchFamily="50" charset="-128"/>
                <a:cs typeface="+mn-cs"/>
              </a:defRPr>
            </a:pPr>
            <a:r>
              <a:rPr lang="ja-JP" sz="1200" b="1">
                <a:latin typeface="メイリオ" panose="020B0604030504040204" pitchFamily="50" charset="-128"/>
                <a:ea typeface="メイリオ" panose="020B0604030504040204" pitchFamily="50" charset="-128"/>
              </a:rPr>
              <a:t>年齢区分</a:t>
            </a:r>
            <a:r>
              <a:rPr lang="ja-JP" altLang="en-US" sz="1200" b="1">
                <a:latin typeface="メイリオ" panose="020B0604030504040204" pitchFamily="50" charset="-128"/>
                <a:ea typeface="メイリオ" panose="020B0604030504040204" pitchFamily="50" charset="-128"/>
              </a:rPr>
              <a:t>＿寛解・院内寛解群</a:t>
            </a:r>
            <a:endParaRPr lang="ja-JP" sz="1200" b="1">
              <a:latin typeface="メイリオ" panose="020B0604030504040204" pitchFamily="50" charset="-128"/>
              <a:ea typeface="メイリオ" panose="020B0604030504040204" pitchFamily="50" charset="-128"/>
            </a:endParaRPr>
          </a:p>
        </c:rich>
      </c:tx>
      <c:layout/>
      <c:overlay val="0"/>
      <c:spPr>
        <a:noFill/>
        <a:ln>
          <a:noFill/>
        </a:ln>
        <a:effectLst/>
      </c:spPr>
      <c:txPr>
        <a:bodyPr rot="0" spcFirstLastPara="1" vertOverflow="ellipsis" vert="horz" wrap="square" anchor="ctr" anchorCtr="1"/>
        <a:lstStyle/>
        <a:p>
          <a:pPr>
            <a:defRPr sz="1200" b="1" i="0" u="none" strike="noStrike" kern="1200" cap="none" spc="20" baseline="0">
              <a:solidFill>
                <a:schemeClr val="tx1">
                  <a:lumMod val="50000"/>
                  <a:lumOff val="50000"/>
                </a:schemeClr>
              </a:solidFill>
              <a:latin typeface="メイリオ" panose="020B0604030504040204" pitchFamily="50" charset="-128"/>
              <a:ea typeface="メイリオ" panose="020B0604030504040204" pitchFamily="50" charset="-128"/>
              <a:cs typeface="+mn-cs"/>
            </a:defRPr>
          </a:pPr>
          <a:endParaRPr lang="ja-JP"/>
        </a:p>
      </c:txPr>
    </c:title>
    <c:autoTitleDeleted val="0"/>
    <c:plotArea>
      <c:layout/>
      <c:pieChart>
        <c:varyColors val="1"/>
        <c:ser>
          <c:idx val="2"/>
          <c:order val="0"/>
          <c:tx>
            <c:strRef>
              <c:f>'グラフ(年齢区分）'!$Q$4</c:f>
              <c:strCache>
                <c:ptCount val="1"/>
                <c:pt idx="0">
                  <c:v>計</c:v>
                </c:pt>
              </c:strCache>
            </c:strRef>
          </c:tx>
          <c:dPt>
            <c:idx val="0"/>
            <c:bubble3D val="0"/>
            <c:spPr>
              <a:gradFill rotWithShape="1">
                <a:gsLst>
                  <a:gs pos="0">
                    <a:schemeClr val="accent1">
                      <a:tint val="50000"/>
                      <a:satMod val="300000"/>
                    </a:schemeClr>
                  </a:gs>
                  <a:gs pos="35000">
                    <a:schemeClr val="accent1">
                      <a:tint val="37000"/>
                      <a:satMod val="300000"/>
                    </a:schemeClr>
                  </a:gs>
                  <a:gs pos="100000">
                    <a:schemeClr val="accent1">
                      <a:tint val="15000"/>
                      <a:satMod val="350000"/>
                    </a:schemeClr>
                  </a:gs>
                </a:gsLst>
                <a:lin ang="16200000" scaled="1"/>
              </a:gradFill>
              <a:ln w="9525" cap="flat" cmpd="sng" algn="ctr">
                <a:solidFill>
                  <a:schemeClr val="accent1">
                    <a:shade val="95000"/>
                  </a:schemeClr>
                </a:solidFill>
                <a:round/>
              </a:ln>
              <a:effectLst>
                <a:outerShdw blurRad="40000" dist="20000" dir="5400000" rotWithShape="0">
                  <a:srgbClr val="000000">
                    <a:alpha val="38000"/>
                  </a:srgbClr>
                </a:outerShdw>
              </a:effectLst>
            </c:spPr>
            <c:extLst>
              <c:ext xmlns:c16="http://schemas.microsoft.com/office/drawing/2014/chart" uri="{C3380CC4-5D6E-409C-BE32-E72D297353CC}">
                <c16:uniqueId val="{00000001-B8D9-4FC4-879E-1F357D6C2F1C}"/>
              </c:ext>
            </c:extLst>
          </c:dPt>
          <c:dPt>
            <c:idx val="1"/>
            <c:bubble3D val="0"/>
            <c:spPr>
              <a:gradFill rotWithShape="1">
                <a:gsLst>
                  <a:gs pos="0">
                    <a:schemeClr val="accent2">
                      <a:tint val="50000"/>
                      <a:satMod val="300000"/>
                    </a:schemeClr>
                  </a:gs>
                  <a:gs pos="35000">
                    <a:schemeClr val="accent2">
                      <a:tint val="37000"/>
                      <a:satMod val="300000"/>
                    </a:schemeClr>
                  </a:gs>
                  <a:gs pos="100000">
                    <a:schemeClr val="accent2">
                      <a:tint val="15000"/>
                      <a:satMod val="350000"/>
                    </a:schemeClr>
                  </a:gs>
                </a:gsLst>
                <a:lin ang="16200000" scaled="1"/>
              </a:gradFill>
              <a:ln w="9525" cap="flat" cmpd="sng" algn="ctr">
                <a:solidFill>
                  <a:schemeClr val="accent2">
                    <a:shade val="95000"/>
                  </a:schemeClr>
                </a:solidFill>
                <a:round/>
              </a:ln>
              <a:effectLst>
                <a:outerShdw blurRad="40000" dist="20000" dir="5400000" rotWithShape="0">
                  <a:srgbClr val="000000">
                    <a:alpha val="38000"/>
                  </a:srgbClr>
                </a:outerShdw>
              </a:effectLst>
            </c:spPr>
            <c:extLst>
              <c:ext xmlns:c16="http://schemas.microsoft.com/office/drawing/2014/chart" uri="{C3380CC4-5D6E-409C-BE32-E72D297353CC}">
                <c16:uniqueId val="{00000003-B8D9-4FC4-879E-1F357D6C2F1C}"/>
              </c:ext>
            </c:extLst>
          </c:dPt>
          <c:dPt>
            <c:idx val="2"/>
            <c:bubble3D val="0"/>
            <c:spPr>
              <a:gradFill rotWithShape="1">
                <a:gsLst>
                  <a:gs pos="0">
                    <a:schemeClr val="accent3">
                      <a:tint val="50000"/>
                      <a:satMod val="300000"/>
                    </a:schemeClr>
                  </a:gs>
                  <a:gs pos="35000">
                    <a:schemeClr val="accent3">
                      <a:tint val="37000"/>
                      <a:satMod val="300000"/>
                    </a:schemeClr>
                  </a:gs>
                  <a:gs pos="100000">
                    <a:schemeClr val="accent3">
                      <a:tint val="15000"/>
                      <a:satMod val="350000"/>
                    </a:schemeClr>
                  </a:gs>
                </a:gsLst>
                <a:lin ang="16200000" scaled="1"/>
              </a:gradFill>
              <a:ln w="9525" cap="flat" cmpd="sng" algn="ctr">
                <a:solidFill>
                  <a:schemeClr val="accent3">
                    <a:shade val="95000"/>
                  </a:schemeClr>
                </a:solidFill>
                <a:round/>
              </a:ln>
              <a:effectLst>
                <a:outerShdw blurRad="40000" dist="20000" dir="5400000" rotWithShape="0">
                  <a:srgbClr val="000000">
                    <a:alpha val="38000"/>
                  </a:srgbClr>
                </a:outerShdw>
              </a:effectLst>
            </c:spPr>
            <c:extLst>
              <c:ext xmlns:c16="http://schemas.microsoft.com/office/drawing/2014/chart" uri="{C3380CC4-5D6E-409C-BE32-E72D297353CC}">
                <c16:uniqueId val="{00000005-B8D9-4FC4-879E-1F357D6C2F1C}"/>
              </c:ext>
            </c:extLst>
          </c:dPt>
          <c:dPt>
            <c:idx val="3"/>
            <c:bubble3D val="0"/>
            <c:spPr>
              <a:gradFill rotWithShape="1">
                <a:gsLst>
                  <a:gs pos="0">
                    <a:schemeClr val="accent4">
                      <a:tint val="50000"/>
                      <a:satMod val="300000"/>
                    </a:schemeClr>
                  </a:gs>
                  <a:gs pos="35000">
                    <a:schemeClr val="accent4">
                      <a:tint val="37000"/>
                      <a:satMod val="300000"/>
                    </a:schemeClr>
                  </a:gs>
                  <a:gs pos="100000">
                    <a:schemeClr val="accent4">
                      <a:tint val="15000"/>
                      <a:satMod val="350000"/>
                    </a:schemeClr>
                  </a:gs>
                </a:gsLst>
                <a:lin ang="16200000" scaled="1"/>
              </a:gradFill>
              <a:ln w="9525" cap="flat" cmpd="sng" algn="ctr">
                <a:solidFill>
                  <a:schemeClr val="accent4">
                    <a:shade val="95000"/>
                  </a:schemeClr>
                </a:solidFill>
                <a:round/>
              </a:ln>
              <a:effectLst>
                <a:outerShdw blurRad="40000" dist="20000" dir="5400000" rotWithShape="0">
                  <a:srgbClr val="000000">
                    <a:alpha val="38000"/>
                  </a:srgbClr>
                </a:outerShdw>
              </a:effectLst>
            </c:spPr>
            <c:extLst>
              <c:ext xmlns:c16="http://schemas.microsoft.com/office/drawing/2014/chart" uri="{C3380CC4-5D6E-409C-BE32-E72D297353CC}">
                <c16:uniqueId val="{00000007-B8D9-4FC4-879E-1F357D6C2F1C}"/>
              </c:ext>
            </c:extLst>
          </c:dPt>
          <c:dPt>
            <c:idx val="4"/>
            <c:bubble3D val="0"/>
            <c:spPr>
              <a:gradFill rotWithShape="1">
                <a:gsLst>
                  <a:gs pos="0">
                    <a:schemeClr val="accent5">
                      <a:tint val="50000"/>
                      <a:satMod val="300000"/>
                    </a:schemeClr>
                  </a:gs>
                  <a:gs pos="35000">
                    <a:schemeClr val="accent5">
                      <a:tint val="37000"/>
                      <a:satMod val="300000"/>
                    </a:schemeClr>
                  </a:gs>
                  <a:gs pos="100000">
                    <a:schemeClr val="accent5">
                      <a:tint val="15000"/>
                      <a:satMod val="350000"/>
                    </a:schemeClr>
                  </a:gs>
                </a:gsLst>
                <a:lin ang="16200000" scaled="1"/>
              </a:gradFill>
              <a:ln w="9525" cap="flat" cmpd="sng" algn="ctr">
                <a:solidFill>
                  <a:schemeClr val="accent5">
                    <a:shade val="95000"/>
                  </a:schemeClr>
                </a:solidFill>
                <a:round/>
              </a:ln>
              <a:effectLst>
                <a:outerShdw blurRad="40000" dist="20000" dir="5400000" rotWithShape="0">
                  <a:srgbClr val="000000">
                    <a:alpha val="38000"/>
                  </a:srgbClr>
                </a:outerShdw>
              </a:effectLst>
            </c:spPr>
            <c:extLst>
              <c:ext xmlns:c16="http://schemas.microsoft.com/office/drawing/2014/chart" uri="{C3380CC4-5D6E-409C-BE32-E72D297353CC}">
                <c16:uniqueId val="{00000009-B8D9-4FC4-879E-1F357D6C2F1C}"/>
              </c:ext>
            </c:extLst>
          </c:dPt>
          <c:dPt>
            <c:idx val="5"/>
            <c:bubble3D val="0"/>
            <c:spPr>
              <a:gradFill rotWithShape="1">
                <a:gsLst>
                  <a:gs pos="0">
                    <a:schemeClr val="accent6">
                      <a:tint val="50000"/>
                      <a:satMod val="300000"/>
                    </a:schemeClr>
                  </a:gs>
                  <a:gs pos="35000">
                    <a:schemeClr val="accent6">
                      <a:tint val="37000"/>
                      <a:satMod val="300000"/>
                    </a:schemeClr>
                  </a:gs>
                  <a:gs pos="100000">
                    <a:schemeClr val="accent6">
                      <a:tint val="15000"/>
                      <a:satMod val="350000"/>
                    </a:schemeClr>
                  </a:gs>
                </a:gsLst>
                <a:lin ang="16200000" scaled="1"/>
              </a:gradFill>
              <a:ln w="9525" cap="flat" cmpd="sng" algn="ctr">
                <a:solidFill>
                  <a:schemeClr val="accent6">
                    <a:shade val="95000"/>
                  </a:schemeClr>
                </a:solidFill>
                <a:round/>
              </a:ln>
              <a:effectLst>
                <a:outerShdw blurRad="40000" dist="20000" dir="5400000" rotWithShape="0">
                  <a:srgbClr val="000000">
                    <a:alpha val="38000"/>
                  </a:srgbClr>
                </a:outerShdw>
              </a:effectLst>
            </c:spPr>
            <c:extLst>
              <c:ext xmlns:c16="http://schemas.microsoft.com/office/drawing/2014/chart" uri="{C3380CC4-5D6E-409C-BE32-E72D297353CC}">
                <c16:uniqueId val="{0000000B-B8D9-4FC4-879E-1F357D6C2F1C}"/>
              </c:ext>
            </c:extLst>
          </c:dPt>
          <c:dPt>
            <c:idx val="6"/>
            <c:bubble3D val="0"/>
            <c:spPr>
              <a:gradFill rotWithShape="1">
                <a:gsLst>
                  <a:gs pos="0">
                    <a:schemeClr val="accent1">
                      <a:lumMod val="60000"/>
                      <a:tint val="50000"/>
                      <a:satMod val="300000"/>
                    </a:schemeClr>
                  </a:gs>
                  <a:gs pos="35000">
                    <a:schemeClr val="accent1">
                      <a:lumMod val="60000"/>
                      <a:tint val="37000"/>
                      <a:satMod val="300000"/>
                    </a:schemeClr>
                  </a:gs>
                  <a:gs pos="100000">
                    <a:schemeClr val="accent1">
                      <a:lumMod val="60000"/>
                      <a:tint val="15000"/>
                      <a:satMod val="350000"/>
                    </a:schemeClr>
                  </a:gs>
                </a:gsLst>
                <a:lin ang="16200000" scaled="1"/>
              </a:gradFill>
              <a:ln w="9525" cap="flat" cmpd="sng" algn="ctr">
                <a:solidFill>
                  <a:schemeClr val="accent1">
                    <a:lumMod val="60000"/>
                    <a:shade val="95000"/>
                  </a:schemeClr>
                </a:solidFill>
                <a:round/>
              </a:ln>
              <a:effectLst>
                <a:outerShdw blurRad="40000" dist="20000" dir="5400000" rotWithShape="0">
                  <a:srgbClr val="000000">
                    <a:alpha val="38000"/>
                  </a:srgbClr>
                </a:outerShdw>
              </a:effectLst>
            </c:spPr>
            <c:extLst>
              <c:ext xmlns:c16="http://schemas.microsoft.com/office/drawing/2014/chart" uri="{C3380CC4-5D6E-409C-BE32-E72D297353CC}">
                <c16:uniqueId val="{0000000D-B8D9-4FC4-879E-1F357D6C2F1C}"/>
              </c:ext>
            </c:extLst>
          </c:dPt>
          <c:dPt>
            <c:idx val="7"/>
            <c:bubble3D val="0"/>
            <c:spPr>
              <a:gradFill rotWithShape="1">
                <a:gsLst>
                  <a:gs pos="0">
                    <a:schemeClr val="accent2">
                      <a:lumMod val="60000"/>
                      <a:tint val="50000"/>
                      <a:satMod val="300000"/>
                    </a:schemeClr>
                  </a:gs>
                  <a:gs pos="35000">
                    <a:schemeClr val="accent2">
                      <a:lumMod val="60000"/>
                      <a:tint val="37000"/>
                      <a:satMod val="300000"/>
                    </a:schemeClr>
                  </a:gs>
                  <a:gs pos="100000">
                    <a:schemeClr val="accent2">
                      <a:lumMod val="60000"/>
                      <a:tint val="15000"/>
                      <a:satMod val="350000"/>
                    </a:schemeClr>
                  </a:gs>
                </a:gsLst>
                <a:lin ang="16200000" scaled="1"/>
              </a:gradFill>
              <a:ln w="9525" cap="flat" cmpd="sng" algn="ctr">
                <a:solidFill>
                  <a:schemeClr val="accent2">
                    <a:lumMod val="60000"/>
                    <a:shade val="95000"/>
                  </a:schemeClr>
                </a:solidFill>
                <a:round/>
              </a:ln>
              <a:effectLst>
                <a:outerShdw blurRad="40000" dist="20000" dir="5400000" rotWithShape="0">
                  <a:srgbClr val="000000">
                    <a:alpha val="38000"/>
                  </a:srgbClr>
                </a:outerShdw>
              </a:effectLst>
            </c:spPr>
            <c:extLst>
              <c:ext xmlns:c16="http://schemas.microsoft.com/office/drawing/2014/chart" uri="{C3380CC4-5D6E-409C-BE32-E72D297353CC}">
                <c16:uniqueId val="{0000000F-B8D9-4FC4-879E-1F357D6C2F1C}"/>
              </c:ext>
            </c:extLst>
          </c:dPt>
          <c:dPt>
            <c:idx val="8"/>
            <c:bubble3D val="0"/>
            <c:spPr>
              <a:gradFill rotWithShape="1">
                <a:gsLst>
                  <a:gs pos="0">
                    <a:schemeClr val="accent3">
                      <a:lumMod val="60000"/>
                      <a:tint val="50000"/>
                      <a:satMod val="300000"/>
                    </a:schemeClr>
                  </a:gs>
                  <a:gs pos="35000">
                    <a:schemeClr val="accent3">
                      <a:lumMod val="60000"/>
                      <a:tint val="37000"/>
                      <a:satMod val="300000"/>
                    </a:schemeClr>
                  </a:gs>
                  <a:gs pos="100000">
                    <a:schemeClr val="accent3">
                      <a:lumMod val="60000"/>
                      <a:tint val="15000"/>
                      <a:satMod val="350000"/>
                    </a:schemeClr>
                  </a:gs>
                </a:gsLst>
                <a:lin ang="16200000" scaled="1"/>
              </a:gradFill>
              <a:ln w="9525" cap="flat" cmpd="sng" algn="ctr">
                <a:solidFill>
                  <a:schemeClr val="accent3">
                    <a:lumMod val="60000"/>
                    <a:shade val="95000"/>
                  </a:schemeClr>
                </a:solidFill>
                <a:round/>
              </a:ln>
              <a:effectLst>
                <a:outerShdw blurRad="40000" dist="20000" dir="5400000" rotWithShape="0">
                  <a:srgbClr val="000000">
                    <a:alpha val="38000"/>
                  </a:srgbClr>
                </a:outerShdw>
              </a:effectLst>
            </c:spPr>
            <c:extLst>
              <c:ext xmlns:c16="http://schemas.microsoft.com/office/drawing/2014/chart" uri="{C3380CC4-5D6E-409C-BE32-E72D297353CC}">
                <c16:uniqueId val="{00000011-B8D9-4FC4-879E-1F357D6C2F1C}"/>
              </c:ext>
            </c:extLst>
          </c:dPt>
          <c:dLbls>
            <c:dLbl>
              <c:idx val="0"/>
              <c:layout>
                <c:manualLayout>
                  <c:x val="0.34775313318705309"/>
                  <c:y val="7.1824605711047389E-3"/>
                </c:manualLayout>
              </c:layout>
              <c:showLegendKey val="0"/>
              <c:showVal val="1"/>
              <c:showCatName val="1"/>
              <c:showSerName val="0"/>
              <c:showPercent val="1"/>
              <c:showBubbleSize val="0"/>
              <c:separator>
</c:separator>
              <c:extLst>
                <c:ext xmlns:c15="http://schemas.microsoft.com/office/drawing/2012/chart" uri="{CE6537A1-D6FC-4f65-9D91-7224C49458BB}">
                  <c15:layout/>
                </c:ext>
                <c:ext xmlns:c16="http://schemas.microsoft.com/office/drawing/2014/chart" uri="{C3380CC4-5D6E-409C-BE32-E72D297353CC}">
                  <c16:uniqueId val="{00000001-B8D9-4FC4-879E-1F357D6C2F1C}"/>
                </c:ext>
              </c:extLst>
            </c:dLbl>
            <c:dLbl>
              <c:idx val="1"/>
              <c:layout>
                <c:manualLayout>
                  <c:x val="0.28259867661548066"/>
                  <c:y val="0.20292317060361781"/>
                </c:manualLayout>
              </c:layout>
              <c:showLegendKey val="0"/>
              <c:showVal val="1"/>
              <c:showCatName val="1"/>
              <c:showSerName val="0"/>
              <c:showPercent val="1"/>
              <c:showBubbleSize val="0"/>
              <c:separator>
</c:separator>
              <c:extLst>
                <c:ext xmlns:c15="http://schemas.microsoft.com/office/drawing/2012/chart" uri="{CE6537A1-D6FC-4f65-9D91-7224C49458BB}">
                  <c15:layout/>
                </c:ext>
                <c:ext xmlns:c16="http://schemas.microsoft.com/office/drawing/2014/chart" uri="{C3380CC4-5D6E-409C-BE32-E72D297353CC}">
                  <c16:uniqueId val="{00000003-B8D9-4FC4-879E-1F357D6C2F1C}"/>
                </c:ext>
              </c:extLst>
            </c:dLbl>
            <c:dLbl>
              <c:idx val="2"/>
              <c:layout>
                <c:manualLayout>
                  <c:x val="0.17852460778154433"/>
                  <c:y val="0.37474260907684426"/>
                </c:manualLayout>
              </c:layout>
              <c:showLegendKey val="0"/>
              <c:showVal val="1"/>
              <c:showCatName val="1"/>
              <c:showSerName val="0"/>
              <c:showPercent val="1"/>
              <c:showBubbleSize val="0"/>
              <c:separator>
</c:separator>
              <c:extLst>
                <c:ext xmlns:c15="http://schemas.microsoft.com/office/drawing/2012/chart" uri="{CE6537A1-D6FC-4f65-9D91-7224C49458BB}">
                  <c15:layout/>
                </c:ext>
                <c:ext xmlns:c16="http://schemas.microsoft.com/office/drawing/2014/chart" uri="{C3380CC4-5D6E-409C-BE32-E72D297353CC}">
                  <c16:uniqueId val="{00000005-B8D9-4FC4-879E-1F357D6C2F1C}"/>
                </c:ext>
              </c:extLst>
            </c:dLbl>
            <c:dLbl>
              <c:idx val="8"/>
              <c:layout>
                <c:manualLayout>
                  <c:x val="-0.2713028573389562"/>
                  <c:y val="7.0514558945856468E-2"/>
                </c:manualLayout>
              </c:layout>
              <c:showLegendKey val="0"/>
              <c:showVal val="1"/>
              <c:showCatName val="1"/>
              <c:showSerName val="0"/>
              <c:showPercent val="1"/>
              <c:showBubbleSize val="0"/>
              <c:separator>
</c:separator>
              <c:extLst>
                <c:ext xmlns:c15="http://schemas.microsoft.com/office/drawing/2012/chart" uri="{CE6537A1-D6FC-4f65-9D91-7224C49458BB}">
                  <c15:layout/>
                </c:ext>
                <c:ext xmlns:c16="http://schemas.microsoft.com/office/drawing/2014/chart" uri="{C3380CC4-5D6E-409C-BE32-E72D297353CC}">
                  <c16:uniqueId val="{00000011-B8D9-4FC4-879E-1F357D6C2F1C}"/>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showLegendKey val="0"/>
            <c:showVal val="1"/>
            <c:showCatName val="1"/>
            <c:showSerName val="0"/>
            <c:showPercent val="1"/>
            <c:showBubbleSize val="0"/>
            <c:separator>
</c:separator>
            <c:showLeaderLines val="1"/>
            <c:leaderLines>
              <c:spPr>
                <a:ln w="9525">
                  <a:solidFill>
                    <a:schemeClr val="tx1">
                      <a:lumMod val="35000"/>
                      <a:lumOff val="65000"/>
                    </a:schemeClr>
                  </a:solidFill>
                </a:ln>
                <a:effectLst/>
              </c:spPr>
            </c:leaderLines>
            <c:extLst>
              <c:ext xmlns:c15="http://schemas.microsoft.com/office/drawing/2012/chart" uri="{CE6537A1-D6FC-4f65-9D91-7224C49458BB}">
                <c15:layout/>
              </c:ext>
            </c:extLst>
          </c:dLbls>
          <c:cat>
            <c:strRef>
              <c:f>'グラフ(年齢区分）'!$M$5:$M$13</c:f>
              <c:strCache>
                <c:ptCount val="9"/>
                <c:pt idx="0">
                  <c:v>19歳以下</c:v>
                </c:pt>
                <c:pt idx="1">
                  <c:v>20歳代</c:v>
                </c:pt>
                <c:pt idx="2">
                  <c:v>30歳代</c:v>
                </c:pt>
                <c:pt idx="3">
                  <c:v>40歳代</c:v>
                </c:pt>
                <c:pt idx="4">
                  <c:v>50歳代</c:v>
                </c:pt>
                <c:pt idx="5">
                  <c:v>60歳代</c:v>
                </c:pt>
                <c:pt idx="6">
                  <c:v>70歳代</c:v>
                </c:pt>
                <c:pt idx="7">
                  <c:v>80歳代</c:v>
                </c:pt>
                <c:pt idx="8">
                  <c:v>90歳以上</c:v>
                </c:pt>
              </c:strCache>
            </c:strRef>
          </c:cat>
          <c:val>
            <c:numRef>
              <c:f>'グラフ(年齢区分）'!$Q$5:$Q$13</c:f>
              <c:numCache>
                <c:formatCode>#,##0"人"</c:formatCode>
                <c:ptCount val="9"/>
                <c:pt idx="0">
                  <c:v>33</c:v>
                </c:pt>
                <c:pt idx="1">
                  <c:v>61</c:v>
                </c:pt>
                <c:pt idx="2">
                  <c:v>117</c:v>
                </c:pt>
                <c:pt idx="3">
                  <c:v>227</c:v>
                </c:pt>
                <c:pt idx="4">
                  <c:v>319</c:v>
                </c:pt>
                <c:pt idx="5">
                  <c:v>318</c:v>
                </c:pt>
                <c:pt idx="6">
                  <c:v>357</c:v>
                </c:pt>
                <c:pt idx="7">
                  <c:v>217</c:v>
                </c:pt>
                <c:pt idx="8">
                  <c:v>29</c:v>
                </c:pt>
              </c:numCache>
            </c:numRef>
          </c:val>
          <c:extLst>
            <c:ext xmlns:c16="http://schemas.microsoft.com/office/drawing/2014/chart" uri="{C3380CC4-5D6E-409C-BE32-E72D297353CC}">
              <c16:uniqueId val="{00000012-B8D9-4FC4-879E-1F357D6C2F1C}"/>
            </c:ext>
          </c:extLst>
        </c:ser>
        <c:dLbls>
          <c:showLegendKey val="0"/>
          <c:showVal val="1"/>
          <c:showCatName val="0"/>
          <c:showSerName val="0"/>
          <c:showPercent val="0"/>
          <c:showBubbleSize val="0"/>
          <c:showLeaderLines val="1"/>
        </c:dLbls>
        <c:firstSliceAng val="0"/>
      </c:pie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7"/>
    </mc:Choice>
    <mc:Fallback>
      <c:style val="7"/>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t>退院阻害要因（複数回答）</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bar"/>
        <c:grouping val="clustered"/>
        <c:varyColors val="0"/>
        <c:ser>
          <c:idx val="0"/>
          <c:order val="0"/>
          <c:tx>
            <c:strRef>
              <c:f>'グラフ(退院阻害要因＿２）'!$L$47</c:f>
              <c:strCache>
                <c:ptCount val="1"/>
                <c:pt idx="0">
                  <c:v>1年未満</c:v>
                </c:pt>
              </c:strCache>
            </c:strRef>
          </c:tx>
          <c:spPr>
            <a:solidFill>
              <a:schemeClr val="accent5">
                <a:tint val="58000"/>
              </a:schemeClr>
            </a:solidFill>
            <a:ln>
              <a:noFill/>
            </a:ln>
            <a:effectLst/>
          </c:spPr>
          <c:invertIfNegative val="0"/>
          <c:cat>
            <c:strRef>
              <c:f>'グラフ(退院阻害要因＿２）'!$K$48:$K$65</c:f>
              <c:strCache>
                <c:ptCount val="18"/>
                <c:pt idx="0">
                  <c:v>病状は落ち着いているが、ときどき不安定な病状が見られ、そのことが退院を阻害する要因になっている</c:v>
                </c:pt>
                <c:pt idx="1">
                  <c:v>病識がなく通院服薬の中断が予測される</c:v>
                </c:pt>
                <c:pt idx="2">
                  <c:v>反社会的行動が予測される</c:v>
                </c:pt>
                <c:pt idx="3">
                  <c:v>退院意欲が乏しい</c:v>
                </c:pt>
                <c:pt idx="4">
                  <c:v>現実認識が乏しい</c:v>
                </c:pt>
                <c:pt idx="5">
                  <c:v>退院による環境変化への不安が強い</c:v>
                </c:pt>
                <c:pt idx="6">
                  <c:v>援助者との対人関係がもてない</c:v>
                </c:pt>
                <c:pt idx="7">
                  <c:v>家事（食事・洗濯・金銭管理など）ができない</c:v>
                </c:pt>
                <c:pt idx="8">
                  <c:v>家族がいない・本人をサポートする機能が実質ない</c:v>
                </c:pt>
                <c:pt idx="9">
                  <c:v>家族が退院に反対している</c:v>
                </c:pt>
                <c:pt idx="10">
                  <c:v>住まいの確保ができない</c:v>
                </c:pt>
                <c:pt idx="11">
                  <c:v>生活費の確保ができない</c:v>
                </c:pt>
                <c:pt idx="12">
                  <c:v>日常生活を支える制度がない</c:v>
                </c:pt>
                <c:pt idx="13">
                  <c:v>救急診療体制がない</c:v>
                </c:pt>
                <c:pt idx="14">
                  <c:v>退院に向けてサポートする人的資源が乏しい</c:v>
                </c:pt>
                <c:pt idx="15">
                  <c:v>退院後サポート・マネジメントする人的資源が乏しい</c:v>
                </c:pt>
                <c:pt idx="16">
                  <c:v>住所地と入院先の距離があり支援体制がとりにくい</c:v>
                </c:pt>
                <c:pt idx="17">
                  <c:v>その他の退院阻害要因がある</c:v>
                </c:pt>
              </c:strCache>
            </c:strRef>
          </c:cat>
          <c:val>
            <c:numRef>
              <c:f>'グラフ(退院阻害要因＿２）'!$L$48:$L$65</c:f>
              <c:numCache>
                <c:formatCode>0.0%</c:formatCode>
                <c:ptCount val="18"/>
                <c:pt idx="0">
                  <c:v>0.42112125162972619</c:v>
                </c:pt>
                <c:pt idx="1">
                  <c:v>0.30638852672750977</c:v>
                </c:pt>
                <c:pt idx="2">
                  <c:v>8.9960886571056067E-2</c:v>
                </c:pt>
                <c:pt idx="3">
                  <c:v>0.25423728813559321</c:v>
                </c:pt>
                <c:pt idx="4">
                  <c:v>0.41720990873533248</c:v>
                </c:pt>
                <c:pt idx="5">
                  <c:v>0.27900912646675358</c:v>
                </c:pt>
                <c:pt idx="6">
                  <c:v>0.11994784876140809</c:v>
                </c:pt>
                <c:pt idx="7">
                  <c:v>0.32333767926988266</c:v>
                </c:pt>
                <c:pt idx="8">
                  <c:v>0.14211212516297261</c:v>
                </c:pt>
                <c:pt idx="9">
                  <c:v>0.15775749674054759</c:v>
                </c:pt>
                <c:pt idx="10">
                  <c:v>0.43155149934810949</c:v>
                </c:pt>
                <c:pt idx="11">
                  <c:v>3.5202086049543675E-2</c:v>
                </c:pt>
                <c:pt idx="12">
                  <c:v>9.126466753585398E-2</c:v>
                </c:pt>
                <c:pt idx="13">
                  <c:v>2.607561929595828E-2</c:v>
                </c:pt>
                <c:pt idx="14">
                  <c:v>0.11994784876140809</c:v>
                </c:pt>
                <c:pt idx="15">
                  <c:v>0.15775749674054759</c:v>
                </c:pt>
                <c:pt idx="16">
                  <c:v>2.0860495436766623E-2</c:v>
                </c:pt>
                <c:pt idx="17">
                  <c:v>7.822685788787484E-2</c:v>
                </c:pt>
              </c:numCache>
            </c:numRef>
          </c:val>
          <c:extLst>
            <c:ext xmlns:c16="http://schemas.microsoft.com/office/drawing/2014/chart" uri="{C3380CC4-5D6E-409C-BE32-E72D297353CC}">
              <c16:uniqueId val="{00000000-0152-42E9-876D-48168C644E88}"/>
            </c:ext>
          </c:extLst>
        </c:ser>
        <c:ser>
          <c:idx val="1"/>
          <c:order val="1"/>
          <c:tx>
            <c:strRef>
              <c:f>'グラフ(退院阻害要因＿２）'!$M$47</c:f>
              <c:strCache>
                <c:ptCount val="1"/>
                <c:pt idx="0">
                  <c:v>1年以上5年未満</c:v>
                </c:pt>
              </c:strCache>
            </c:strRef>
          </c:tx>
          <c:spPr>
            <a:solidFill>
              <a:schemeClr val="accent5">
                <a:tint val="86000"/>
              </a:schemeClr>
            </a:solidFill>
            <a:ln>
              <a:noFill/>
            </a:ln>
            <a:effectLst/>
          </c:spPr>
          <c:invertIfNegative val="0"/>
          <c:cat>
            <c:strRef>
              <c:f>'グラフ(退院阻害要因＿２）'!$K$48:$K$65</c:f>
              <c:strCache>
                <c:ptCount val="18"/>
                <c:pt idx="0">
                  <c:v>病状は落ち着いているが、ときどき不安定な病状が見られ、そのことが退院を阻害する要因になっている</c:v>
                </c:pt>
                <c:pt idx="1">
                  <c:v>病識がなく通院服薬の中断が予測される</c:v>
                </c:pt>
                <c:pt idx="2">
                  <c:v>反社会的行動が予測される</c:v>
                </c:pt>
                <c:pt idx="3">
                  <c:v>退院意欲が乏しい</c:v>
                </c:pt>
                <c:pt idx="4">
                  <c:v>現実認識が乏しい</c:v>
                </c:pt>
                <c:pt idx="5">
                  <c:v>退院による環境変化への不安が強い</c:v>
                </c:pt>
                <c:pt idx="6">
                  <c:v>援助者との対人関係がもてない</c:v>
                </c:pt>
                <c:pt idx="7">
                  <c:v>家事（食事・洗濯・金銭管理など）ができない</c:v>
                </c:pt>
                <c:pt idx="8">
                  <c:v>家族がいない・本人をサポートする機能が実質ない</c:v>
                </c:pt>
                <c:pt idx="9">
                  <c:v>家族が退院に反対している</c:v>
                </c:pt>
                <c:pt idx="10">
                  <c:v>住まいの確保ができない</c:v>
                </c:pt>
                <c:pt idx="11">
                  <c:v>生活費の確保ができない</c:v>
                </c:pt>
                <c:pt idx="12">
                  <c:v>日常生活を支える制度がない</c:v>
                </c:pt>
                <c:pt idx="13">
                  <c:v>救急診療体制がない</c:v>
                </c:pt>
                <c:pt idx="14">
                  <c:v>退院に向けてサポートする人的資源が乏しい</c:v>
                </c:pt>
                <c:pt idx="15">
                  <c:v>退院後サポート・マネジメントする人的資源が乏しい</c:v>
                </c:pt>
                <c:pt idx="16">
                  <c:v>住所地と入院先の距離があり支援体制がとりにくい</c:v>
                </c:pt>
                <c:pt idx="17">
                  <c:v>その他の退院阻害要因がある</c:v>
                </c:pt>
              </c:strCache>
            </c:strRef>
          </c:cat>
          <c:val>
            <c:numRef>
              <c:f>'グラフ(退院阻害要因＿２）'!$M$48:$M$65</c:f>
              <c:numCache>
                <c:formatCode>0.0%</c:formatCode>
                <c:ptCount val="18"/>
                <c:pt idx="0">
                  <c:v>0.35544430538172717</c:v>
                </c:pt>
                <c:pt idx="1">
                  <c:v>0.31914893617021278</c:v>
                </c:pt>
                <c:pt idx="2">
                  <c:v>6.0075093867334166E-2</c:v>
                </c:pt>
                <c:pt idx="3">
                  <c:v>0.35669586983729662</c:v>
                </c:pt>
                <c:pt idx="4">
                  <c:v>0.43554443053817271</c:v>
                </c:pt>
                <c:pt idx="5">
                  <c:v>0.30413016270337923</c:v>
                </c:pt>
                <c:pt idx="6">
                  <c:v>9.7622027534418024E-2</c:v>
                </c:pt>
                <c:pt idx="7">
                  <c:v>0.38423028785982477</c:v>
                </c:pt>
                <c:pt idx="8">
                  <c:v>0.18773466833541927</c:v>
                </c:pt>
                <c:pt idx="9">
                  <c:v>0.23904881101376721</c:v>
                </c:pt>
                <c:pt idx="10">
                  <c:v>0.37421777221526908</c:v>
                </c:pt>
                <c:pt idx="11">
                  <c:v>5.6320400500625784E-2</c:v>
                </c:pt>
                <c:pt idx="12">
                  <c:v>6.6332916145181484E-2</c:v>
                </c:pt>
                <c:pt idx="13">
                  <c:v>7.5093867334167707E-3</c:v>
                </c:pt>
                <c:pt idx="14">
                  <c:v>0.10137672090112641</c:v>
                </c:pt>
                <c:pt idx="15">
                  <c:v>0.10262828535669587</c:v>
                </c:pt>
                <c:pt idx="16">
                  <c:v>2.2528160200250311E-2</c:v>
                </c:pt>
                <c:pt idx="17">
                  <c:v>8.3854818523153948E-2</c:v>
                </c:pt>
              </c:numCache>
            </c:numRef>
          </c:val>
          <c:extLst>
            <c:ext xmlns:c16="http://schemas.microsoft.com/office/drawing/2014/chart" uri="{C3380CC4-5D6E-409C-BE32-E72D297353CC}">
              <c16:uniqueId val="{00000001-0152-42E9-876D-48168C644E88}"/>
            </c:ext>
          </c:extLst>
        </c:ser>
        <c:ser>
          <c:idx val="2"/>
          <c:order val="2"/>
          <c:tx>
            <c:strRef>
              <c:f>'グラフ(退院阻害要因＿２）'!$N$47</c:f>
              <c:strCache>
                <c:ptCount val="1"/>
                <c:pt idx="0">
                  <c:v>5年以上10年未満</c:v>
                </c:pt>
              </c:strCache>
            </c:strRef>
          </c:tx>
          <c:spPr>
            <a:solidFill>
              <a:schemeClr val="accent5">
                <a:shade val="86000"/>
              </a:schemeClr>
            </a:solidFill>
            <a:ln>
              <a:noFill/>
            </a:ln>
            <a:effectLst/>
          </c:spPr>
          <c:invertIfNegative val="0"/>
          <c:cat>
            <c:strRef>
              <c:f>'グラフ(退院阻害要因＿２）'!$K$48:$K$65</c:f>
              <c:strCache>
                <c:ptCount val="18"/>
                <c:pt idx="0">
                  <c:v>病状は落ち着いているが、ときどき不安定な病状が見られ、そのことが退院を阻害する要因になっている</c:v>
                </c:pt>
                <c:pt idx="1">
                  <c:v>病識がなく通院服薬の中断が予測される</c:v>
                </c:pt>
                <c:pt idx="2">
                  <c:v>反社会的行動が予測される</c:v>
                </c:pt>
                <c:pt idx="3">
                  <c:v>退院意欲が乏しい</c:v>
                </c:pt>
                <c:pt idx="4">
                  <c:v>現実認識が乏しい</c:v>
                </c:pt>
                <c:pt idx="5">
                  <c:v>退院による環境変化への不安が強い</c:v>
                </c:pt>
                <c:pt idx="6">
                  <c:v>援助者との対人関係がもてない</c:v>
                </c:pt>
                <c:pt idx="7">
                  <c:v>家事（食事・洗濯・金銭管理など）ができない</c:v>
                </c:pt>
                <c:pt idx="8">
                  <c:v>家族がいない・本人をサポートする機能が実質ない</c:v>
                </c:pt>
                <c:pt idx="9">
                  <c:v>家族が退院に反対している</c:v>
                </c:pt>
                <c:pt idx="10">
                  <c:v>住まいの確保ができない</c:v>
                </c:pt>
                <c:pt idx="11">
                  <c:v>生活費の確保ができない</c:v>
                </c:pt>
                <c:pt idx="12">
                  <c:v>日常生活を支える制度がない</c:v>
                </c:pt>
                <c:pt idx="13">
                  <c:v>救急診療体制がない</c:v>
                </c:pt>
                <c:pt idx="14">
                  <c:v>退院に向けてサポートする人的資源が乏しい</c:v>
                </c:pt>
                <c:pt idx="15">
                  <c:v>退院後サポート・マネジメントする人的資源が乏しい</c:v>
                </c:pt>
                <c:pt idx="16">
                  <c:v>住所地と入院先の距離があり支援体制がとりにくい</c:v>
                </c:pt>
                <c:pt idx="17">
                  <c:v>その他の退院阻害要因がある</c:v>
                </c:pt>
              </c:strCache>
            </c:strRef>
          </c:cat>
          <c:val>
            <c:numRef>
              <c:f>'グラフ(退院阻害要因＿２）'!$N$48:$N$65</c:f>
              <c:numCache>
                <c:formatCode>0.0%</c:formatCode>
                <c:ptCount val="18"/>
                <c:pt idx="0">
                  <c:v>0.37003058103975534</c:v>
                </c:pt>
                <c:pt idx="1">
                  <c:v>0.27522935779816515</c:v>
                </c:pt>
                <c:pt idx="2">
                  <c:v>8.2568807339449546E-2</c:v>
                </c:pt>
                <c:pt idx="3">
                  <c:v>0.47400611620795108</c:v>
                </c:pt>
                <c:pt idx="4">
                  <c:v>0.44342507645259938</c:v>
                </c:pt>
                <c:pt idx="5">
                  <c:v>0.38226299694189603</c:v>
                </c:pt>
                <c:pt idx="6">
                  <c:v>0.11926605504587157</c:v>
                </c:pt>
                <c:pt idx="7">
                  <c:v>0.38226299694189603</c:v>
                </c:pt>
                <c:pt idx="8">
                  <c:v>0.22018348623853212</c:v>
                </c:pt>
                <c:pt idx="9">
                  <c:v>0.3058103975535168</c:v>
                </c:pt>
                <c:pt idx="10">
                  <c:v>0.34556574923547401</c:v>
                </c:pt>
                <c:pt idx="11">
                  <c:v>4.5871559633027525E-2</c:v>
                </c:pt>
                <c:pt idx="12">
                  <c:v>5.8103975535168197E-2</c:v>
                </c:pt>
                <c:pt idx="13">
                  <c:v>3.0581039755351682E-3</c:v>
                </c:pt>
                <c:pt idx="14">
                  <c:v>0.11314984709480122</c:v>
                </c:pt>
                <c:pt idx="15">
                  <c:v>0.11314984709480122</c:v>
                </c:pt>
                <c:pt idx="16">
                  <c:v>3.0581039755351681E-2</c:v>
                </c:pt>
                <c:pt idx="17">
                  <c:v>5.5045871559633031E-2</c:v>
                </c:pt>
              </c:numCache>
            </c:numRef>
          </c:val>
          <c:extLst>
            <c:ext xmlns:c16="http://schemas.microsoft.com/office/drawing/2014/chart" uri="{C3380CC4-5D6E-409C-BE32-E72D297353CC}">
              <c16:uniqueId val="{00000002-0152-42E9-876D-48168C644E88}"/>
            </c:ext>
          </c:extLst>
        </c:ser>
        <c:ser>
          <c:idx val="3"/>
          <c:order val="3"/>
          <c:tx>
            <c:strRef>
              <c:f>'グラフ(退院阻害要因＿２）'!$O$47</c:f>
              <c:strCache>
                <c:ptCount val="1"/>
                <c:pt idx="0">
                  <c:v>10年以上</c:v>
                </c:pt>
              </c:strCache>
            </c:strRef>
          </c:tx>
          <c:spPr>
            <a:solidFill>
              <a:schemeClr val="accent5">
                <a:shade val="58000"/>
              </a:schemeClr>
            </a:solidFill>
            <a:ln>
              <a:noFill/>
            </a:ln>
            <a:effectLst/>
          </c:spPr>
          <c:invertIfNegative val="0"/>
          <c:cat>
            <c:strRef>
              <c:f>'グラフ(退院阻害要因＿２）'!$K$48:$K$65</c:f>
              <c:strCache>
                <c:ptCount val="18"/>
                <c:pt idx="0">
                  <c:v>病状は落ち着いているが、ときどき不安定な病状が見られ、そのことが退院を阻害する要因になっている</c:v>
                </c:pt>
                <c:pt idx="1">
                  <c:v>病識がなく通院服薬の中断が予測される</c:v>
                </c:pt>
                <c:pt idx="2">
                  <c:v>反社会的行動が予測される</c:v>
                </c:pt>
                <c:pt idx="3">
                  <c:v>退院意欲が乏しい</c:v>
                </c:pt>
                <c:pt idx="4">
                  <c:v>現実認識が乏しい</c:v>
                </c:pt>
                <c:pt idx="5">
                  <c:v>退院による環境変化への不安が強い</c:v>
                </c:pt>
                <c:pt idx="6">
                  <c:v>援助者との対人関係がもてない</c:v>
                </c:pt>
                <c:pt idx="7">
                  <c:v>家事（食事・洗濯・金銭管理など）ができない</c:v>
                </c:pt>
                <c:pt idx="8">
                  <c:v>家族がいない・本人をサポートする機能が実質ない</c:v>
                </c:pt>
                <c:pt idx="9">
                  <c:v>家族が退院に反対している</c:v>
                </c:pt>
                <c:pt idx="10">
                  <c:v>住まいの確保ができない</c:v>
                </c:pt>
                <c:pt idx="11">
                  <c:v>生活費の確保ができない</c:v>
                </c:pt>
                <c:pt idx="12">
                  <c:v>日常生活を支える制度がない</c:v>
                </c:pt>
                <c:pt idx="13">
                  <c:v>救急診療体制がない</c:v>
                </c:pt>
                <c:pt idx="14">
                  <c:v>退院に向けてサポートする人的資源が乏しい</c:v>
                </c:pt>
                <c:pt idx="15">
                  <c:v>退院後サポート・マネジメントする人的資源が乏しい</c:v>
                </c:pt>
                <c:pt idx="16">
                  <c:v>住所地と入院先の距離があり支援体制がとりにくい</c:v>
                </c:pt>
                <c:pt idx="17">
                  <c:v>その他の退院阻害要因がある</c:v>
                </c:pt>
              </c:strCache>
            </c:strRef>
          </c:cat>
          <c:val>
            <c:numRef>
              <c:f>'グラフ(退院阻害要因＿２）'!$O$48:$O$65</c:f>
              <c:numCache>
                <c:formatCode>0.0%</c:formatCode>
                <c:ptCount val="18"/>
                <c:pt idx="0">
                  <c:v>0.38117647058823528</c:v>
                </c:pt>
                <c:pt idx="1">
                  <c:v>0.36</c:v>
                </c:pt>
                <c:pt idx="2">
                  <c:v>5.1764705882352942E-2</c:v>
                </c:pt>
                <c:pt idx="3">
                  <c:v>0.51764705882352946</c:v>
                </c:pt>
                <c:pt idx="4">
                  <c:v>0.51764705882352946</c:v>
                </c:pt>
                <c:pt idx="5">
                  <c:v>0.3835294117647059</c:v>
                </c:pt>
                <c:pt idx="6">
                  <c:v>9.4117647058823528E-2</c:v>
                </c:pt>
                <c:pt idx="7">
                  <c:v>0.39294117647058824</c:v>
                </c:pt>
                <c:pt idx="8">
                  <c:v>0.22117647058823531</c:v>
                </c:pt>
                <c:pt idx="9">
                  <c:v>0.24705882352941178</c:v>
                </c:pt>
                <c:pt idx="10">
                  <c:v>0.26588235294117646</c:v>
                </c:pt>
                <c:pt idx="11">
                  <c:v>3.2941176470588238E-2</c:v>
                </c:pt>
                <c:pt idx="12">
                  <c:v>5.4117647058823527E-2</c:v>
                </c:pt>
                <c:pt idx="13">
                  <c:v>0</c:v>
                </c:pt>
                <c:pt idx="14">
                  <c:v>9.6470588235294114E-2</c:v>
                </c:pt>
                <c:pt idx="15">
                  <c:v>0.12470588235294118</c:v>
                </c:pt>
                <c:pt idx="16">
                  <c:v>1.6470588235294119E-2</c:v>
                </c:pt>
                <c:pt idx="17">
                  <c:v>6.3529411764705876E-2</c:v>
                </c:pt>
              </c:numCache>
            </c:numRef>
          </c:val>
          <c:extLst>
            <c:ext xmlns:c16="http://schemas.microsoft.com/office/drawing/2014/chart" uri="{C3380CC4-5D6E-409C-BE32-E72D297353CC}">
              <c16:uniqueId val="{00000003-0152-42E9-876D-48168C644E88}"/>
            </c:ext>
          </c:extLst>
        </c:ser>
        <c:dLbls>
          <c:showLegendKey val="0"/>
          <c:showVal val="0"/>
          <c:showCatName val="0"/>
          <c:showSerName val="0"/>
          <c:showPercent val="0"/>
          <c:showBubbleSize val="0"/>
        </c:dLbls>
        <c:gapWidth val="182"/>
        <c:axId val="1977369407"/>
        <c:axId val="1977377727"/>
      </c:barChart>
      <c:catAx>
        <c:axId val="1977369407"/>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977377727"/>
        <c:crosses val="autoZero"/>
        <c:auto val="1"/>
        <c:lblAlgn val="ctr"/>
        <c:lblOffset val="100"/>
        <c:noMultiLvlLbl val="0"/>
      </c:catAx>
      <c:valAx>
        <c:axId val="1977377727"/>
        <c:scaling>
          <c:orientation val="minMax"/>
        </c:scaling>
        <c:delete val="0"/>
        <c:axPos val="t"/>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97736940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cap="none" spc="20" baseline="0">
                <a:solidFill>
                  <a:schemeClr val="tx1">
                    <a:lumMod val="50000"/>
                    <a:lumOff val="50000"/>
                  </a:schemeClr>
                </a:solidFill>
                <a:latin typeface="メイリオ" panose="020B0604030504040204" pitchFamily="50" charset="-128"/>
                <a:ea typeface="メイリオ" panose="020B0604030504040204" pitchFamily="50" charset="-128"/>
                <a:cs typeface="+mn-cs"/>
              </a:defRPr>
            </a:pPr>
            <a:r>
              <a:rPr lang="en-US" altLang="ja-JP" sz="1200" b="1">
                <a:latin typeface="メイリオ" panose="020B0604030504040204" pitchFamily="50" charset="-128"/>
                <a:ea typeface="メイリオ" panose="020B0604030504040204" pitchFamily="50" charset="-128"/>
              </a:rPr>
              <a:t>1</a:t>
            </a:r>
            <a:r>
              <a:rPr lang="ja-JP" altLang="en-US" sz="1200" b="1">
                <a:latin typeface="メイリオ" panose="020B0604030504040204" pitchFamily="50" charset="-128"/>
                <a:ea typeface="メイリオ" panose="020B0604030504040204" pitchFamily="50" charset="-128"/>
              </a:rPr>
              <a:t>年以上</a:t>
            </a:r>
            <a:endParaRPr lang="ja-JP" sz="1200" b="1">
              <a:latin typeface="メイリオ" panose="020B0604030504040204" pitchFamily="50" charset="-128"/>
              <a:ea typeface="メイリオ" panose="020B0604030504040204" pitchFamily="50" charset="-128"/>
            </a:endParaRPr>
          </a:p>
        </c:rich>
      </c:tx>
      <c:layout>
        <c:manualLayout>
          <c:xMode val="edge"/>
          <c:yMode val="edge"/>
          <c:x val="0.38648181712605029"/>
          <c:y val="4.2469178077610917E-3"/>
        </c:manualLayout>
      </c:layout>
      <c:overlay val="0"/>
      <c:spPr>
        <a:noFill/>
        <a:ln>
          <a:noFill/>
        </a:ln>
        <a:effectLst/>
      </c:spPr>
      <c:txPr>
        <a:bodyPr rot="0" spcFirstLastPara="1" vertOverflow="ellipsis" vert="horz" wrap="square" anchor="ctr" anchorCtr="1"/>
        <a:lstStyle/>
        <a:p>
          <a:pPr>
            <a:defRPr sz="1200" b="1" i="0" u="none" strike="noStrike" kern="1200" cap="none" spc="20" baseline="0">
              <a:solidFill>
                <a:schemeClr val="tx1">
                  <a:lumMod val="50000"/>
                  <a:lumOff val="50000"/>
                </a:schemeClr>
              </a:solidFill>
              <a:latin typeface="メイリオ" panose="020B0604030504040204" pitchFamily="50" charset="-128"/>
              <a:ea typeface="メイリオ" panose="020B0604030504040204" pitchFamily="50" charset="-128"/>
              <a:cs typeface="+mn-cs"/>
            </a:defRPr>
          </a:pPr>
          <a:endParaRPr lang="ja-JP"/>
        </a:p>
      </c:txPr>
    </c:title>
    <c:autoTitleDeleted val="0"/>
    <c:plotArea>
      <c:layout/>
      <c:pieChart>
        <c:varyColors val="1"/>
        <c:ser>
          <c:idx val="0"/>
          <c:order val="0"/>
          <c:tx>
            <c:strRef>
              <c:f>'グラフ(年齢区分）'!$N$24</c:f>
              <c:strCache>
                <c:ptCount val="1"/>
                <c:pt idx="0">
                  <c:v>全体</c:v>
                </c:pt>
              </c:strCache>
            </c:strRef>
          </c:tx>
          <c:dPt>
            <c:idx val="0"/>
            <c:bubble3D val="0"/>
            <c:spPr>
              <a:gradFill rotWithShape="1">
                <a:gsLst>
                  <a:gs pos="0">
                    <a:schemeClr val="accent1">
                      <a:tint val="50000"/>
                      <a:satMod val="300000"/>
                    </a:schemeClr>
                  </a:gs>
                  <a:gs pos="35000">
                    <a:schemeClr val="accent1">
                      <a:tint val="37000"/>
                      <a:satMod val="300000"/>
                    </a:schemeClr>
                  </a:gs>
                  <a:gs pos="100000">
                    <a:schemeClr val="accent1">
                      <a:tint val="15000"/>
                      <a:satMod val="350000"/>
                    </a:schemeClr>
                  </a:gs>
                </a:gsLst>
                <a:lin ang="16200000" scaled="1"/>
              </a:gradFill>
              <a:ln w="9525" cap="flat" cmpd="sng" algn="ctr">
                <a:solidFill>
                  <a:schemeClr val="accent1">
                    <a:shade val="95000"/>
                  </a:schemeClr>
                </a:solidFill>
                <a:round/>
              </a:ln>
              <a:effectLst>
                <a:outerShdw blurRad="40000" dist="20000" dir="5400000" rotWithShape="0">
                  <a:srgbClr val="000000">
                    <a:alpha val="38000"/>
                  </a:srgbClr>
                </a:outerShdw>
              </a:effectLst>
            </c:spPr>
            <c:extLst>
              <c:ext xmlns:c16="http://schemas.microsoft.com/office/drawing/2014/chart" uri="{C3380CC4-5D6E-409C-BE32-E72D297353CC}">
                <c16:uniqueId val="{00000001-87C4-4E19-A588-C1D6E6E8F937}"/>
              </c:ext>
            </c:extLst>
          </c:dPt>
          <c:dPt>
            <c:idx val="1"/>
            <c:bubble3D val="0"/>
            <c:spPr>
              <a:gradFill rotWithShape="1">
                <a:gsLst>
                  <a:gs pos="0">
                    <a:schemeClr val="accent2">
                      <a:tint val="50000"/>
                      <a:satMod val="300000"/>
                    </a:schemeClr>
                  </a:gs>
                  <a:gs pos="35000">
                    <a:schemeClr val="accent2">
                      <a:tint val="37000"/>
                      <a:satMod val="300000"/>
                    </a:schemeClr>
                  </a:gs>
                  <a:gs pos="100000">
                    <a:schemeClr val="accent2">
                      <a:tint val="15000"/>
                      <a:satMod val="350000"/>
                    </a:schemeClr>
                  </a:gs>
                </a:gsLst>
                <a:lin ang="16200000" scaled="1"/>
              </a:gradFill>
              <a:ln w="9525" cap="flat" cmpd="sng" algn="ctr">
                <a:solidFill>
                  <a:schemeClr val="accent2">
                    <a:shade val="95000"/>
                  </a:schemeClr>
                </a:solidFill>
                <a:round/>
              </a:ln>
              <a:effectLst>
                <a:outerShdw blurRad="40000" dist="20000" dir="5400000" rotWithShape="0">
                  <a:srgbClr val="000000">
                    <a:alpha val="38000"/>
                  </a:srgbClr>
                </a:outerShdw>
              </a:effectLst>
            </c:spPr>
            <c:extLst>
              <c:ext xmlns:c16="http://schemas.microsoft.com/office/drawing/2014/chart" uri="{C3380CC4-5D6E-409C-BE32-E72D297353CC}">
                <c16:uniqueId val="{00000003-87C4-4E19-A588-C1D6E6E8F937}"/>
              </c:ext>
            </c:extLst>
          </c:dPt>
          <c:dPt>
            <c:idx val="2"/>
            <c:bubble3D val="0"/>
            <c:spPr>
              <a:gradFill rotWithShape="1">
                <a:gsLst>
                  <a:gs pos="0">
                    <a:schemeClr val="accent3">
                      <a:tint val="50000"/>
                      <a:satMod val="300000"/>
                    </a:schemeClr>
                  </a:gs>
                  <a:gs pos="35000">
                    <a:schemeClr val="accent3">
                      <a:tint val="37000"/>
                      <a:satMod val="300000"/>
                    </a:schemeClr>
                  </a:gs>
                  <a:gs pos="100000">
                    <a:schemeClr val="accent3">
                      <a:tint val="15000"/>
                      <a:satMod val="350000"/>
                    </a:schemeClr>
                  </a:gs>
                </a:gsLst>
                <a:lin ang="16200000" scaled="1"/>
              </a:gradFill>
              <a:ln w="9525" cap="flat" cmpd="sng" algn="ctr">
                <a:solidFill>
                  <a:schemeClr val="accent3">
                    <a:shade val="95000"/>
                  </a:schemeClr>
                </a:solidFill>
                <a:round/>
              </a:ln>
              <a:effectLst>
                <a:outerShdw blurRad="40000" dist="20000" dir="5400000" rotWithShape="0">
                  <a:srgbClr val="000000">
                    <a:alpha val="38000"/>
                  </a:srgbClr>
                </a:outerShdw>
              </a:effectLst>
            </c:spPr>
            <c:extLst>
              <c:ext xmlns:c16="http://schemas.microsoft.com/office/drawing/2014/chart" uri="{C3380CC4-5D6E-409C-BE32-E72D297353CC}">
                <c16:uniqueId val="{00000005-87C4-4E19-A588-C1D6E6E8F937}"/>
              </c:ext>
            </c:extLst>
          </c:dPt>
          <c:dPt>
            <c:idx val="3"/>
            <c:bubble3D val="0"/>
            <c:spPr>
              <a:gradFill rotWithShape="1">
                <a:gsLst>
                  <a:gs pos="0">
                    <a:schemeClr val="accent4">
                      <a:tint val="50000"/>
                      <a:satMod val="300000"/>
                    </a:schemeClr>
                  </a:gs>
                  <a:gs pos="35000">
                    <a:schemeClr val="accent4">
                      <a:tint val="37000"/>
                      <a:satMod val="300000"/>
                    </a:schemeClr>
                  </a:gs>
                  <a:gs pos="100000">
                    <a:schemeClr val="accent4">
                      <a:tint val="15000"/>
                      <a:satMod val="350000"/>
                    </a:schemeClr>
                  </a:gs>
                </a:gsLst>
                <a:lin ang="16200000" scaled="1"/>
              </a:gradFill>
              <a:ln w="9525" cap="flat" cmpd="sng" algn="ctr">
                <a:solidFill>
                  <a:schemeClr val="accent4">
                    <a:shade val="95000"/>
                  </a:schemeClr>
                </a:solidFill>
                <a:round/>
              </a:ln>
              <a:effectLst>
                <a:outerShdw blurRad="40000" dist="20000" dir="5400000" rotWithShape="0">
                  <a:srgbClr val="000000">
                    <a:alpha val="38000"/>
                  </a:srgbClr>
                </a:outerShdw>
              </a:effectLst>
            </c:spPr>
            <c:extLst>
              <c:ext xmlns:c16="http://schemas.microsoft.com/office/drawing/2014/chart" uri="{C3380CC4-5D6E-409C-BE32-E72D297353CC}">
                <c16:uniqueId val="{00000007-87C4-4E19-A588-C1D6E6E8F937}"/>
              </c:ext>
            </c:extLst>
          </c:dPt>
          <c:dPt>
            <c:idx val="4"/>
            <c:bubble3D val="0"/>
            <c:spPr>
              <a:gradFill rotWithShape="1">
                <a:gsLst>
                  <a:gs pos="0">
                    <a:schemeClr val="accent5">
                      <a:tint val="50000"/>
                      <a:satMod val="300000"/>
                    </a:schemeClr>
                  </a:gs>
                  <a:gs pos="35000">
                    <a:schemeClr val="accent5">
                      <a:tint val="37000"/>
                      <a:satMod val="300000"/>
                    </a:schemeClr>
                  </a:gs>
                  <a:gs pos="100000">
                    <a:schemeClr val="accent5">
                      <a:tint val="15000"/>
                      <a:satMod val="350000"/>
                    </a:schemeClr>
                  </a:gs>
                </a:gsLst>
                <a:lin ang="16200000" scaled="1"/>
              </a:gradFill>
              <a:ln w="9525" cap="flat" cmpd="sng" algn="ctr">
                <a:solidFill>
                  <a:schemeClr val="accent5">
                    <a:shade val="95000"/>
                  </a:schemeClr>
                </a:solidFill>
                <a:round/>
              </a:ln>
              <a:effectLst>
                <a:outerShdw blurRad="40000" dist="20000" dir="5400000" rotWithShape="0">
                  <a:srgbClr val="000000">
                    <a:alpha val="38000"/>
                  </a:srgbClr>
                </a:outerShdw>
              </a:effectLst>
            </c:spPr>
            <c:extLst>
              <c:ext xmlns:c16="http://schemas.microsoft.com/office/drawing/2014/chart" uri="{C3380CC4-5D6E-409C-BE32-E72D297353CC}">
                <c16:uniqueId val="{00000009-87C4-4E19-A588-C1D6E6E8F937}"/>
              </c:ext>
            </c:extLst>
          </c:dPt>
          <c:dPt>
            <c:idx val="5"/>
            <c:bubble3D val="0"/>
            <c:spPr>
              <a:gradFill rotWithShape="1">
                <a:gsLst>
                  <a:gs pos="0">
                    <a:schemeClr val="accent6">
                      <a:tint val="50000"/>
                      <a:satMod val="300000"/>
                    </a:schemeClr>
                  </a:gs>
                  <a:gs pos="35000">
                    <a:schemeClr val="accent6">
                      <a:tint val="37000"/>
                      <a:satMod val="300000"/>
                    </a:schemeClr>
                  </a:gs>
                  <a:gs pos="100000">
                    <a:schemeClr val="accent6">
                      <a:tint val="15000"/>
                      <a:satMod val="350000"/>
                    </a:schemeClr>
                  </a:gs>
                </a:gsLst>
                <a:lin ang="16200000" scaled="1"/>
              </a:gradFill>
              <a:ln w="9525" cap="flat" cmpd="sng" algn="ctr">
                <a:solidFill>
                  <a:schemeClr val="accent6">
                    <a:shade val="95000"/>
                  </a:schemeClr>
                </a:solidFill>
                <a:round/>
              </a:ln>
              <a:effectLst>
                <a:outerShdw blurRad="40000" dist="20000" dir="5400000" rotWithShape="0">
                  <a:srgbClr val="000000">
                    <a:alpha val="38000"/>
                  </a:srgbClr>
                </a:outerShdw>
              </a:effectLst>
            </c:spPr>
            <c:extLst>
              <c:ext xmlns:c16="http://schemas.microsoft.com/office/drawing/2014/chart" uri="{C3380CC4-5D6E-409C-BE32-E72D297353CC}">
                <c16:uniqueId val="{0000000B-87C4-4E19-A588-C1D6E6E8F937}"/>
              </c:ext>
            </c:extLst>
          </c:dPt>
          <c:dPt>
            <c:idx val="6"/>
            <c:bubble3D val="0"/>
            <c:spPr>
              <a:gradFill rotWithShape="1">
                <a:gsLst>
                  <a:gs pos="0">
                    <a:schemeClr val="accent1">
                      <a:lumMod val="60000"/>
                      <a:tint val="50000"/>
                      <a:satMod val="300000"/>
                    </a:schemeClr>
                  </a:gs>
                  <a:gs pos="35000">
                    <a:schemeClr val="accent1">
                      <a:lumMod val="60000"/>
                      <a:tint val="37000"/>
                      <a:satMod val="300000"/>
                    </a:schemeClr>
                  </a:gs>
                  <a:gs pos="100000">
                    <a:schemeClr val="accent1">
                      <a:lumMod val="60000"/>
                      <a:tint val="15000"/>
                      <a:satMod val="350000"/>
                    </a:schemeClr>
                  </a:gs>
                </a:gsLst>
                <a:lin ang="16200000" scaled="1"/>
              </a:gradFill>
              <a:ln w="9525" cap="flat" cmpd="sng" algn="ctr">
                <a:solidFill>
                  <a:schemeClr val="accent1">
                    <a:lumMod val="60000"/>
                    <a:shade val="95000"/>
                  </a:schemeClr>
                </a:solidFill>
                <a:round/>
              </a:ln>
              <a:effectLst>
                <a:outerShdw blurRad="40000" dist="20000" dir="5400000" rotWithShape="0">
                  <a:srgbClr val="000000">
                    <a:alpha val="38000"/>
                  </a:srgbClr>
                </a:outerShdw>
              </a:effectLst>
            </c:spPr>
            <c:extLst>
              <c:ext xmlns:c16="http://schemas.microsoft.com/office/drawing/2014/chart" uri="{C3380CC4-5D6E-409C-BE32-E72D297353CC}">
                <c16:uniqueId val="{0000000D-87C4-4E19-A588-C1D6E6E8F937}"/>
              </c:ext>
            </c:extLst>
          </c:dPt>
          <c:dPt>
            <c:idx val="7"/>
            <c:bubble3D val="0"/>
            <c:spPr>
              <a:gradFill rotWithShape="1">
                <a:gsLst>
                  <a:gs pos="0">
                    <a:schemeClr val="accent2">
                      <a:lumMod val="60000"/>
                      <a:tint val="50000"/>
                      <a:satMod val="300000"/>
                    </a:schemeClr>
                  </a:gs>
                  <a:gs pos="35000">
                    <a:schemeClr val="accent2">
                      <a:lumMod val="60000"/>
                      <a:tint val="37000"/>
                      <a:satMod val="300000"/>
                    </a:schemeClr>
                  </a:gs>
                  <a:gs pos="100000">
                    <a:schemeClr val="accent2">
                      <a:lumMod val="60000"/>
                      <a:tint val="15000"/>
                      <a:satMod val="350000"/>
                    </a:schemeClr>
                  </a:gs>
                </a:gsLst>
                <a:lin ang="16200000" scaled="1"/>
              </a:gradFill>
              <a:ln w="9525" cap="flat" cmpd="sng" algn="ctr">
                <a:solidFill>
                  <a:schemeClr val="accent2">
                    <a:lumMod val="60000"/>
                    <a:shade val="95000"/>
                  </a:schemeClr>
                </a:solidFill>
                <a:round/>
              </a:ln>
              <a:effectLst>
                <a:outerShdw blurRad="40000" dist="20000" dir="5400000" rotWithShape="0">
                  <a:srgbClr val="000000">
                    <a:alpha val="38000"/>
                  </a:srgbClr>
                </a:outerShdw>
              </a:effectLst>
            </c:spPr>
            <c:extLst>
              <c:ext xmlns:c16="http://schemas.microsoft.com/office/drawing/2014/chart" uri="{C3380CC4-5D6E-409C-BE32-E72D297353CC}">
                <c16:uniqueId val="{0000000F-87C4-4E19-A588-C1D6E6E8F937}"/>
              </c:ext>
            </c:extLst>
          </c:dPt>
          <c:dPt>
            <c:idx val="8"/>
            <c:bubble3D val="0"/>
            <c:spPr>
              <a:gradFill rotWithShape="1">
                <a:gsLst>
                  <a:gs pos="0">
                    <a:schemeClr val="accent3">
                      <a:lumMod val="60000"/>
                      <a:tint val="50000"/>
                      <a:satMod val="300000"/>
                    </a:schemeClr>
                  </a:gs>
                  <a:gs pos="35000">
                    <a:schemeClr val="accent3">
                      <a:lumMod val="60000"/>
                      <a:tint val="37000"/>
                      <a:satMod val="300000"/>
                    </a:schemeClr>
                  </a:gs>
                  <a:gs pos="100000">
                    <a:schemeClr val="accent3">
                      <a:lumMod val="60000"/>
                      <a:tint val="15000"/>
                      <a:satMod val="350000"/>
                    </a:schemeClr>
                  </a:gs>
                </a:gsLst>
                <a:lin ang="16200000" scaled="1"/>
              </a:gradFill>
              <a:ln w="9525" cap="flat" cmpd="sng" algn="ctr">
                <a:solidFill>
                  <a:schemeClr val="accent3">
                    <a:lumMod val="60000"/>
                    <a:shade val="95000"/>
                  </a:schemeClr>
                </a:solidFill>
                <a:round/>
              </a:ln>
              <a:effectLst>
                <a:outerShdw blurRad="40000" dist="20000" dir="5400000" rotWithShape="0">
                  <a:srgbClr val="000000">
                    <a:alpha val="38000"/>
                  </a:srgbClr>
                </a:outerShdw>
              </a:effectLst>
            </c:spPr>
            <c:extLst>
              <c:ext xmlns:c16="http://schemas.microsoft.com/office/drawing/2014/chart" uri="{C3380CC4-5D6E-409C-BE32-E72D297353CC}">
                <c16:uniqueId val="{00000011-87C4-4E19-A588-C1D6E6E8F937}"/>
              </c:ext>
            </c:extLst>
          </c:dPt>
          <c:dLbls>
            <c:dLbl>
              <c:idx val="0"/>
              <c:layout>
                <c:manualLayout>
                  <c:x val="-0.27836110507870193"/>
                  <c:y val="1.6283553695199838E-2"/>
                </c:manualLayout>
              </c:layout>
              <c:dLblPos val="bestFit"/>
              <c:showLegendKey val="0"/>
              <c:showVal val="1"/>
              <c:showCatName val="1"/>
              <c:showSerName val="0"/>
              <c:showPercent val="1"/>
              <c:showBubbleSize val="0"/>
              <c:separator>
</c:separator>
              <c:extLst>
                <c:ext xmlns:c15="http://schemas.microsoft.com/office/drawing/2012/chart" uri="{CE6537A1-D6FC-4f65-9D91-7224C49458BB}">
                  <c15:layout/>
                </c:ext>
                <c:ext xmlns:c16="http://schemas.microsoft.com/office/drawing/2014/chart" uri="{C3380CC4-5D6E-409C-BE32-E72D297353CC}">
                  <c16:uniqueId val="{00000001-87C4-4E19-A588-C1D6E6E8F937}"/>
                </c:ext>
              </c:extLst>
            </c:dLbl>
            <c:dLbl>
              <c:idx val="2"/>
              <c:layout>
                <c:manualLayout>
                  <c:x val="0.33990567645036779"/>
                  <c:y val="1.3534110355313458E-2"/>
                </c:manualLayout>
              </c:layout>
              <c:dLblPos val="bestFit"/>
              <c:showLegendKey val="0"/>
              <c:showVal val="1"/>
              <c:showCatName val="1"/>
              <c:showSerName val="0"/>
              <c:showPercent val="1"/>
              <c:showBubbleSize val="0"/>
              <c:separator>
</c:separator>
              <c:extLst>
                <c:ext xmlns:c15="http://schemas.microsoft.com/office/drawing/2012/chart" uri="{CE6537A1-D6FC-4f65-9D91-7224C49458BB}">
                  <c15:layout/>
                </c:ext>
                <c:ext xmlns:c16="http://schemas.microsoft.com/office/drawing/2014/chart" uri="{C3380CC4-5D6E-409C-BE32-E72D297353CC}">
                  <c16:uniqueId val="{00000005-87C4-4E19-A588-C1D6E6E8F937}"/>
                </c:ext>
              </c:extLst>
            </c:dLbl>
            <c:dLbl>
              <c:idx val="3"/>
              <c:layout>
                <c:manualLayout>
                  <c:x val="0.17455195863993636"/>
                  <c:y val="0.24873225366206869"/>
                </c:manualLayout>
              </c:layout>
              <c:dLblPos val="bestFit"/>
              <c:showLegendKey val="0"/>
              <c:showVal val="1"/>
              <c:showCatName val="1"/>
              <c:showSerName val="0"/>
              <c:showPercent val="1"/>
              <c:showBubbleSize val="0"/>
              <c:separator>
</c:separator>
              <c:extLst>
                <c:ext xmlns:c15="http://schemas.microsoft.com/office/drawing/2012/chart" uri="{CE6537A1-D6FC-4f65-9D91-7224C49458BB}">
                  <c15:layout/>
                </c:ext>
                <c:ext xmlns:c16="http://schemas.microsoft.com/office/drawing/2014/chart" uri="{C3380CC4-5D6E-409C-BE32-E72D297353CC}">
                  <c16:uniqueId val="{00000007-87C4-4E19-A588-C1D6E6E8F937}"/>
                </c:ext>
              </c:extLst>
            </c:dLbl>
            <c:dLbl>
              <c:idx val="8"/>
              <c:layout>
                <c:manualLayout>
                  <c:x val="-0.32627366487454124"/>
                  <c:y val="0.21771092715444265"/>
                </c:manualLayout>
              </c:layout>
              <c:dLblPos val="bestFit"/>
              <c:showLegendKey val="0"/>
              <c:showVal val="1"/>
              <c:showCatName val="1"/>
              <c:showSerName val="0"/>
              <c:showPercent val="1"/>
              <c:showBubbleSize val="0"/>
              <c:separator>
</c:separator>
              <c:extLst>
                <c:ext xmlns:c15="http://schemas.microsoft.com/office/drawing/2012/chart" uri="{CE6537A1-D6FC-4f65-9D91-7224C49458BB}">
                  <c15:layout/>
                </c:ext>
                <c:ext xmlns:c16="http://schemas.microsoft.com/office/drawing/2014/chart" uri="{C3380CC4-5D6E-409C-BE32-E72D297353CC}">
                  <c16:uniqueId val="{00000011-87C4-4E19-A588-C1D6E6E8F937}"/>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dLblPos val="bestFit"/>
            <c:showLegendKey val="0"/>
            <c:showVal val="1"/>
            <c:showCatName val="1"/>
            <c:showSerName val="0"/>
            <c:showPercent val="1"/>
            <c:showBubbleSize val="0"/>
            <c:separator>
</c:separator>
            <c:showLeaderLines val="1"/>
            <c:leaderLines>
              <c:spPr>
                <a:ln w="9525">
                  <a:solidFill>
                    <a:schemeClr val="tx1">
                      <a:lumMod val="35000"/>
                      <a:lumOff val="65000"/>
                    </a:schemeClr>
                  </a:solidFill>
                </a:ln>
                <a:effectLst/>
              </c:spPr>
            </c:leaderLines>
            <c:extLst>
              <c:ext xmlns:c15="http://schemas.microsoft.com/office/drawing/2012/chart" uri="{CE6537A1-D6FC-4f65-9D91-7224C49458BB}">
                <c15:layout/>
              </c:ext>
            </c:extLst>
          </c:dLbls>
          <c:cat>
            <c:strRef>
              <c:f>'グラフ(年齢区分）'!$M$25:$M$33</c:f>
              <c:strCache>
                <c:ptCount val="9"/>
                <c:pt idx="0">
                  <c:v>19歳以下</c:v>
                </c:pt>
                <c:pt idx="1">
                  <c:v>20歳代</c:v>
                </c:pt>
                <c:pt idx="2">
                  <c:v>30歳代</c:v>
                </c:pt>
                <c:pt idx="3">
                  <c:v>40歳代</c:v>
                </c:pt>
                <c:pt idx="4">
                  <c:v>50歳代</c:v>
                </c:pt>
                <c:pt idx="5">
                  <c:v>60歳代</c:v>
                </c:pt>
                <c:pt idx="6">
                  <c:v>70歳代</c:v>
                </c:pt>
                <c:pt idx="7">
                  <c:v>80歳代</c:v>
                </c:pt>
                <c:pt idx="8">
                  <c:v>90歳以上</c:v>
                </c:pt>
              </c:strCache>
            </c:strRef>
          </c:cat>
          <c:val>
            <c:numRef>
              <c:f>'グラフ(年齢区分）'!$N$25:$N$33</c:f>
              <c:numCache>
                <c:formatCode>#,##0"人"</c:formatCode>
                <c:ptCount val="9"/>
                <c:pt idx="0">
                  <c:v>4</c:v>
                </c:pt>
                <c:pt idx="1">
                  <c:v>79</c:v>
                </c:pt>
                <c:pt idx="2">
                  <c:v>269</c:v>
                </c:pt>
                <c:pt idx="3">
                  <c:v>827</c:v>
                </c:pt>
                <c:pt idx="4">
                  <c:v>1506</c:v>
                </c:pt>
                <c:pt idx="5">
                  <c:v>1846</c:v>
                </c:pt>
                <c:pt idx="6">
                  <c:v>2510</c:v>
                </c:pt>
                <c:pt idx="7">
                  <c:v>1692</c:v>
                </c:pt>
                <c:pt idx="8">
                  <c:v>409</c:v>
                </c:pt>
              </c:numCache>
            </c:numRef>
          </c:val>
          <c:extLst>
            <c:ext xmlns:c16="http://schemas.microsoft.com/office/drawing/2014/chart" uri="{C3380CC4-5D6E-409C-BE32-E72D297353CC}">
              <c16:uniqueId val="{00000012-87C4-4E19-A588-C1D6E6E8F937}"/>
            </c:ext>
          </c:extLst>
        </c:ser>
        <c:dLbls>
          <c:showLegendKey val="0"/>
          <c:showVal val="1"/>
          <c:showCatName val="0"/>
          <c:showSerName val="0"/>
          <c:showPercent val="0"/>
          <c:showBubbleSize val="0"/>
          <c:showLeaderLines val="1"/>
        </c:dLbls>
        <c:firstSliceAng val="0"/>
      </c:pie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cap="none" spc="20" baseline="0">
                <a:solidFill>
                  <a:schemeClr val="tx1">
                    <a:lumMod val="50000"/>
                    <a:lumOff val="50000"/>
                  </a:schemeClr>
                </a:solidFill>
                <a:latin typeface="メイリオ" panose="020B0604030504040204" pitchFamily="50" charset="-128"/>
                <a:ea typeface="メイリオ" panose="020B0604030504040204" pitchFamily="50" charset="-128"/>
                <a:cs typeface="+mn-cs"/>
              </a:defRPr>
            </a:pPr>
            <a:r>
              <a:rPr lang="en-US" altLang="ja-JP" sz="1200" b="1">
                <a:latin typeface="メイリオ" panose="020B0604030504040204" pitchFamily="50" charset="-128"/>
                <a:ea typeface="メイリオ" panose="020B0604030504040204" pitchFamily="50" charset="-128"/>
              </a:rPr>
              <a:t>1</a:t>
            </a:r>
            <a:r>
              <a:rPr lang="ja-JP" altLang="en-US" sz="1200" b="1">
                <a:latin typeface="メイリオ" panose="020B0604030504040204" pitchFamily="50" charset="-128"/>
                <a:ea typeface="メイリオ" panose="020B0604030504040204" pitchFamily="50" charset="-128"/>
              </a:rPr>
              <a:t>年以上＿寛解・院内寛解群</a:t>
            </a:r>
            <a:endParaRPr lang="ja-JP" sz="1200" b="1">
              <a:latin typeface="メイリオ" panose="020B0604030504040204" pitchFamily="50" charset="-128"/>
              <a:ea typeface="メイリオ" panose="020B0604030504040204" pitchFamily="50" charset="-128"/>
            </a:endParaRPr>
          </a:p>
        </c:rich>
      </c:tx>
      <c:layout>
        <c:manualLayout>
          <c:xMode val="edge"/>
          <c:yMode val="edge"/>
          <c:x val="0.14308928157393586"/>
          <c:y val="4.2469178077610917E-3"/>
        </c:manualLayout>
      </c:layout>
      <c:overlay val="0"/>
      <c:spPr>
        <a:noFill/>
        <a:ln>
          <a:noFill/>
        </a:ln>
        <a:effectLst/>
      </c:spPr>
      <c:txPr>
        <a:bodyPr rot="0" spcFirstLastPara="1" vertOverflow="ellipsis" vert="horz" wrap="square" anchor="ctr" anchorCtr="1"/>
        <a:lstStyle/>
        <a:p>
          <a:pPr>
            <a:defRPr sz="1200" b="1" i="0" u="none" strike="noStrike" kern="1200" cap="none" spc="20" baseline="0">
              <a:solidFill>
                <a:schemeClr val="tx1">
                  <a:lumMod val="50000"/>
                  <a:lumOff val="50000"/>
                </a:schemeClr>
              </a:solidFill>
              <a:latin typeface="メイリオ" panose="020B0604030504040204" pitchFamily="50" charset="-128"/>
              <a:ea typeface="メイリオ" panose="020B0604030504040204" pitchFamily="50" charset="-128"/>
              <a:cs typeface="+mn-cs"/>
            </a:defRPr>
          </a:pPr>
          <a:endParaRPr lang="ja-JP"/>
        </a:p>
      </c:txPr>
    </c:title>
    <c:autoTitleDeleted val="0"/>
    <c:plotArea>
      <c:layout/>
      <c:pieChart>
        <c:varyColors val="1"/>
        <c:ser>
          <c:idx val="2"/>
          <c:order val="0"/>
          <c:tx>
            <c:strRef>
              <c:f>'グラフ(年齢区分）'!$Q$24</c:f>
              <c:strCache>
                <c:ptCount val="1"/>
                <c:pt idx="0">
                  <c:v>寛解院内寛解合計</c:v>
                </c:pt>
              </c:strCache>
            </c:strRef>
          </c:tx>
          <c:dPt>
            <c:idx val="0"/>
            <c:bubble3D val="0"/>
            <c:spPr>
              <a:gradFill rotWithShape="1">
                <a:gsLst>
                  <a:gs pos="0">
                    <a:schemeClr val="accent1">
                      <a:tint val="50000"/>
                      <a:satMod val="300000"/>
                    </a:schemeClr>
                  </a:gs>
                  <a:gs pos="35000">
                    <a:schemeClr val="accent1">
                      <a:tint val="37000"/>
                      <a:satMod val="300000"/>
                    </a:schemeClr>
                  </a:gs>
                  <a:gs pos="100000">
                    <a:schemeClr val="accent1">
                      <a:tint val="15000"/>
                      <a:satMod val="350000"/>
                    </a:schemeClr>
                  </a:gs>
                </a:gsLst>
                <a:lin ang="16200000" scaled="1"/>
              </a:gradFill>
              <a:ln w="9525" cap="flat" cmpd="sng" algn="ctr">
                <a:solidFill>
                  <a:schemeClr val="accent1">
                    <a:shade val="95000"/>
                  </a:schemeClr>
                </a:solidFill>
                <a:round/>
              </a:ln>
              <a:effectLst>
                <a:outerShdw blurRad="40000" dist="20000" dir="5400000" rotWithShape="0">
                  <a:srgbClr val="000000">
                    <a:alpha val="38000"/>
                  </a:srgbClr>
                </a:outerShdw>
              </a:effectLst>
            </c:spPr>
            <c:extLst>
              <c:ext xmlns:c16="http://schemas.microsoft.com/office/drawing/2014/chart" uri="{C3380CC4-5D6E-409C-BE32-E72D297353CC}">
                <c16:uniqueId val="{00000001-87D7-4ED7-B8D5-2FA851AD94E9}"/>
              </c:ext>
            </c:extLst>
          </c:dPt>
          <c:dPt>
            <c:idx val="1"/>
            <c:bubble3D val="0"/>
            <c:spPr>
              <a:gradFill rotWithShape="1">
                <a:gsLst>
                  <a:gs pos="0">
                    <a:schemeClr val="accent2">
                      <a:tint val="50000"/>
                      <a:satMod val="300000"/>
                    </a:schemeClr>
                  </a:gs>
                  <a:gs pos="35000">
                    <a:schemeClr val="accent2">
                      <a:tint val="37000"/>
                      <a:satMod val="300000"/>
                    </a:schemeClr>
                  </a:gs>
                  <a:gs pos="100000">
                    <a:schemeClr val="accent2">
                      <a:tint val="15000"/>
                      <a:satMod val="350000"/>
                    </a:schemeClr>
                  </a:gs>
                </a:gsLst>
                <a:lin ang="16200000" scaled="1"/>
              </a:gradFill>
              <a:ln w="9525" cap="flat" cmpd="sng" algn="ctr">
                <a:solidFill>
                  <a:schemeClr val="accent2">
                    <a:shade val="95000"/>
                  </a:schemeClr>
                </a:solidFill>
                <a:round/>
              </a:ln>
              <a:effectLst>
                <a:outerShdw blurRad="40000" dist="20000" dir="5400000" rotWithShape="0">
                  <a:srgbClr val="000000">
                    <a:alpha val="38000"/>
                  </a:srgbClr>
                </a:outerShdw>
              </a:effectLst>
            </c:spPr>
            <c:extLst>
              <c:ext xmlns:c16="http://schemas.microsoft.com/office/drawing/2014/chart" uri="{C3380CC4-5D6E-409C-BE32-E72D297353CC}">
                <c16:uniqueId val="{00000017-251C-4F2A-979C-971E5018C526}"/>
              </c:ext>
            </c:extLst>
          </c:dPt>
          <c:dPt>
            <c:idx val="2"/>
            <c:bubble3D val="0"/>
            <c:spPr>
              <a:gradFill rotWithShape="1">
                <a:gsLst>
                  <a:gs pos="0">
                    <a:schemeClr val="accent3">
                      <a:tint val="50000"/>
                      <a:satMod val="300000"/>
                    </a:schemeClr>
                  </a:gs>
                  <a:gs pos="35000">
                    <a:schemeClr val="accent3">
                      <a:tint val="37000"/>
                      <a:satMod val="300000"/>
                    </a:schemeClr>
                  </a:gs>
                  <a:gs pos="100000">
                    <a:schemeClr val="accent3">
                      <a:tint val="15000"/>
                      <a:satMod val="350000"/>
                    </a:schemeClr>
                  </a:gs>
                </a:gsLst>
                <a:lin ang="16200000" scaled="1"/>
              </a:gradFill>
              <a:ln w="9525" cap="flat" cmpd="sng" algn="ctr">
                <a:solidFill>
                  <a:schemeClr val="accent3">
                    <a:shade val="95000"/>
                  </a:schemeClr>
                </a:solidFill>
                <a:round/>
              </a:ln>
              <a:effectLst>
                <a:outerShdw blurRad="40000" dist="20000" dir="5400000" rotWithShape="0">
                  <a:srgbClr val="000000">
                    <a:alpha val="38000"/>
                  </a:srgbClr>
                </a:outerShdw>
              </a:effectLst>
            </c:spPr>
            <c:extLst>
              <c:ext xmlns:c16="http://schemas.microsoft.com/office/drawing/2014/chart" uri="{C3380CC4-5D6E-409C-BE32-E72D297353CC}">
                <c16:uniqueId val="{00000016-251C-4F2A-979C-971E5018C526}"/>
              </c:ext>
            </c:extLst>
          </c:dPt>
          <c:dPt>
            <c:idx val="3"/>
            <c:bubble3D val="0"/>
            <c:spPr>
              <a:gradFill rotWithShape="1">
                <a:gsLst>
                  <a:gs pos="0">
                    <a:schemeClr val="accent4">
                      <a:tint val="50000"/>
                      <a:satMod val="300000"/>
                    </a:schemeClr>
                  </a:gs>
                  <a:gs pos="35000">
                    <a:schemeClr val="accent4">
                      <a:tint val="37000"/>
                      <a:satMod val="300000"/>
                    </a:schemeClr>
                  </a:gs>
                  <a:gs pos="100000">
                    <a:schemeClr val="accent4">
                      <a:tint val="15000"/>
                      <a:satMod val="350000"/>
                    </a:schemeClr>
                  </a:gs>
                </a:gsLst>
                <a:lin ang="16200000" scaled="1"/>
              </a:gradFill>
              <a:ln w="9525" cap="flat" cmpd="sng" algn="ctr">
                <a:solidFill>
                  <a:schemeClr val="accent4">
                    <a:shade val="95000"/>
                  </a:schemeClr>
                </a:solidFill>
                <a:round/>
              </a:ln>
              <a:effectLst>
                <a:outerShdw blurRad="40000" dist="20000" dir="5400000" rotWithShape="0">
                  <a:srgbClr val="000000">
                    <a:alpha val="38000"/>
                  </a:srgbClr>
                </a:outerShdw>
              </a:effectLst>
            </c:spPr>
            <c:extLst>
              <c:ext xmlns:c16="http://schemas.microsoft.com/office/drawing/2014/chart" uri="{C3380CC4-5D6E-409C-BE32-E72D297353CC}">
                <c16:uniqueId val="{00000007-87D7-4ED7-B8D5-2FA851AD94E9}"/>
              </c:ext>
            </c:extLst>
          </c:dPt>
          <c:dPt>
            <c:idx val="4"/>
            <c:bubble3D val="0"/>
            <c:spPr>
              <a:gradFill rotWithShape="1">
                <a:gsLst>
                  <a:gs pos="0">
                    <a:schemeClr val="accent5">
                      <a:tint val="50000"/>
                      <a:satMod val="300000"/>
                    </a:schemeClr>
                  </a:gs>
                  <a:gs pos="35000">
                    <a:schemeClr val="accent5">
                      <a:tint val="37000"/>
                      <a:satMod val="300000"/>
                    </a:schemeClr>
                  </a:gs>
                  <a:gs pos="100000">
                    <a:schemeClr val="accent5">
                      <a:tint val="15000"/>
                      <a:satMod val="350000"/>
                    </a:schemeClr>
                  </a:gs>
                </a:gsLst>
                <a:lin ang="16200000" scaled="1"/>
              </a:gradFill>
              <a:ln w="9525" cap="flat" cmpd="sng" algn="ctr">
                <a:solidFill>
                  <a:schemeClr val="accent5">
                    <a:shade val="95000"/>
                  </a:schemeClr>
                </a:solidFill>
                <a:round/>
              </a:ln>
              <a:effectLst>
                <a:outerShdw blurRad="40000" dist="20000" dir="5400000" rotWithShape="0">
                  <a:srgbClr val="000000">
                    <a:alpha val="38000"/>
                  </a:srgbClr>
                </a:outerShdw>
              </a:effectLst>
            </c:spPr>
            <c:extLst>
              <c:ext xmlns:c16="http://schemas.microsoft.com/office/drawing/2014/chart" uri="{C3380CC4-5D6E-409C-BE32-E72D297353CC}">
                <c16:uniqueId val="{00000009-87D7-4ED7-B8D5-2FA851AD94E9}"/>
              </c:ext>
            </c:extLst>
          </c:dPt>
          <c:dPt>
            <c:idx val="5"/>
            <c:bubble3D val="0"/>
            <c:spPr>
              <a:gradFill rotWithShape="1">
                <a:gsLst>
                  <a:gs pos="0">
                    <a:schemeClr val="accent6">
                      <a:tint val="50000"/>
                      <a:satMod val="300000"/>
                    </a:schemeClr>
                  </a:gs>
                  <a:gs pos="35000">
                    <a:schemeClr val="accent6">
                      <a:tint val="37000"/>
                      <a:satMod val="300000"/>
                    </a:schemeClr>
                  </a:gs>
                  <a:gs pos="100000">
                    <a:schemeClr val="accent6">
                      <a:tint val="15000"/>
                      <a:satMod val="350000"/>
                    </a:schemeClr>
                  </a:gs>
                </a:gsLst>
                <a:lin ang="16200000" scaled="1"/>
              </a:gradFill>
              <a:ln w="9525" cap="flat" cmpd="sng" algn="ctr">
                <a:solidFill>
                  <a:schemeClr val="accent6">
                    <a:shade val="95000"/>
                  </a:schemeClr>
                </a:solidFill>
                <a:round/>
              </a:ln>
              <a:effectLst>
                <a:outerShdw blurRad="40000" dist="20000" dir="5400000" rotWithShape="0">
                  <a:srgbClr val="000000">
                    <a:alpha val="38000"/>
                  </a:srgbClr>
                </a:outerShdw>
              </a:effectLst>
            </c:spPr>
            <c:extLst>
              <c:ext xmlns:c16="http://schemas.microsoft.com/office/drawing/2014/chart" uri="{C3380CC4-5D6E-409C-BE32-E72D297353CC}">
                <c16:uniqueId val="{0000000B-87D7-4ED7-B8D5-2FA851AD94E9}"/>
              </c:ext>
            </c:extLst>
          </c:dPt>
          <c:dPt>
            <c:idx val="6"/>
            <c:bubble3D val="0"/>
            <c:spPr>
              <a:gradFill rotWithShape="1">
                <a:gsLst>
                  <a:gs pos="0">
                    <a:schemeClr val="accent1">
                      <a:lumMod val="60000"/>
                      <a:tint val="50000"/>
                      <a:satMod val="300000"/>
                    </a:schemeClr>
                  </a:gs>
                  <a:gs pos="35000">
                    <a:schemeClr val="accent1">
                      <a:lumMod val="60000"/>
                      <a:tint val="37000"/>
                      <a:satMod val="300000"/>
                    </a:schemeClr>
                  </a:gs>
                  <a:gs pos="100000">
                    <a:schemeClr val="accent1">
                      <a:lumMod val="60000"/>
                      <a:tint val="15000"/>
                      <a:satMod val="350000"/>
                    </a:schemeClr>
                  </a:gs>
                </a:gsLst>
                <a:lin ang="16200000" scaled="1"/>
              </a:gradFill>
              <a:ln w="9525" cap="flat" cmpd="sng" algn="ctr">
                <a:solidFill>
                  <a:schemeClr val="accent1">
                    <a:lumMod val="60000"/>
                    <a:shade val="95000"/>
                  </a:schemeClr>
                </a:solidFill>
                <a:round/>
              </a:ln>
              <a:effectLst>
                <a:outerShdw blurRad="40000" dist="20000" dir="5400000" rotWithShape="0">
                  <a:srgbClr val="000000">
                    <a:alpha val="38000"/>
                  </a:srgbClr>
                </a:outerShdw>
              </a:effectLst>
            </c:spPr>
            <c:extLst>
              <c:ext xmlns:c16="http://schemas.microsoft.com/office/drawing/2014/chart" uri="{C3380CC4-5D6E-409C-BE32-E72D297353CC}">
                <c16:uniqueId val="{0000000D-87D7-4ED7-B8D5-2FA851AD94E9}"/>
              </c:ext>
            </c:extLst>
          </c:dPt>
          <c:dPt>
            <c:idx val="7"/>
            <c:bubble3D val="0"/>
            <c:spPr>
              <a:gradFill rotWithShape="1">
                <a:gsLst>
                  <a:gs pos="0">
                    <a:schemeClr val="accent2">
                      <a:lumMod val="60000"/>
                      <a:tint val="50000"/>
                      <a:satMod val="300000"/>
                    </a:schemeClr>
                  </a:gs>
                  <a:gs pos="35000">
                    <a:schemeClr val="accent2">
                      <a:lumMod val="60000"/>
                      <a:tint val="37000"/>
                      <a:satMod val="300000"/>
                    </a:schemeClr>
                  </a:gs>
                  <a:gs pos="100000">
                    <a:schemeClr val="accent2">
                      <a:lumMod val="60000"/>
                      <a:tint val="15000"/>
                      <a:satMod val="350000"/>
                    </a:schemeClr>
                  </a:gs>
                </a:gsLst>
                <a:lin ang="16200000" scaled="1"/>
              </a:gradFill>
              <a:ln w="9525" cap="flat" cmpd="sng" algn="ctr">
                <a:solidFill>
                  <a:schemeClr val="accent2">
                    <a:lumMod val="60000"/>
                    <a:shade val="95000"/>
                  </a:schemeClr>
                </a:solidFill>
                <a:round/>
              </a:ln>
              <a:effectLst>
                <a:outerShdw blurRad="40000" dist="20000" dir="5400000" rotWithShape="0">
                  <a:srgbClr val="000000">
                    <a:alpha val="38000"/>
                  </a:srgbClr>
                </a:outerShdw>
              </a:effectLst>
            </c:spPr>
            <c:extLst>
              <c:ext xmlns:c16="http://schemas.microsoft.com/office/drawing/2014/chart" uri="{C3380CC4-5D6E-409C-BE32-E72D297353CC}">
                <c16:uniqueId val="{0000000F-87D7-4ED7-B8D5-2FA851AD94E9}"/>
              </c:ext>
            </c:extLst>
          </c:dPt>
          <c:dPt>
            <c:idx val="8"/>
            <c:bubble3D val="0"/>
            <c:spPr>
              <a:gradFill rotWithShape="1">
                <a:gsLst>
                  <a:gs pos="0">
                    <a:schemeClr val="accent3">
                      <a:lumMod val="60000"/>
                      <a:tint val="50000"/>
                      <a:satMod val="300000"/>
                    </a:schemeClr>
                  </a:gs>
                  <a:gs pos="35000">
                    <a:schemeClr val="accent3">
                      <a:lumMod val="60000"/>
                      <a:tint val="37000"/>
                      <a:satMod val="300000"/>
                    </a:schemeClr>
                  </a:gs>
                  <a:gs pos="100000">
                    <a:schemeClr val="accent3">
                      <a:lumMod val="60000"/>
                      <a:tint val="15000"/>
                      <a:satMod val="350000"/>
                    </a:schemeClr>
                  </a:gs>
                </a:gsLst>
                <a:lin ang="16200000" scaled="1"/>
              </a:gradFill>
              <a:ln w="9525" cap="flat" cmpd="sng" algn="ctr">
                <a:solidFill>
                  <a:schemeClr val="accent3">
                    <a:lumMod val="60000"/>
                    <a:shade val="95000"/>
                  </a:schemeClr>
                </a:solidFill>
                <a:round/>
              </a:ln>
              <a:effectLst>
                <a:outerShdw blurRad="40000" dist="20000" dir="5400000" rotWithShape="0">
                  <a:srgbClr val="000000">
                    <a:alpha val="38000"/>
                  </a:srgbClr>
                </a:outerShdw>
              </a:effectLst>
            </c:spPr>
            <c:extLst>
              <c:ext xmlns:c16="http://schemas.microsoft.com/office/drawing/2014/chart" uri="{C3380CC4-5D6E-409C-BE32-E72D297353CC}">
                <c16:uniqueId val="{00000015-251C-4F2A-979C-971E5018C526}"/>
              </c:ext>
            </c:extLst>
          </c:dPt>
          <c:dLbls>
            <c:dLbl>
              <c:idx val="0"/>
              <c:layout>
                <c:manualLayout>
                  <c:x val="4.8609290302615543E-2"/>
                  <c:y val="3.1295899340856338E-2"/>
                </c:manualLayout>
              </c:layout>
              <c:numFmt formatCode="0.0%" sourceLinked="0"/>
              <c:spPr>
                <a:noFill/>
                <a:ln>
                  <a:noFill/>
                </a:ln>
                <a:effectLst/>
              </c:spPr>
              <c:txPr>
                <a:bodyPr rot="0" spcFirstLastPara="1" vertOverflow="ellipsis" vert="horz" wrap="square" lIns="38100" tIns="19050" rIns="38100" bIns="19050" anchor="ctr" anchorCtr="1">
                  <a:noAutofit/>
                </a:bodyPr>
                <a:lstStyle/>
                <a:p>
                  <a:pPr>
                    <a:defRPr sz="7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showLegendKey val="0"/>
              <c:showVal val="1"/>
              <c:showCatName val="1"/>
              <c:showSerName val="0"/>
              <c:showPercent val="1"/>
              <c:showBubbleSize val="0"/>
              <c:separator>
</c:separator>
              <c:extLst>
                <c:ext xmlns:c15="http://schemas.microsoft.com/office/drawing/2012/chart" uri="{CE6537A1-D6FC-4f65-9D91-7224C49458BB}">
                  <c15:layout>
                    <c:manualLayout>
                      <c:w val="0.16400973287572884"/>
                      <c:h val="0.19374068504064387"/>
                    </c:manualLayout>
                  </c15:layout>
                </c:ext>
                <c:ext xmlns:c16="http://schemas.microsoft.com/office/drawing/2014/chart" uri="{C3380CC4-5D6E-409C-BE32-E72D297353CC}">
                  <c16:uniqueId val="{00000001-87D7-4ED7-B8D5-2FA851AD94E9}"/>
                </c:ext>
              </c:extLst>
            </c:dLbl>
            <c:dLbl>
              <c:idx val="1"/>
              <c:layout>
                <c:manualLayout>
                  <c:x val="0.36627846945923404"/>
                  <c:y val="-1.6694230897177708E-2"/>
                </c:manualLayout>
              </c:layout>
              <c:showLegendKey val="0"/>
              <c:showVal val="1"/>
              <c:showCatName val="1"/>
              <c:showSerName val="0"/>
              <c:showPercent val="1"/>
              <c:showBubbleSize val="0"/>
              <c:separator>
</c:separator>
              <c:extLst>
                <c:ext xmlns:c15="http://schemas.microsoft.com/office/drawing/2012/chart" uri="{CE6537A1-D6FC-4f65-9D91-7224C49458BB}">
                  <c15:layout/>
                </c:ext>
                <c:ext xmlns:c16="http://schemas.microsoft.com/office/drawing/2014/chart" uri="{C3380CC4-5D6E-409C-BE32-E72D297353CC}">
                  <c16:uniqueId val="{00000017-251C-4F2A-979C-971E5018C526}"/>
                </c:ext>
              </c:extLst>
            </c:dLbl>
            <c:dLbl>
              <c:idx val="2"/>
              <c:layout>
                <c:manualLayout>
                  <c:x val="0.34462212859545499"/>
                  <c:y val="0.13780111402945591"/>
                </c:manualLayout>
              </c:layout>
              <c:showLegendKey val="0"/>
              <c:showVal val="1"/>
              <c:showCatName val="1"/>
              <c:showSerName val="0"/>
              <c:showPercent val="1"/>
              <c:showBubbleSize val="0"/>
              <c:separator>
</c:separator>
              <c:extLst>
                <c:ext xmlns:c15="http://schemas.microsoft.com/office/drawing/2012/chart" uri="{CE6537A1-D6FC-4f65-9D91-7224C49458BB}">
                  <c15:layout/>
                </c:ext>
                <c:ext xmlns:c16="http://schemas.microsoft.com/office/drawing/2014/chart" uri="{C3380CC4-5D6E-409C-BE32-E72D297353CC}">
                  <c16:uniqueId val="{00000016-251C-4F2A-979C-971E5018C526}"/>
                </c:ext>
              </c:extLst>
            </c:dLbl>
            <c:dLbl>
              <c:idx val="3"/>
              <c:layout>
                <c:manualLayout>
                  <c:x val="0.18769109709184731"/>
                  <c:y val="0.28390358136862903"/>
                </c:manualLayout>
              </c:layout>
              <c:showLegendKey val="0"/>
              <c:showVal val="1"/>
              <c:showCatName val="1"/>
              <c:showSerName val="0"/>
              <c:showPercent val="1"/>
              <c:showBubbleSize val="0"/>
              <c:separator>
</c:separator>
              <c:extLst>
                <c:ext xmlns:c15="http://schemas.microsoft.com/office/drawing/2012/chart" uri="{CE6537A1-D6FC-4f65-9D91-7224C49458BB}">
                  <c15:layout/>
                </c:ext>
                <c:ext xmlns:c16="http://schemas.microsoft.com/office/drawing/2014/chart" uri="{C3380CC4-5D6E-409C-BE32-E72D297353CC}">
                  <c16:uniqueId val="{00000007-87D7-4ED7-B8D5-2FA851AD94E9}"/>
                </c:ext>
              </c:extLst>
            </c:dLbl>
            <c:dLbl>
              <c:idx val="8"/>
              <c:layout>
                <c:manualLayout>
                  <c:x val="-0.34032132457659492"/>
                  <c:y val="0.10710738364511815"/>
                </c:manualLayout>
              </c:layout>
              <c:showLegendKey val="0"/>
              <c:showVal val="1"/>
              <c:showCatName val="1"/>
              <c:showSerName val="0"/>
              <c:showPercent val="1"/>
              <c:showBubbleSize val="0"/>
              <c:separator>
</c:separator>
              <c:extLst>
                <c:ext xmlns:c15="http://schemas.microsoft.com/office/drawing/2012/chart" uri="{CE6537A1-D6FC-4f65-9D91-7224C49458BB}">
                  <c15:layout/>
                </c:ext>
                <c:ext xmlns:c16="http://schemas.microsoft.com/office/drawing/2014/chart" uri="{C3380CC4-5D6E-409C-BE32-E72D297353CC}">
                  <c16:uniqueId val="{00000015-251C-4F2A-979C-971E5018C526}"/>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showLegendKey val="0"/>
            <c:showVal val="1"/>
            <c:showCatName val="1"/>
            <c:showSerName val="0"/>
            <c:showPercent val="1"/>
            <c:showBubbleSize val="0"/>
            <c:separator>
</c:separator>
            <c:showLeaderLines val="1"/>
            <c:leaderLines>
              <c:spPr>
                <a:ln w="9525">
                  <a:solidFill>
                    <a:schemeClr val="tx1">
                      <a:lumMod val="35000"/>
                      <a:lumOff val="65000"/>
                    </a:schemeClr>
                  </a:solidFill>
                </a:ln>
                <a:effectLst/>
              </c:spPr>
            </c:leaderLines>
            <c:extLst>
              <c:ext xmlns:c15="http://schemas.microsoft.com/office/drawing/2012/chart" uri="{CE6537A1-D6FC-4f65-9D91-7224C49458BB}">
                <c15:layout/>
              </c:ext>
            </c:extLst>
          </c:dLbls>
          <c:cat>
            <c:strRef>
              <c:f>'グラフ(年齢区分）'!$M$25:$M$33</c:f>
              <c:strCache>
                <c:ptCount val="9"/>
                <c:pt idx="0">
                  <c:v>19歳以下</c:v>
                </c:pt>
                <c:pt idx="1">
                  <c:v>20歳代</c:v>
                </c:pt>
                <c:pt idx="2">
                  <c:v>30歳代</c:v>
                </c:pt>
                <c:pt idx="3">
                  <c:v>40歳代</c:v>
                </c:pt>
                <c:pt idx="4">
                  <c:v>50歳代</c:v>
                </c:pt>
                <c:pt idx="5">
                  <c:v>60歳代</c:v>
                </c:pt>
                <c:pt idx="6">
                  <c:v>70歳代</c:v>
                </c:pt>
                <c:pt idx="7">
                  <c:v>80歳代</c:v>
                </c:pt>
                <c:pt idx="8">
                  <c:v>90歳以上</c:v>
                </c:pt>
              </c:strCache>
            </c:strRef>
          </c:cat>
          <c:val>
            <c:numRef>
              <c:f>'グラフ(年齢区分）'!$Q$25:$Q$33</c:f>
              <c:numCache>
                <c:formatCode>#,##0"人"</c:formatCode>
                <c:ptCount val="9"/>
                <c:pt idx="0">
                  <c:v>0</c:v>
                </c:pt>
                <c:pt idx="1">
                  <c:v>4</c:v>
                </c:pt>
                <c:pt idx="2">
                  <c:v>21</c:v>
                </c:pt>
                <c:pt idx="3">
                  <c:v>64</c:v>
                </c:pt>
                <c:pt idx="4">
                  <c:v>101</c:v>
                </c:pt>
                <c:pt idx="5">
                  <c:v>129</c:v>
                </c:pt>
                <c:pt idx="6">
                  <c:v>164</c:v>
                </c:pt>
                <c:pt idx="7">
                  <c:v>80</c:v>
                </c:pt>
                <c:pt idx="8">
                  <c:v>10</c:v>
                </c:pt>
              </c:numCache>
            </c:numRef>
          </c:val>
          <c:extLst>
            <c:ext xmlns:c16="http://schemas.microsoft.com/office/drawing/2014/chart" uri="{C3380CC4-5D6E-409C-BE32-E72D297353CC}">
              <c16:uniqueId val="{00000014-251C-4F2A-979C-971E5018C526}"/>
            </c:ext>
          </c:extLst>
        </c:ser>
        <c:dLbls>
          <c:showLegendKey val="0"/>
          <c:showVal val="1"/>
          <c:showCatName val="0"/>
          <c:showSerName val="0"/>
          <c:showPercent val="0"/>
          <c:showBubbleSize val="0"/>
          <c:showLeaderLines val="1"/>
        </c:dLbls>
        <c:firstSliceAng val="0"/>
      </c:pie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cap="none" spc="20" baseline="0">
                <a:solidFill>
                  <a:schemeClr val="tx1">
                    <a:lumMod val="50000"/>
                    <a:lumOff val="50000"/>
                  </a:schemeClr>
                </a:solidFill>
                <a:latin typeface="メイリオ" panose="020B0604030504040204" pitchFamily="50" charset="-128"/>
                <a:ea typeface="メイリオ" panose="020B0604030504040204" pitchFamily="50" charset="-128"/>
                <a:cs typeface="+mn-cs"/>
              </a:defRPr>
            </a:pPr>
            <a:r>
              <a:rPr lang="en-US" altLang="ja-JP" sz="1200" b="1">
                <a:latin typeface="メイリオ" panose="020B0604030504040204" pitchFamily="50" charset="-128"/>
                <a:ea typeface="メイリオ" panose="020B0604030504040204" pitchFamily="50" charset="-128"/>
              </a:rPr>
              <a:t>65</a:t>
            </a:r>
            <a:r>
              <a:rPr lang="ja-JP" altLang="en-US" sz="1200" b="1">
                <a:latin typeface="メイリオ" panose="020B0604030504040204" pitchFamily="50" charset="-128"/>
                <a:ea typeface="メイリオ" panose="020B0604030504040204" pitchFamily="50" charset="-128"/>
              </a:rPr>
              <a:t>歳以上</a:t>
            </a:r>
            <a:endParaRPr lang="ja-JP" sz="1200" b="1">
              <a:latin typeface="メイリオ" panose="020B0604030504040204" pitchFamily="50" charset="-128"/>
              <a:ea typeface="メイリオ" panose="020B0604030504040204" pitchFamily="50" charset="-128"/>
            </a:endParaRPr>
          </a:p>
        </c:rich>
      </c:tx>
      <c:layout>
        <c:manualLayout>
          <c:xMode val="edge"/>
          <c:yMode val="edge"/>
          <c:x val="0.36990981962620362"/>
          <c:y val="8.4938356155221835E-3"/>
        </c:manualLayout>
      </c:layout>
      <c:overlay val="0"/>
      <c:spPr>
        <a:noFill/>
        <a:ln>
          <a:noFill/>
        </a:ln>
        <a:effectLst/>
      </c:spPr>
      <c:txPr>
        <a:bodyPr rot="0" spcFirstLastPara="1" vertOverflow="ellipsis" vert="horz" wrap="square" anchor="ctr" anchorCtr="1"/>
        <a:lstStyle/>
        <a:p>
          <a:pPr>
            <a:defRPr sz="1200" b="1" i="0" u="none" strike="noStrike" kern="1200" cap="none" spc="20" baseline="0">
              <a:solidFill>
                <a:schemeClr val="tx1">
                  <a:lumMod val="50000"/>
                  <a:lumOff val="50000"/>
                </a:schemeClr>
              </a:solidFill>
              <a:latin typeface="メイリオ" panose="020B0604030504040204" pitchFamily="50" charset="-128"/>
              <a:ea typeface="メイリオ" panose="020B0604030504040204" pitchFamily="50" charset="-128"/>
              <a:cs typeface="+mn-cs"/>
            </a:defRPr>
          </a:pPr>
          <a:endParaRPr lang="ja-JP"/>
        </a:p>
      </c:txPr>
    </c:title>
    <c:autoTitleDeleted val="0"/>
    <c:plotArea>
      <c:layout/>
      <c:pieChart>
        <c:varyColors val="1"/>
        <c:ser>
          <c:idx val="0"/>
          <c:order val="0"/>
          <c:tx>
            <c:strRef>
              <c:f>'グラフ(年齢区分）'!$N$45</c:f>
              <c:strCache>
                <c:ptCount val="1"/>
                <c:pt idx="0">
                  <c:v>全体</c:v>
                </c:pt>
              </c:strCache>
            </c:strRef>
          </c:tx>
          <c:dPt>
            <c:idx val="0"/>
            <c:bubble3D val="0"/>
            <c:spPr>
              <a:gradFill rotWithShape="1">
                <a:gsLst>
                  <a:gs pos="0">
                    <a:schemeClr val="accent1">
                      <a:tint val="50000"/>
                      <a:satMod val="300000"/>
                    </a:schemeClr>
                  </a:gs>
                  <a:gs pos="35000">
                    <a:schemeClr val="accent1">
                      <a:tint val="37000"/>
                      <a:satMod val="300000"/>
                    </a:schemeClr>
                  </a:gs>
                  <a:gs pos="100000">
                    <a:schemeClr val="accent1">
                      <a:tint val="15000"/>
                      <a:satMod val="350000"/>
                    </a:schemeClr>
                  </a:gs>
                </a:gsLst>
                <a:lin ang="16200000" scaled="1"/>
              </a:gradFill>
              <a:ln w="9525" cap="flat" cmpd="sng" algn="ctr">
                <a:solidFill>
                  <a:schemeClr val="accent1">
                    <a:shade val="95000"/>
                  </a:schemeClr>
                </a:solidFill>
                <a:round/>
              </a:ln>
              <a:effectLst>
                <a:outerShdw blurRad="40000" dist="20000" dir="5400000" rotWithShape="0">
                  <a:srgbClr val="000000">
                    <a:alpha val="38000"/>
                  </a:srgbClr>
                </a:outerShdw>
              </a:effectLst>
            </c:spPr>
            <c:extLst>
              <c:ext xmlns:c16="http://schemas.microsoft.com/office/drawing/2014/chart" uri="{C3380CC4-5D6E-409C-BE32-E72D297353CC}">
                <c16:uniqueId val="{00000001-0ED0-4E11-9694-FEF92E0CA9E5}"/>
              </c:ext>
            </c:extLst>
          </c:dPt>
          <c:dPt>
            <c:idx val="1"/>
            <c:bubble3D val="0"/>
            <c:spPr>
              <a:gradFill rotWithShape="1">
                <a:gsLst>
                  <a:gs pos="0">
                    <a:schemeClr val="accent2">
                      <a:tint val="50000"/>
                      <a:satMod val="300000"/>
                    </a:schemeClr>
                  </a:gs>
                  <a:gs pos="35000">
                    <a:schemeClr val="accent2">
                      <a:tint val="37000"/>
                      <a:satMod val="300000"/>
                    </a:schemeClr>
                  </a:gs>
                  <a:gs pos="100000">
                    <a:schemeClr val="accent2">
                      <a:tint val="15000"/>
                      <a:satMod val="350000"/>
                    </a:schemeClr>
                  </a:gs>
                </a:gsLst>
                <a:lin ang="16200000" scaled="1"/>
              </a:gradFill>
              <a:ln w="9525" cap="flat" cmpd="sng" algn="ctr">
                <a:solidFill>
                  <a:schemeClr val="accent2">
                    <a:shade val="95000"/>
                  </a:schemeClr>
                </a:solidFill>
                <a:round/>
              </a:ln>
              <a:effectLst>
                <a:outerShdw blurRad="40000" dist="20000" dir="5400000" rotWithShape="0">
                  <a:srgbClr val="000000">
                    <a:alpha val="38000"/>
                  </a:srgbClr>
                </a:outerShdw>
              </a:effectLst>
            </c:spPr>
            <c:extLst>
              <c:ext xmlns:c16="http://schemas.microsoft.com/office/drawing/2014/chart" uri="{C3380CC4-5D6E-409C-BE32-E72D297353CC}">
                <c16:uniqueId val="{00000003-0ED0-4E11-9694-FEF92E0CA9E5}"/>
              </c:ext>
            </c:extLst>
          </c:dPt>
          <c:dPt>
            <c:idx val="2"/>
            <c:bubble3D val="0"/>
            <c:spPr>
              <a:gradFill rotWithShape="1">
                <a:gsLst>
                  <a:gs pos="0">
                    <a:schemeClr val="accent3">
                      <a:tint val="50000"/>
                      <a:satMod val="300000"/>
                    </a:schemeClr>
                  </a:gs>
                  <a:gs pos="35000">
                    <a:schemeClr val="accent3">
                      <a:tint val="37000"/>
                      <a:satMod val="300000"/>
                    </a:schemeClr>
                  </a:gs>
                  <a:gs pos="100000">
                    <a:schemeClr val="accent3">
                      <a:tint val="15000"/>
                      <a:satMod val="350000"/>
                    </a:schemeClr>
                  </a:gs>
                </a:gsLst>
                <a:lin ang="16200000" scaled="1"/>
              </a:gradFill>
              <a:ln w="9525" cap="flat" cmpd="sng" algn="ctr">
                <a:solidFill>
                  <a:schemeClr val="accent3">
                    <a:shade val="95000"/>
                  </a:schemeClr>
                </a:solidFill>
                <a:round/>
              </a:ln>
              <a:effectLst>
                <a:outerShdw blurRad="40000" dist="20000" dir="5400000" rotWithShape="0">
                  <a:srgbClr val="000000">
                    <a:alpha val="38000"/>
                  </a:srgbClr>
                </a:outerShdw>
              </a:effectLst>
            </c:spPr>
            <c:extLst>
              <c:ext xmlns:c16="http://schemas.microsoft.com/office/drawing/2014/chart" uri="{C3380CC4-5D6E-409C-BE32-E72D297353CC}">
                <c16:uniqueId val="{00000005-0ED0-4E11-9694-FEF92E0CA9E5}"/>
              </c:ext>
            </c:extLst>
          </c:dPt>
          <c:dPt>
            <c:idx val="3"/>
            <c:bubble3D val="0"/>
            <c:spPr>
              <a:gradFill rotWithShape="1">
                <a:gsLst>
                  <a:gs pos="0">
                    <a:schemeClr val="accent4">
                      <a:tint val="50000"/>
                      <a:satMod val="300000"/>
                    </a:schemeClr>
                  </a:gs>
                  <a:gs pos="35000">
                    <a:schemeClr val="accent4">
                      <a:tint val="37000"/>
                      <a:satMod val="300000"/>
                    </a:schemeClr>
                  </a:gs>
                  <a:gs pos="100000">
                    <a:schemeClr val="accent4">
                      <a:tint val="15000"/>
                      <a:satMod val="350000"/>
                    </a:schemeClr>
                  </a:gs>
                </a:gsLst>
                <a:lin ang="16200000" scaled="1"/>
              </a:gradFill>
              <a:ln w="9525" cap="flat" cmpd="sng" algn="ctr">
                <a:solidFill>
                  <a:schemeClr val="accent4">
                    <a:shade val="95000"/>
                  </a:schemeClr>
                </a:solidFill>
                <a:round/>
              </a:ln>
              <a:effectLst>
                <a:outerShdw blurRad="40000" dist="20000" dir="5400000" rotWithShape="0">
                  <a:srgbClr val="000000">
                    <a:alpha val="38000"/>
                  </a:srgbClr>
                </a:outerShdw>
              </a:effectLst>
            </c:spPr>
            <c:extLst>
              <c:ext xmlns:c16="http://schemas.microsoft.com/office/drawing/2014/chart" uri="{C3380CC4-5D6E-409C-BE32-E72D297353CC}">
                <c16:uniqueId val="{00000007-0ED0-4E11-9694-FEF92E0CA9E5}"/>
              </c:ext>
            </c:extLst>
          </c:dPt>
          <c:dPt>
            <c:idx val="4"/>
            <c:bubble3D val="0"/>
            <c:spPr>
              <a:gradFill rotWithShape="1">
                <a:gsLst>
                  <a:gs pos="0">
                    <a:schemeClr val="accent5">
                      <a:tint val="50000"/>
                      <a:satMod val="300000"/>
                    </a:schemeClr>
                  </a:gs>
                  <a:gs pos="35000">
                    <a:schemeClr val="accent5">
                      <a:tint val="37000"/>
                      <a:satMod val="300000"/>
                    </a:schemeClr>
                  </a:gs>
                  <a:gs pos="100000">
                    <a:schemeClr val="accent5">
                      <a:tint val="15000"/>
                      <a:satMod val="350000"/>
                    </a:schemeClr>
                  </a:gs>
                </a:gsLst>
                <a:lin ang="16200000" scaled="1"/>
              </a:gradFill>
              <a:ln w="9525" cap="flat" cmpd="sng" algn="ctr">
                <a:solidFill>
                  <a:schemeClr val="accent5">
                    <a:shade val="95000"/>
                  </a:schemeClr>
                </a:solidFill>
                <a:round/>
              </a:ln>
              <a:effectLst>
                <a:outerShdw blurRad="40000" dist="20000" dir="5400000" rotWithShape="0">
                  <a:srgbClr val="000000">
                    <a:alpha val="38000"/>
                  </a:srgbClr>
                </a:outerShdw>
              </a:effectLst>
            </c:spPr>
            <c:extLst>
              <c:ext xmlns:c16="http://schemas.microsoft.com/office/drawing/2014/chart" uri="{C3380CC4-5D6E-409C-BE32-E72D297353CC}">
                <c16:uniqueId val="{00000009-0ED0-4E11-9694-FEF92E0CA9E5}"/>
              </c:ext>
            </c:extLst>
          </c:dPt>
          <c:dPt>
            <c:idx val="5"/>
            <c:bubble3D val="0"/>
            <c:spPr>
              <a:gradFill rotWithShape="1">
                <a:gsLst>
                  <a:gs pos="0">
                    <a:schemeClr val="accent6">
                      <a:tint val="50000"/>
                      <a:satMod val="300000"/>
                    </a:schemeClr>
                  </a:gs>
                  <a:gs pos="35000">
                    <a:schemeClr val="accent6">
                      <a:tint val="37000"/>
                      <a:satMod val="300000"/>
                    </a:schemeClr>
                  </a:gs>
                  <a:gs pos="100000">
                    <a:schemeClr val="accent6">
                      <a:tint val="15000"/>
                      <a:satMod val="350000"/>
                    </a:schemeClr>
                  </a:gs>
                </a:gsLst>
                <a:lin ang="16200000" scaled="1"/>
              </a:gradFill>
              <a:ln w="9525" cap="flat" cmpd="sng" algn="ctr">
                <a:solidFill>
                  <a:schemeClr val="accent6">
                    <a:shade val="95000"/>
                  </a:schemeClr>
                </a:solidFill>
                <a:round/>
              </a:ln>
              <a:effectLst>
                <a:outerShdw blurRad="40000" dist="20000" dir="5400000" rotWithShape="0">
                  <a:srgbClr val="000000">
                    <a:alpha val="38000"/>
                  </a:srgbClr>
                </a:outerShdw>
              </a:effectLst>
            </c:spPr>
            <c:extLst>
              <c:ext xmlns:c16="http://schemas.microsoft.com/office/drawing/2014/chart" uri="{C3380CC4-5D6E-409C-BE32-E72D297353CC}">
                <c16:uniqueId val="{0000000B-0ED0-4E11-9694-FEF92E0CA9E5}"/>
              </c:ext>
            </c:extLst>
          </c:dPt>
          <c:dPt>
            <c:idx val="6"/>
            <c:bubble3D val="0"/>
            <c:spPr>
              <a:gradFill rotWithShape="1">
                <a:gsLst>
                  <a:gs pos="0">
                    <a:schemeClr val="accent1">
                      <a:lumMod val="60000"/>
                      <a:tint val="50000"/>
                      <a:satMod val="300000"/>
                    </a:schemeClr>
                  </a:gs>
                  <a:gs pos="35000">
                    <a:schemeClr val="accent1">
                      <a:lumMod val="60000"/>
                      <a:tint val="37000"/>
                      <a:satMod val="300000"/>
                    </a:schemeClr>
                  </a:gs>
                  <a:gs pos="100000">
                    <a:schemeClr val="accent1">
                      <a:lumMod val="60000"/>
                      <a:tint val="15000"/>
                      <a:satMod val="350000"/>
                    </a:schemeClr>
                  </a:gs>
                </a:gsLst>
                <a:lin ang="16200000" scaled="1"/>
              </a:gradFill>
              <a:ln w="9525" cap="flat" cmpd="sng" algn="ctr">
                <a:solidFill>
                  <a:schemeClr val="accent1">
                    <a:lumMod val="60000"/>
                    <a:shade val="95000"/>
                  </a:schemeClr>
                </a:solidFill>
                <a:round/>
              </a:ln>
              <a:effectLst>
                <a:outerShdw blurRad="40000" dist="20000" dir="5400000" rotWithShape="0">
                  <a:srgbClr val="000000">
                    <a:alpha val="38000"/>
                  </a:srgbClr>
                </a:outerShdw>
              </a:effectLst>
            </c:spPr>
            <c:extLst>
              <c:ext xmlns:c16="http://schemas.microsoft.com/office/drawing/2014/chart" uri="{C3380CC4-5D6E-409C-BE32-E72D297353CC}">
                <c16:uniqueId val="{0000000D-0ED0-4E11-9694-FEF92E0CA9E5}"/>
              </c:ext>
            </c:extLst>
          </c:dPt>
          <c:dPt>
            <c:idx val="7"/>
            <c:bubble3D val="0"/>
            <c:spPr>
              <a:gradFill rotWithShape="1">
                <a:gsLst>
                  <a:gs pos="0">
                    <a:schemeClr val="accent2">
                      <a:lumMod val="60000"/>
                      <a:tint val="50000"/>
                      <a:satMod val="300000"/>
                    </a:schemeClr>
                  </a:gs>
                  <a:gs pos="35000">
                    <a:schemeClr val="accent2">
                      <a:lumMod val="60000"/>
                      <a:tint val="37000"/>
                      <a:satMod val="300000"/>
                    </a:schemeClr>
                  </a:gs>
                  <a:gs pos="100000">
                    <a:schemeClr val="accent2">
                      <a:lumMod val="60000"/>
                      <a:tint val="15000"/>
                      <a:satMod val="350000"/>
                    </a:schemeClr>
                  </a:gs>
                </a:gsLst>
                <a:lin ang="16200000" scaled="1"/>
              </a:gradFill>
              <a:ln w="9525" cap="flat" cmpd="sng" algn="ctr">
                <a:solidFill>
                  <a:schemeClr val="accent2">
                    <a:lumMod val="60000"/>
                    <a:shade val="95000"/>
                  </a:schemeClr>
                </a:solidFill>
                <a:round/>
              </a:ln>
              <a:effectLst>
                <a:outerShdw blurRad="40000" dist="20000" dir="5400000" rotWithShape="0">
                  <a:srgbClr val="000000">
                    <a:alpha val="38000"/>
                  </a:srgbClr>
                </a:outerShdw>
              </a:effectLst>
            </c:spPr>
            <c:extLst>
              <c:ext xmlns:c16="http://schemas.microsoft.com/office/drawing/2014/chart" uri="{C3380CC4-5D6E-409C-BE32-E72D297353CC}">
                <c16:uniqueId val="{0000000F-0ED0-4E11-9694-FEF92E0CA9E5}"/>
              </c:ext>
            </c:extLst>
          </c:dPt>
          <c:dPt>
            <c:idx val="8"/>
            <c:bubble3D val="0"/>
            <c:spPr>
              <a:gradFill rotWithShape="1">
                <a:gsLst>
                  <a:gs pos="0">
                    <a:schemeClr val="accent3">
                      <a:lumMod val="60000"/>
                      <a:tint val="50000"/>
                      <a:satMod val="300000"/>
                    </a:schemeClr>
                  </a:gs>
                  <a:gs pos="35000">
                    <a:schemeClr val="accent3">
                      <a:lumMod val="60000"/>
                      <a:tint val="37000"/>
                      <a:satMod val="300000"/>
                    </a:schemeClr>
                  </a:gs>
                  <a:gs pos="100000">
                    <a:schemeClr val="accent3">
                      <a:lumMod val="60000"/>
                      <a:tint val="15000"/>
                      <a:satMod val="350000"/>
                    </a:schemeClr>
                  </a:gs>
                </a:gsLst>
                <a:lin ang="16200000" scaled="1"/>
              </a:gradFill>
              <a:ln w="9525" cap="flat" cmpd="sng" algn="ctr">
                <a:solidFill>
                  <a:schemeClr val="accent3">
                    <a:lumMod val="60000"/>
                    <a:shade val="95000"/>
                  </a:schemeClr>
                </a:solidFill>
                <a:round/>
              </a:ln>
              <a:effectLst>
                <a:outerShdw blurRad="40000" dist="20000" dir="5400000" rotWithShape="0">
                  <a:srgbClr val="000000">
                    <a:alpha val="38000"/>
                  </a:srgbClr>
                </a:outerShdw>
              </a:effectLst>
            </c:spPr>
            <c:extLst>
              <c:ext xmlns:c16="http://schemas.microsoft.com/office/drawing/2014/chart" uri="{C3380CC4-5D6E-409C-BE32-E72D297353CC}">
                <c16:uniqueId val="{00000011-0ED0-4E11-9694-FEF92E0CA9E5}"/>
              </c:ext>
            </c:extLst>
          </c:dPt>
          <c:dLbls>
            <c:dLbl>
              <c:idx val="0"/>
              <c:layout>
                <c:manualLayout>
                  <c:x val="-0.15157701476995589"/>
                  <c:y val="0.17053749259297402"/>
                </c:manualLayout>
              </c:layout>
              <c:showLegendKey val="0"/>
              <c:showVal val="1"/>
              <c:showCatName val="1"/>
              <c:showSerName val="0"/>
              <c:showPercent val="1"/>
              <c:showBubbleSize val="0"/>
              <c:separator>
</c:separator>
              <c:extLst>
                <c:ext xmlns:c15="http://schemas.microsoft.com/office/drawing/2012/chart" uri="{CE6537A1-D6FC-4f65-9D91-7224C49458BB}">
                  <c15:layout/>
                </c:ext>
                <c:ext xmlns:c16="http://schemas.microsoft.com/office/drawing/2014/chart" uri="{C3380CC4-5D6E-409C-BE32-E72D297353CC}">
                  <c16:uniqueId val="{00000001-0ED0-4E11-9694-FEF92E0CA9E5}"/>
                </c:ext>
              </c:extLst>
            </c:dLbl>
            <c:dLbl>
              <c:idx val="1"/>
              <c:layout>
                <c:manualLayout>
                  <c:x val="-0.20300696937312193"/>
                  <c:y val="-4.8592430989257716E-2"/>
                </c:manualLayout>
              </c:layout>
              <c:showLegendKey val="0"/>
              <c:showVal val="1"/>
              <c:showCatName val="1"/>
              <c:showSerName val="0"/>
              <c:showPercent val="1"/>
              <c:showBubbleSize val="0"/>
              <c:separator>
</c:separator>
              <c:extLst>
                <c:ext xmlns:c15="http://schemas.microsoft.com/office/drawing/2012/chart" uri="{CE6537A1-D6FC-4f65-9D91-7224C49458BB}">
                  <c15:layout/>
                </c:ext>
                <c:ext xmlns:c16="http://schemas.microsoft.com/office/drawing/2014/chart" uri="{C3380CC4-5D6E-409C-BE32-E72D297353CC}">
                  <c16:uniqueId val="{00000003-0ED0-4E11-9694-FEF92E0CA9E5}"/>
                </c:ext>
              </c:extLst>
            </c:dLbl>
            <c:dLbl>
              <c:idx val="2"/>
              <c:layout>
                <c:manualLayout>
                  <c:x val="-2.4567660073100232E-3"/>
                  <c:y val="-0.15713595888716056"/>
                </c:manualLayout>
              </c:layout>
              <c:showLegendKey val="0"/>
              <c:showVal val="1"/>
              <c:showCatName val="1"/>
              <c:showSerName val="0"/>
              <c:showPercent val="1"/>
              <c:showBubbleSize val="0"/>
              <c:separator>
</c:separator>
              <c:extLst>
                <c:ext xmlns:c15="http://schemas.microsoft.com/office/drawing/2012/chart" uri="{CE6537A1-D6FC-4f65-9D91-7224C49458BB}">
                  <c15:layout/>
                </c:ext>
                <c:ext xmlns:c16="http://schemas.microsoft.com/office/drawing/2014/chart" uri="{C3380CC4-5D6E-409C-BE32-E72D297353CC}">
                  <c16:uniqueId val="{00000005-0ED0-4E11-9694-FEF92E0CA9E5}"/>
                </c:ext>
              </c:extLst>
            </c:dLbl>
            <c:dLbl>
              <c:idx val="3"/>
              <c:layout>
                <c:manualLayout>
                  <c:x val="0.17852445283048413"/>
                  <c:y val="-6.311956511561656E-2"/>
                </c:manualLayout>
              </c:layout>
              <c:showLegendKey val="0"/>
              <c:showVal val="1"/>
              <c:showCatName val="1"/>
              <c:showSerName val="0"/>
              <c:showPercent val="1"/>
              <c:showBubbleSize val="0"/>
              <c:separator>
</c:separator>
              <c:extLst>
                <c:ext xmlns:c15="http://schemas.microsoft.com/office/drawing/2012/chart" uri="{CE6537A1-D6FC-4f65-9D91-7224C49458BB}">
                  <c15:layout/>
                </c:ext>
                <c:ext xmlns:c16="http://schemas.microsoft.com/office/drawing/2014/chart" uri="{C3380CC4-5D6E-409C-BE32-E72D297353CC}">
                  <c16:uniqueId val="{00000007-0ED0-4E11-9694-FEF92E0CA9E5}"/>
                </c:ext>
              </c:extLst>
            </c:dLbl>
            <c:dLbl>
              <c:idx val="4"/>
              <c:layout>
                <c:manualLayout>
                  <c:x val="0.11267816528414451"/>
                  <c:y val="9.3554917663299E-2"/>
                </c:manualLayout>
              </c:layout>
              <c:showLegendKey val="0"/>
              <c:showVal val="1"/>
              <c:showCatName val="1"/>
              <c:showSerName val="0"/>
              <c:showPercent val="1"/>
              <c:showBubbleSize val="0"/>
              <c:separator>
</c:separator>
              <c:extLst>
                <c:ext xmlns:c15="http://schemas.microsoft.com/office/drawing/2012/chart" uri="{CE6537A1-D6FC-4f65-9D91-7224C49458BB}">
                  <c15:layout/>
                </c:ext>
                <c:ext xmlns:c16="http://schemas.microsoft.com/office/drawing/2014/chart" uri="{C3380CC4-5D6E-409C-BE32-E72D297353CC}">
                  <c16:uniqueId val="{00000009-0ED0-4E11-9694-FEF92E0CA9E5}"/>
                </c:ext>
              </c:extLst>
            </c:dLbl>
            <c:dLbl>
              <c:idx val="8"/>
              <c:layout>
                <c:manualLayout>
                  <c:x val="-0.25055522875816993"/>
                  <c:y val="3.3293402777777779E-2"/>
                </c:manualLayout>
              </c:layout>
              <c:showLegendKey val="0"/>
              <c:showVal val="1"/>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11-0ED0-4E11-9694-FEF92E0CA9E5}"/>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showLegendKey val="0"/>
            <c:showVal val="1"/>
            <c:showCatName val="1"/>
            <c:showSerName val="0"/>
            <c:showPercent val="1"/>
            <c:showBubbleSize val="0"/>
            <c:separator>
</c:separator>
            <c:showLeaderLines val="1"/>
            <c:leaderLines>
              <c:spPr>
                <a:ln w="9525">
                  <a:solidFill>
                    <a:schemeClr val="tx1">
                      <a:lumMod val="35000"/>
                      <a:lumOff val="65000"/>
                    </a:schemeClr>
                  </a:solidFill>
                </a:ln>
                <a:effectLst/>
              </c:spPr>
            </c:leaderLines>
            <c:extLst>
              <c:ext xmlns:c15="http://schemas.microsoft.com/office/drawing/2012/chart" uri="{CE6537A1-D6FC-4f65-9D91-7224C49458BB}">
                <c15:layout/>
              </c:ext>
            </c:extLst>
          </c:dLbls>
          <c:cat>
            <c:strRef>
              <c:f>'グラフ(年齢区分）'!$M$46:$M$51</c:f>
              <c:strCache>
                <c:ptCount val="6"/>
                <c:pt idx="0">
                  <c:v>65-69歳</c:v>
                </c:pt>
                <c:pt idx="1">
                  <c:v>70-74歳</c:v>
                </c:pt>
                <c:pt idx="2">
                  <c:v>75-79歳</c:v>
                </c:pt>
                <c:pt idx="3">
                  <c:v>80-84歳</c:v>
                </c:pt>
                <c:pt idx="4">
                  <c:v>85-89歳</c:v>
                </c:pt>
                <c:pt idx="5">
                  <c:v>90歳以上</c:v>
                </c:pt>
              </c:strCache>
            </c:strRef>
          </c:cat>
          <c:val>
            <c:numRef>
              <c:f>'グラフ(年齢区分）'!$N$46:$N$51</c:f>
              <c:numCache>
                <c:formatCode>#,###"人"</c:formatCode>
                <c:ptCount val="6"/>
                <c:pt idx="0">
                  <c:v>1560</c:v>
                </c:pt>
                <c:pt idx="1">
                  <c:v>2041</c:v>
                </c:pt>
                <c:pt idx="2">
                  <c:v>1984</c:v>
                </c:pt>
                <c:pt idx="3">
                  <c:v>1802</c:v>
                </c:pt>
                <c:pt idx="4">
                  <c:v>1273</c:v>
                </c:pt>
                <c:pt idx="5">
                  <c:v>665</c:v>
                </c:pt>
              </c:numCache>
            </c:numRef>
          </c:val>
          <c:extLst>
            <c:ext xmlns:c16="http://schemas.microsoft.com/office/drawing/2014/chart" uri="{C3380CC4-5D6E-409C-BE32-E72D297353CC}">
              <c16:uniqueId val="{00000012-0ED0-4E11-9694-FEF92E0CA9E5}"/>
            </c:ext>
          </c:extLst>
        </c:ser>
        <c:dLbls>
          <c:showLegendKey val="0"/>
          <c:showVal val="1"/>
          <c:showCatName val="0"/>
          <c:showSerName val="0"/>
          <c:showPercent val="0"/>
          <c:showBubbleSize val="0"/>
          <c:showLeaderLines val="1"/>
        </c:dLbls>
        <c:firstSliceAng val="0"/>
      </c:pie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cap="none" spc="20" baseline="0">
                <a:solidFill>
                  <a:schemeClr val="tx1">
                    <a:lumMod val="50000"/>
                    <a:lumOff val="50000"/>
                  </a:schemeClr>
                </a:solidFill>
                <a:latin typeface="メイリオ" panose="020B0604030504040204" pitchFamily="50" charset="-128"/>
                <a:ea typeface="メイリオ" panose="020B0604030504040204" pitchFamily="50" charset="-128"/>
                <a:cs typeface="+mn-cs"/>
              </a:defRPr>
            </a:pPr>
            <a:r>
              <a:rPr lang="en-US" altLang="ja-JP" sz="1200" b="1">
                <a:latin typeface="メイリオ" panose="020B0604030504040204" pitchFamily="50" charset="-128"/>
                <a:ea typeface="メイリオ" panose="020B0604030504040204" pitchFamily="50" charset="-128"/>
              </a:rPr>
              <a:t>65</a:t>
            </a:r>
            <a:r>
              <a:rPr lang="ja-JP" altLang="en-US" sz="1200" b="1">
                <a:latin typeface="メイリオ" panose="020B0604030504040204" pitchFamily="50" charset="-128"/>
                <a:ea typeface="メイリオ" panose="020B0604030504040204" pitchFamily="50" charset="-128"/>
              </a:rPr>
              <a:t>歳以上＿寛解・院内寛解群</a:t>
            </a:r>
            <a:endParaRPr lang="ja-JP" sz="1200" b="1">
              <a:latin typeface="メイリオ" panose="020B0604030504040204" pitchFamily="50" charset="-128"/>
              <a:ea typeface="メイリオ" panose="020B0604030504040204" pitchFamily="50" charset="-128"/>
            </a:endParaRPr>
          </a:p>
        </c:rich>
      </c:tx>
      <c:layout>
        <c:manualLayout>
          <c:xMode val="edge"/>
          <c:yMode val="edge"/>
          <c:x val="0.159632072694495"/>
          <c:y val="8.4938356155221835E-3"/>
        </c:manualLayout>
      </c:layout>
      <c:overlay val="0"/>
      <c:spPr>
        <a:noFill/>
        <a:ln>
          <a:noFill/>
        </a:ln>
        <a:effectLst/>
      </c:spPr>
      <c:txPr>
        <a:bodyPr rot="0" spcFirstLastPara="1" vertOverflow="ellipsis" vert="horz" wrap="square" anchor="ctr" anchorCtr="1"/>
        <a:lstStyle/>
        <a:p>
          <a:pPr>
            <a:defRPr sz="1200" b="1" i="0" u="none" strike="noStrike" kern="1200" cap="none" spc="20" baseline="0">
              <a:solidFill>
                <a:schemeClr val="tx1">
                  <a:lumMod val="50000"/>
                  <a:lumOff val="50000"/>
                </a:schemeClr>
              </a:solidFill>
              <a:latin typeface="メイリオ" panose="020B0604030504040204" pitchFamily="50" charset="-128"/>
              <a:ea typeface="メイリオ" panose="020B0604030504040204" pitchFamily="50" charset="-128"/>
              <a:cs typeface="+mn-cs"/>
            </a:defRPr>
          </a:pPr>
          <a:endParaRPr lang="ja-JP"/>
        </a:p>
      </c:txPr>
    </c:title>
    <c:autoTitleDeleted val="0"/>
    <c:plotArea>
      <c:layout/>
      <c:pieChart>
        <c:varyColors val="1"/>
        <c:ser>
          <c:idx val="2"/>
          <c:order val="0"/>
          <c:tx>
            <c:strRef>
              <c:f>'グラフ(年齢区分）'!$O$45</c:f>
              <c:strCache>
                <c:ptCount val="1"/>
                <c:pt idx="0">
                  <c:v>寛解院内寛解</c:v>
                </c:pt>
              </c:strCache>
            </c:strRef>
          </c:tx>
          <c:dPt>
            <c:idx val="0"/>
            <c:bubble3D val="0"/>
            <c:spPr>
              <a:gradFill rotWithShape="1">
                <a:gsLst>
                  <a:gs pos="0">
                    <a:schemeClr val="accent1">
                      <a:tint val="50000"/>
                      <a:satMod val="300000"/>
                    </a:schemeClr>
                  </a:gs>
                  <a:gs pos="35000">
                    <a:schemeClr val="accent1">
                      <a:tint val="37000"/>
                      <a:satMod val="300000"/>
                    </a:schemeClr>
                  </a:gs>
                  <a:gs pos="100000">
                    <a:schemeClr val="accent1">
                      <a:tint val="15000"/>
                      <a:satMod val="350000"/>
                    </a:schemeClr>
                  </a:gs>
                </a:gsLst>
                <a:lin ang="16200000" scaled="1"/>
              </a:gradFill>
              <a:ln w="9525" cap="flat" cmpd="sng" algn="ctr">
                <a:solidFill>
                  <a:schemeClr val="accent1">
                    <a:shade val="95000"/>
                  </a:schemeClr>
                </a:solidFill>
                <a:round/>
              </a:ln>
              <a:effectLst>
                <a:outerShdw blurRad="40000" dist="20000" dir="5400000" rotWithShape="0">
                  <a:srgbClr val="000000">
                    <a:alpha val="38000"/>
                  </a:srgbClr>
                </a:outerShdw>
              </a:effectLst>
            </c:spPr>
            <c:extLst>
              <c:ext xmlns:c16="http://schemas.microsoft.com/office/drawing/2014/chart" uri="{C3380CC4-5D6E-409C-BE32-E72D297353CC}">
                <c16:uniqueId val="{00000001-E2E7-4C5C-AE28-FFF4F4AECDC1}"/>
              </c:ext>
            </c:extLst>
          </c:dPt>
          <c:dPt>
            <c:idx val="1"/>
            <c:bubble3D val="0"/>
            <c:spPr>
              <a:gradFill rotWithShape="1">
                <a:gsLst>
                  <a:gs pos="0">
                    <a:schemeClr val="accent2">
                      <a:tint val="50000"/>
                      <a:satMod val="300000"/>
                    </a:schemeClr>
                  </a:gs>
                  <a:gs pos="35000">
                    <a:schemeClr val="accent2">
                      <a:tint val="37000"/>
                      <a:satMod val="300000"/>
                    </a:schemeClr>
                  </a:gs>
                  <a:gs pos="100000">
                    <a:schemeClr val="accent2">
                      <a:tint val="15000"/>
                      <a:satMod val="350000"/>
                    </a:schemeClr>
                  </a:gs>
                </a:gsLst>
                <a:lin ang="16200000" scaled="1"/>
              </a:gradFill>
              <a:ln w="9525" cap="flat" cmpd="sng" algn="ctr">
                <a:solidFill>
                  <a:schemeClr val="accent2">
                    <a:shade val="95000"/>
                  </a:schemeClr>
                </a:solidFill>
                <a:round/>
              </a:ln>
              <a:effectLst>
                <a:outerShdw blurRad="40000" dist="20000" dir="5400000" rotWithShape="0">
                  <a:srgbClr val="000000">
                    <a:alpha val="38000"/>
                  </a:srgbClr>
                </a:outerShdw>
              </a:effectLst>
            </c:spPr>
            <c:extLst>
              <c:ext xmlns:c16="http://schemas.microsoft.com/office/drawing/2014/chart" uri="{C3380CC4-5D6E-409C-BE32-E72D297353CC}">
                <c16:uniqueId val="{00000003-E2E7-4C5C-AE28-FFF4F4AECDC1}"/>
              </c:ext>
            </c:extLst>
          </c:dPt>
          <c:dPt>
            <c:idx val="2"/>
            <c:bubble3D val="0"/>
            <c:spPr>
              <a:gradFill rotWithShape="1">
                <a:gsLst>
                  <a:gs pos="0">
                    <a:schemeClr val="accent3">
                      <a:tint val="50000"/>
                      <a:satMod val="300000"/>
                    </a:schemeClr>
                  </a:gs>
                  <a:gs pos="35000">
                    <a:schemeClr val="accent3">
                      <a:tint val="37000"/>
                      <a:satMod val="300000"/>
                    </a:schemeClr>
                  </a:gs>
                  <a:gs pos="100000">
                    <a:schemeClr val="accent3">
                      <a:tint val="15000"/>
                      <a:satMod val="350000"/>
                    </a:schemeClr>
                  </a:gs>
                </a:gsLst>
                <a:lin ang="16200000" scaled="1"/>
              </a:gradFill>
              <a:ln w="9525" cap="flat" cmpd="sng" algn="ctr">
                <a:solidFill>
                  <a:schemeClr val="accent3">
                    <a:shade val="95000"/>
                  </a:schemeClr>
                </a:solidFill>
                <a:round/>
              </a:ln>
              <a:effectLst>
                <a:outerShdw blurRad="40000" dist="20000" dir="5400000" rotWithShape="0">
                  <a:srgbClr val="000000">
                    <a:alpha val="38000"/>
                  </a:srgbClr>
                </a:outerShdw>
              </a:effectLst>
            </c:spPr>
            <c:extLst>
              <c:ext xmlns:c16="http://schemas.microsoft.com/office/drawing/2014/chart" uri="{C3380CC4-5D6E-409C-BE32-E72D297353CC}">
                <c16:uniqueId val="{00000005-E2E7-4C5C-AE28-FFF4F4AECDC1}"/>
              </c:ext>
            </c:extLst>
          </c:dPt>
          <c:dPt>
            <c:idx val="3"/>
            <c:bubble3D val="0"/>
            <c:spPr>
              <a:gradFill rotWithShape="1">
                <a:gsLst>
                  <a:gs pos="0">
                    <a:schemeClr val="accent4">
                      <a:tint val="50000"/>
                      <a:satMod val="300000"/>
                    </a:schemeClr>
                  </a:gs>
                  <a:gs pos="35000">
                    <a:schemeClr val="accent4">
                      <a:tint val="37000"/>
                      <a:satMod val="300000"/>
                    </a:schemeClr>
                  </a:gs>
                  <a:gs pos="100000">
                    <a:schemeClr val="accent4">
                      <a:tint val="15000"/>
                      <a:satMod val="350000"/>
                    </a:schemeClr>
                  </a:gs>
                </a:gsLst>
                <a:lin ang="16200000" scaled="1"/>
              </a:gradFill>
              <a:ln w="9525" cap="flat" cmpd="sng" algn="ctr">
                <a:solidFill>
                  <a:schemeClr val="accent4">
                    <a:shade val="95000"/>
                  </a:schemeClr>
                </a:solidFill>
                <a:round/>
              </a:ln>
              <a:effectLst>
                <a:outerShdw blurRad="40000" dist="20000" dir="5400000" rotWithShape="0">
                  <a:srgbClr val="000000">
                    <a:alpha val="38000"/>
                  </a:srgbClr>
                </a:outerShdw>
              </a:effectLst>
            </c:spPr>
            <c:extLst>
              <c:ext xmlns:c16="http://schemas.microsoft.com/office/drawing/2014/chart" uri="{C3380CC4-5D6E-409C-BE32-E72D297353CC}">
                <c16:uniqueId val="{00000007-E2E7-4C5C-AE28-FFF4F4AECDC1}"/>
              </c:ext>
            </c:extLst>
          </c:dPt>
          <c:dPt>
            <c:idx val="4"/>
            <c:bubble3D val="0"/>
            <c:spPr>
              <a:gradFill rotWithShape="1">
                <a:gsLst>
                  <a:gs pos="0">
                    <a:schemeClr val="accent5">
                      <a:tint val="50000"/>
                      <a:satMod val="300000"/>
                    </a:schemeClr>
                  </a:gs>
                  <a:gs pos="35000">
                    <a:schemeClr val="accent5">
                      <a:tint val="37000"/>
                      <a:satMod val="300000"/>
                    </a:schemeClr>
                  </a:gs>
                  <a:gs pos="100000">
                    <a:schemeClr val="accent5">
                      <a:tint val="15000"/>
                      <a:satMod val="350000"/>
                    </a:schemeClr>
                  </a:gs>
                </a:gsLst>
                <a:lin ang="16200000" scaled="1"/>
              </a:gradFill>
              <a:ln w="9525" cap="flat" cmpd="sng" algn="ctr">
                <a:solidFill>
                  <a:schemeClr val="accent5">
                    <a:shade val="95000"/>
                  </a:schemeClr>
                </a:solidFill>
                <a:round/>
              </a:ln>
              <a:effectLst>
                <a:outerShdw blurRad="40000" dist="20000" dir="5400000" rotWithShape="0">
                  <a:srgbClr val="000000">
                    <a:alpha val="38000"/>
                  </a:srgbClr>
                </a:outerShdw>
              </a:effectLst>
            </c:spPr>
            <c:extLst>
              <c:ext xmlns:c16="http://schemas.microsoft.com/office/drawing/2014/chart" uri="{C3380CC4-5D6E-409C-BE32-E72D297353CC}">
                <c16:uniqueId val="{00000009-E2E7-4C5C-AE28-FFF4F4AECDC1}"/>
              </c:ext>
            </c:extLst>
          </c:dPt>
          <c:dPt>
            <c:idx val="5"/>
            <c:bubble3D val="0"/>
            <c:spPr>
              <a:gradFill rotWithShape="1">
                <a:gsLst>
                  <a:gs pos="0">
                    <a:schemeClr val="accent6">
                      <a:tint val="50000"/>
                      <a:satMod val="300000"/>
                    </a:schemeClr>
                  </a:gs>
                  <a:gs pos="35000">
                    <a:schemeClr val="accent6">
                      <a:tint val="37000"/>
                      <a:satMod val="300000"/>
                    </a:schemeClr>
                  </a:gs>
                  <a:gs pos="100000">
                    <a:schemeClr val="accent6">
                      <a:tint val="15000"/>
                      <a:satMod val="350000"/>
                    </a:schemeClr>
                  </a:gs>
                </a:gsLst>
                <a:lin ang="16200000" scaled="1"/>
              </a:gradFill>
              <a:ln w="9525" cap="flat" cmpd="sng" algn="ctr">
                <a:solidFill>
                  <a:schemeClr val="accent6">
                    <a:shade val="95000"/>
                  </a:schemeClr>
                </a:solidFill>
                <a:round/>
              </a:ln>
              <a:effectLst>
                <a:outerShdw blurRad="40000" dist="20000" dir="5400000" rotWithShape="0">
                  <a:srgbClr val="000000">
                    <a:alpha val="38000"/>
                  </a:srgbClr>
                </a:outerShdw>
              </a:effectLst>
            </c:spPr>
            <c:extLst>
              <c:ext xmlns:c16="http://schemas.microsoft.com/office/drawing/2014/chart" uri="{C3380CC4-5D6E-409C-BE32-E72D297353CC}">
                <c16:uniqueId val="{0000000B-E2E7-4C5C-AE28-FFF4F4AECDC1}"/>
              </c:ext>
            </c:extLst>
          </c:dPt>
          <c:dPt>
            <c:idx val="6"/>
            <c:bubble3D val="0"/>
            <c:spPr>
              <a:gradFill rotWithShape="1">
                <a:gsLst>
                  <a:gs pos="0">
                    <a:schemeClr val="accent1">
                      <a:lumMod val="60000"/>
                      <a:tint val="50000"/>
                      <a:satMod val="300000"/>
                    </a:schemeClr>
                  </a:gs>
                  <a:gs pos="35000">
                    <a:schemeClr val="accent1">
                      <a:lumMod val="60000"/>
                      <a:tint val="37000"/>
                      <a:satMod val="300000"/>
                    </a:schemeClr>
                  </a:gs>
                  <a:gs pos="100000">
                    <a:schemeClr val="accent1">
                      <a:lumMod val="60000"/>
                      <a:tint val="15000"/>
                      <a:satMod val="350000"/>
                    </a:schemeClr>
                  </a:gs>
                </a:gsLst>
                <a:lin ang="16200000" scaled="1"/>
              </a:gradFill>
              <a:ln w="9525" cap="flat" cmpd="sng" algn="ctr">
                <a:solidFill>
                  <a:schemeClr val="accent1">
                    <a:lumMod val="60000"/>
                    <a:shade val="95000"/>
                  </a:schemeClr>
                </a:solidFill>
                <a:round/>
              </a:ln>
              <a:effectLst>
                <a:outerShdw blurRad="40000" dist="20000" dir="5400000" rotWithShape="0">
                  <a:srgbClr val="000000">
                    <a:alpha val="38000"/>
                  </a:srgbClr>
                </a:outerShdw>
              </a:effectLst>
            </c:spPr>
            <c:extLst>
              <c:ext xmlns:c16="http://schemas.microsoft.com/office/drawing/2014/chart" uri="{C3380CC4-5D6E-409C-BE32-E72D297353CC}">
                <c16:uniqueId val="{0000000D-E2E7-4C5C-AE28-FFF4F4AECDC1}"/>
              </c:ext>
            </c:extLst>
          </c:dPt>
          <c:dPt>
            <c:idx val="7"/>
            <c:bubble3D val="0"/>
            <c:spPr>
              <a:gradFill rotWithShape="1">
                <a:gsLst>
                  <a:gs pos="0">
                    <a:schemeClr val="accent2">
                      <a:lumMod val="60000"/>
                      <a:tint val="50000"/>
                      <a:satMod val="300000"/>
                    </a:schemeClr>
                  </a:gs>
                  <a:gs pos="35000">
                    <a:schemeClr val="accent2">
                      <a:lumMod val="60000"/>
                      <a:tint val="37000"/>
                      <a:satMod val="300000"/>
                    </a:schemeClr>
                  </a:gs>
                  <a:gs pos="100000">
                    <a:schemeClr val="accent2">
                      <a:lumMod val="60000"/>
                      <a:tint val="15000"/>
                      <a:satMod val="350000"/>
                    </a:schemeClr>
                  </a:gs>
                </a:gsLst>
                <a:lin ang="16200000" scaled="1"/>
              </a:gradFill>
              <a:ln w="9525" cap="flat" cmpd="sng" algn="ctr">
                <a:solidFill>
                  <a:schemeClr val="accent2">
                    <a:lumMod val="60000"/>
                    <a:shade val="95000"/>
                  </a:schemeClr>
                </a:solidFill>
                <a:round/>
              </a:ln>
              <a:effectLst>
                <a:outerShdw blurRad="40000" dist="20000" dir="5400000" rotWithShape="0">
                  <a:srgbClr val="000000">
                    <a:alpha val="38000"/>
                  </a:srgbClr>
                </a:outerShdw>
              </a:effectLst>
            </c:spPr>
            <c:extLst>
              <c:ext xmlns:c16="http://schemas.microsoft.com/office/drawing/2014/chart" uri="{C3380CC4-5D6E-409C-BE32-E72D297353CC}">
                <c16:uniqueId val="{0000000F-E2E7-4C5C-AE28-FFF4F4AECDC1}"/>
              </c:ext>
            </c:extLst>
          </c:dPt>
          <c:dPt>
            <c:idx val="8"/>
            <c:bubble3D val="0"/>
            <c:spPr>
              <a:gradFill rotWithShape="1">
                <a:gsLst>
                  <a:gs pos="0">
                    <a:schemeClr val="accent3">
                      <a:lumMod val="60000"/>
                      <a:tint val="50000"/>
                      <a:satMod val="300000"/>
                    </a:schemeClr>
                  </a:gs>
                  <a:gs pos="35000">
                    <a:schemeClr val="accent3">
                      <a:lumMod val="60000"/>
                      <a:tint val="37000"/>
                      <a:satMod val="300000"/>
                    </a:schemeClr>
                  </a:gs>
                  <a:gs pos="100000">
                    <a:schemeClr val="accent3">
                      <a:lumMod val="60000"/>
                      <a:tint val="15000"/>
                      <a:satMod val="350000"/>
                    </a:schemeClr>
                  </a:gs>
                </a:gsLst>
                <a:lin ang="16200000" scaled="1"/>
              </a:gradFill>
              <a:ln w="9525" cap="flat" cmpd="sng" algn="ctr">
                <a:solidFill>
                  <a:schemeClr val="accent3">
                    <a:lumMod val="60000"/>
                    <a:shade val="95000"/>
                  </a:schemeClr>
                </a:solidFill>
                <a:round/>
              </a:ln>
              <a:effectLst>
                <a:outerShdw blurRad="40000" dist="20000" dir="5400000" rotWithShape="0">
                  <a:srgbClr val="000000">
                    <a:alpha val="38000"/>
                  </a:srgbClr>
                </a:outerShdw>
              </a:effectLst>
            </c:spPr>
            <c:extLst>
              <c:ext xmlns:c16="http://schemas.microsoft.com/office/drawing/2014/chart" uri="{C3380CC4-5D6E-409C-BE32-E72D297353CC}">
                <c16:uniqueId val="{00000011-E2E7-4C5C-AE28-FFF4F4AECDC1}"/>
              </c:ext>
            </c:extLst>
          </c:dPt>
          <c:dLbls>
            <c:dLbl>
              <c:idx val="1"/>
              <c:layout>
                <c:manualLayout>
                  <c:x val="-0.21919198234740911"/>
                  <c:y val="-8.4264868559565859E-2"/>
                </c:manualLayout>
              </c:layout>
              <c:showLegendKey val="0"/>
              <c:showVal val="1"/>
              <c:showCatName val="1"/>
              <c:showSerName val="0"/>
              <c:showPercent val="1"/>
              <c:showBubbleSize val="0"/>
              <c:separator>
</c:separator>
              <c:extLst>
                <c:ext xmlns:c15="http://schemas.microsoft.com/office/drawing/2012/chart" uri="{CE6537A1-D6FC-4f65-9D91-7224C49458BB}">
                  <c15:layout/>
                </c:ext>
                <c:ext xmlns:c16="http://schemas.microsoft.com/office/drawing/2014/chart" uri="{C3380CC4-5D6E-409C-BE32-E72D297353CC}">
                  <c16:uniqueId val="{00000003-E2E7-4C5C-AE28-FFF4F4AECDC1}"/>
                </c:ext>
              </c:extLst>
            </c:dLbl>
            <c:dLbl>
              <c:idx val="2"/>
              <c:layout>
                <c:manualLayout>
                  <c:x val="0.15649675787345677"/>
                  <c:y val="-0.17837054792596585"/>
                </c:manualLayout>
              </c:layout>
              <c:showLegendKey val="0"/>
              <c:showVal val="1"/>
              <c:showCatName val="1"/>
              <c:showSerName val="0"/>
              <c:showPercent val="1"/>
              <c:showBubbleSize val="0"/>
              <c:separator>
</c:separator>
              <c:extLst>
                <c:ext xmlns:c15="http://schemas.microsoft.com/office/drawing/2012/chart" uri="{CE6537A1-D6FC-4f65-9D91-7224C49458BB}">
                  <c15:layout/>
                </c:ext>
                <c:ext xmlns:c16="http://schemas.microsoft.com/office/drawing/2014/chart" uri="{C3380CC4-5D6E-409C-BE32-E72D297353CC}">
                  <c16:uniqueId val="{00000005-E2E7-4C5C-AE28-FFF4F4AECDC1}"/>
                </c:ext>
              </c:extLst>
            </c:dLbl>
            <c:dLbl>
              <c:idx val="4"/>
              <c:layout>
                <c:manualLayout>
                  <c:x val="-0.13388890276967927"/>
                  <c:y val="0.18741200075786155"/>
                </c:manualLayout>
              </c:layout>
              <c:showLegendKey val="0"/>
              <c:showVal val="1"/>
              <c:showCatName val="1"/>
              <c:showSerName val="0"/>
              <c:showPercent val="1"/>
              <c:showBubbleSize val="0"/>
              <c:separator>
</c:separator>
              <c:extLst>
                <c:ext xmlns:c15="http://schemas.microsoft.com/office/drawing/2012/chart" uri="{CE6537A1-D6FC-4f65-9D91-7224C49458BB}">
                  <c15:layout/>
                </c:ext>
                <c:ext xmlns:c16="http://schemas.microsoft.com/office/drawing/2014/chart" uri="{C3380CC4-5D6E-409C-BE32-E72D297353CC}">
                  <c16:uniqueId val="{00000009-E2E7-4C5C-AE28-FFF4F4AECDC1}"/>
                </c:ext>
              </c:extLst>
            </c:dLbl>
            <c:dLbl>
              <c:idx val="8"/>
              <c:layout>
                <c:manualLayout>
                  <c:x val="-0.22945242058808976"/>
                  <c:y val="3.8481088174039363E-2"/>
                </c:manualLayout>
              </c:layout>
              <c:showLegendKey val="0"/>
              <c:showVal val="1"/>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11-E2E7-4C5C-AE28-FFF4F4AECDC1}"/>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showLegendKey val="0"/>
            <c:showVal val="1"/>
            <c:showCatName val="1"/>
            <c:showSerName val="0"/>
            <c:showPercent val="1"/>
            <c:showBubbleSize val="0"/>
            <c:separator>
</c:separator>
            <c:showLeaderLines val="1"/>
            <c:leaderLines>
              <c:spPr>
                <a:ln w="9525">
                  <a:solidFill>
                    <a:schemeClr val="tx1">
                      <a:lumMod val="35000"/>
                      <a:lumOff val="65000"/>
                    </a:schemeClr>
                  </a:solidFill>
                </a:ln>
                <a:effectLst/>
              </c:spPr>
            </c:leaderLines>
            <c:extLst>
              <c:ext xmlns:c15="http://schemas.microsoft.com/office/drawing/2012/chart" uri="{CE6537A1-D6FC-4f65-9D91-7224C49458BB}">
                <c15:layout/>
              </c:ext>
            </c:extLst>
          </c:dLbls>
          <c:cat>
            <c:strRef>
              <c:f>'グラフ(年齢区分）'!$M$46:$M$51</c:f>
              <c:strCache>
                <c:ptCount val="6"/>
                <c:pt idx="0">
                  <c:v>65-69歳</c:v>
                </c:pt>
                <c:pt idx="1">
                  <c:v>70-74歳</c:v>
                </c:pt>
                <c:pt idx="2">
                  <c:v>75-79歳</c:v>
                </c:pt>
                <c:pt idx="3">
                  <c:v>80-84歳</c:v>
                </c:pt>
                <c:pt idx="4">
                  <c:v>85-89歳</c:v>
                </c:pt>
                <c:pt idx="5">
                  <c:v>90歳以上</c:v>
                </c:pt>
              </c:strCache>
            </c:strRef>
          </c:cat>
          <c:val>
            <c:numRef>
              <c:f>'グラフ(年齢区分）'!$O$46:$O$51</c:f>
              <c:numCache>
                <c:formatCode>#,###"人"</c:formatCode>
                <c:ptCount val="6"/>
                <c:pt idx="0">
                  <c:v>157</c:v>
                </c:pt>
                <c:pt idx="1">
                  <c:v>179</c:v>
                </c:pt>
                <c:pt idx="2">
                  <c:v>178</c:v>
                </c:pt>
                <c:pt idx="3">
                  <c:v>143</c:v>
                </c:pt>
                <c:pt idx="4">
                  <c:v>74</c:v>
                </c:pt>
                <c:pt idx="5">
                  <c:v>29</c:v>
                </c:pt>
              </c:numCache>
            </c:numRef>
          </c:val>
          <c:extLst>
            <c:ext xmlns:c16="http://schemas.microsoft.com/office/drawing/2014/chart" uri="{C3380CC4-5D6E-409C-BE32-E72D297353CC}">
              <c16:uniqueId val="{00000012-E2E7-4C5C-AE28-FFF4F4AECDC1}"/>
            </c:ext>
          </c:extLst>
        </c:ser>
        <c:dLbls>
          <c:showLegendKey val="0"/>
          <c:showVal val="1"/>
          <c:showCatName val="0"/>
          <c:showSerName val="0"/>
          <c:showPercent val="0"/>
          <c:showBubbleSize val="0"/>
          <c:showLeaderLines val="1"/>
        </c:dLbls>
        <c:firstSliceAng val="0"/>
      </c:pie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cap="none" spc="20" baseline="0">
                <a:solidFill>
                  <a:schemeClr val="tx1">
                    <a:lumMod val="50000"/>
                    <a:lumOff val="50000"/>
                  </a:schemeClr>
                </a:solidFill>
                <a:latin typeface="メイリオ" panose="020B0604030504040204" pitchFamily="50" charset="-128"/>
                <a:ea typeface="メイリオ" panose="020B0604030504040204" pitchFamily="50" charset="-128"/>
                <a:cs typeface="+mn-cs"/>
              </a:defRPr>
            </a:pPr>
            <a:r>
              <a:rPr lang="ja-JP" altLang="en-US" sz="1200" b="1">
                <a:latin typeface="メイリオ" panose="020B0604030504040204" pitchFamily="50" charset="-128"/>
                <a:ea typeface="メイリオ" panose="020B0604030504040204" pitchFamily="50" charset="-128"/>
              </a:rPr>
              <a:t>疾患別</a:t>
            </a:r>
            <a:endParaRPr lang="ja-JP" sz="1200" b="1">
              <a:latin typeface="メイリオ" panose="020B0604030504040204" pitchFamily="50" charset="-128"/>
              <a:ea typeface="メイリオ" panose="020B0604030504040204" pitchFamily="50" charset="-128"/>
            </a:endParaRPr>
          </a:p>
        </c:rich>
      </c:tx>
      <c:overlay val="0"/>
      <c:spPr>
        <a:noFill/>
        <a:ln>
          <a:noFill/>
        </a:ln>
        <a:effectLst/>
      </c:spPr>
      <c:txPr>
        <a:bodyPr rot="0" spcFirstLastPara="1" vertOverflow="ellipsis" vert="horz" wrap="square" anchor="ctr" anchorCtr="1"/>
        <a:lstStyle/>
        <a:p>
          <a:pPr>
            <a:defRPr sz="1200" b="1" i="0" u="none" strike="noStrike" kern="1200" cap="none" spc="20" baseline="0">
              <a:solidFill>
                <a:schemeClr val="tx1">
                  <a:lumMod val="50000"/>
                  <a:lumOff val="50000"/>
                </a:schemeClr>
              </a:solidFill>
              <a:latin typeface="メイリオ" panose="020B0604030504040204" pitchFamily="50" charset="-128"/>
              <a:ea typeface="メイリオ" panose="020B0604030504040204" pitchFamily="50" charset="-128"/>
              <a:cs typeface="+mn-cs"/>
            </a:defRPr>
          </a:pPr>
          <a:endParaRPr lang="ja-JP"/>
        </a:p>
      </c:txPr>
    </c:title>
    <c:autoTitleDeleted val="0"/>
    <c:plotArea>
      <c:layout/>
      <c:barChart>
        <c:barDir val="bar"/>
        <c:grouping val="clustered"/>
        <c:varyColors val="0"/>
        <c:ser>
          <c:idx val="1"/>
          <c:order val="0"/>
          <c:tx>
            <c:strRef>
              <c:f>'グラフ(疾患名)'!$O$4</c:f>
              <c:strCache>
                <c:ptCount val="1"/>
                <c:pt idx="0">
                  <c:v>人数</c:v>
                </c:pt>
              </c:strCache>
            </c:strRef>
          </c:tx>
          <c:spPr>
            <a:solidFill>
              <a:schemeClr val="accent3">
                <a:lumMod val="40000"/>
                <a:lumOff val="60000"/>
              </a:schemeClr>
            </a:solidFill>
            <a:ln w="9525" cap="flat" cmpd="sng" algn="ctr">
              <a:solidFill>
                <a:schemeClr val="accent3">
                  <a:lumMod val="75000"/>
                </a:schemeClr>
              </a:solidFill>
              <a:round/>
            </a:ln>
            <a:effectLst>
              <a:outerShdw blurRad="40000" dist="20000" dir="5400000" rotWithShape="0">
                <a:srgbClr val="000000">
                  <a:alpha val="38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'グラフ(疾患名)'!$T$5:$T$16</c:f>
              <c:strCache>
                <c:ptCount val="12"/>
                <c:pt idx="0">
                  <c:v>F0</c:v>
                </c:pt>
                <c:pt idx="1">
                  <c:v>F1</c:v>
                </c:pt>
                <c:pt idx="2">
                  <c:v>F2</c:v>
                </c:pt>
                <c:pt idx="3">
                  <c:v>F3</c:v>
                </c:pt>
                <c:pt idx="4">
                  <c:v>F4</c:v>
                </c:pt>
                <c:pt idx="5">
                  <c:v>F5</c:v>
                </c:pt>
                <c:pt idx="6">
                  <c:v>F6</c:v>
                </c:pt>
                <c:pt idx="7">
                  <c:v>F7</c:v>
                </c:pt>
                <c:pt idx="8">
                  <c:v>F8</c:v>
                </c:pt>
                <c:pt idx="9">
                  <c:v>F9</c:v>
                </c:pt>
                <c:pt idx="10">
                  <c:v>てんかん</c:v>
                </c:pt>
                <c:pt idx="11">
                  <c:v>その他</c:v>
                </c:pt>
              </c:strCache>
            </c:strRef>
          </c:cat>
          <c:val>
            <c:numRef>
              <c:f>'グラフ(疾患名)'!$O$5:$O$16</c:f>
              <c:numCache>
                <c:formatCode>#,##0"人"</c:formatCode>
                <c:ptCount val="12"/>
                <c:pt idx="0">
                  <c:v>4284</c:v>
                </c:pt>
                <c:pt idx="1">
                  <c:v>876</c:v>
                </c:pt>
                <c:pt idx="2">
                  <c:v>7949</c:v>
                </c:pt>
                <c:pt idx="3">
                  <c:v>1534</c:v>
                </c:pt>
                <c:pt idx="4">
                  <c:v>286</c:v>
                </c:pt>
                <c:pt idx="5">
                  <c:v>43</c:v>
                </c:pt>
                <c:pt idx="6">
                  <c:v>40</c:v>
                </c:pt>
                <c:pt idx="7">
                  <c:v>299</c:v>
                </c:pt>
                <c:pt idx="8">
                  <c:v>119</c:v>
                </c:pt>
                <c:pt idx="9">
                  <c:v>39</c:v>
                </c:pt>
                <c:pt idx="10">
                  <c:v>48</c:v>
                </c:pt>
                <c:pt idx="11">
                  <c:v>138</c:v>
                </c:pt>
              </c:numCache>
            </c:numRef>
          </c:val>
          <c:extLst>
            <c:ext xmlns:c16="http://schemas.microsoft.com/office/drawing/2014/chart" uri="{C3380CC4-5D6E-409C-BE32-E72D297353CC}">
              <c16:uniqueId val="{00000014-4158-41FF-AD15-82CE2CDF7B43}"/>
            </c:ext>
          </c:extLst>
        </c:ser>
        <c:dLbls>
          <c:showLegendKey val="0"/>
          <c:showVal val="0"/>
          <c:showCatName val="0"/>
          <c:showSerName val="0"/>
          <c:showPercent val="0"/>
          <c:showBubbleSize val="0"/>
        </c:dLbls>
        <c:gapWidth val="100"/>
        <c:axId val="699428592"/>
        <c:axId val="699420688"/>
      </c:barChart>
      <c:valAx>
        <c:axId val="699420688"/>
        <c:scaling>
          <c:orientation val="minMax"/>
        </c:scaling>
        <c:delete val="0"/>
        <c:axPos val="t"/>
        <c:majorGridlines>
          <c:spPr>
            <a:ln w="9525" cap="flat" cmpd="sng" algn="ctr">
              <a:solidFill>
                <a:schemeClr val="tx1">
                  <a:lumMod val="15000"/>
                  <a:lumOff val="85000"/>
                </a:schemeClr>
              </a:solidFill>
              <a:round/>
            </a:ln>
            <a:effectLst/>
          </c:spPr>
        </c:majorGridlines>
        <c:numFmt formatCode="#,##0&quot;人&quot;"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ja-JP"/>
          </a:p>
        </c:txPr>
        <c:crossAx val="699428592"/>
        <c:crosses val="autoZero"/>
        <c:crossBetween val="between"/>
      </c:valAx>
      <c:catAx>
        <c:axId val="699428592"/>
        <c:scaling>
          <c:orientation val="maxMin"/>
        </c:scaling>
        <c:delete val="0"/>
        <c:axPos val="l"/>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ja-JP"/>
          </a:p>
        </c:txPr>
        <c:crossAx val="699420688"/>
        <c:crosses val="autoZero"/>
        <c:auto val="1"/>
        <c:lblAlgn val="ctr"/>
        <c:lblOffset val="100"/>
        <c:noMultiLvlLbl val="0"/>
      </c:cat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cap="none" spc="20" baseline="0">
                <a:solidFill>
                  <a:schemeClr val="tx1">
                    <a:lumMod val="50000"/>
                    <a:lumOff val="50000"/>
                  </a:schemeClr>
                </a:solidFill>
                <a:latin typeface="メイリオ" panose="020B0604030504040204" pitchFamily="50" charset="-128"/>
                <a:ea typeface="メイリオ" panose="020B0604030504040204" pitchFamily="50" charset="-128"/>
                <a:cs typeface="+mn-cs"/>
              </a:defRPr>
            </a:pPr>
            <a:r>
              <a:rPr lang="ja-JP" altLang="en-US" sz="1200" b="1">
                <a:latin typeface="メイリオ" panose="020B0604030504040204" pitchFamily="50" charset="-128"/>
                <a:ea typeface="メイリオ" panose="020B0604030504040204" pitchFamily="50" charset="-128"/>
              </a:rPr>
              <a:t>疾患別＿寛解・院内寛解群</a:t>
            </a:r>
            <a:endParaRPr lang="ja-JP" sz="1200" b="1">
              <a:latin typeface="メイリオ" panose="020B0604030504040204" pitchFamily="50" charset="-128"/>
              <a:ea typeface="メイリオ" panose="020B0604030504040204" pitchFamily="50" charset="-128"/>
            </a:endParaRPr>
          </a:p>
        </c:rich>
      </c:tx>
      <c:layout>
        <c:manualLayout>
          <c:xMode val="edge"/>
          <c:yMode val="edge"/>
          <c:x val="0.1641813402526488"/>
          <c:y val="1.2740753423283275E-2"/>
        </c:manualLayout>
      </c:layout>
      <c:overlay val="0"/>
      <c:spPr>
        <a:noFill/>
        <a:ln>
          <a:noFill/>
        </a:ln>
        <a:effectLst/>
      </c:spPr>
      <c:txPr>
        <a:bodyPr rot="0" spcFirstLastPara="1" vertOverflow="ellipsis" vert="horz" wrap="square" anchor="ctr" anchorCtr="1"/>
        <a:lstStyle/>
        <a:p>
          <a:pPr>
            <a:defRPr sz="1200" b="1" i="0" u="none" strike="noStrike" kern="1200" cap="none" spc="20" baseline="0">
              <a:solidFill>
                <a:schemeClr val="tx1">
                  <a:lumMod val="50000"/>
                  <a:lumOff val="50000"/>
                </a:schemeClr>
              </a:solidFill>
              <a:latin typeface="メイリオ" panose="020B0604030504040204" pitchFamily="50" charset="-128"/>
              <a:ea typeface="メイリオ" panose="020B0604030504040204" pitchFamily="50" charset="-128"/>
              <a:cs typeface="+mn-cs"/>
            </a:defRPr>
          </a:pPr>
          <a:endParaRPr lang="ja-JP"/>
        </a:p>
      </c:txPr>
    </c:title>
    <c:autoTitleDeleted val="0"/>
    <c:plotArea>
      <c:layout/>
      <c:barChart>
        <c:barDir val="bar"/>
        <c:grouping val="clustered"/>
        <c:varyColors val="0"/>
        <c:ser>
          <c:idx val="1"/>
          <c:order val="0"/>
          <c:tx>
            <c:strRef>
              <c:f>'グラフ(疾患名)'!$R$4</c:f>
              <c:strCache>
                <c:ptCount val="1"/>
                <c:pt idx="0">
                  <c:v>計</c:v>
                </c:pt>
              </c:strCache>
            </c:strRef>
          </c:tx>
          <c:spPr>
            <a:solidFill>
              <a:schemeClr val="accent3">
                <a:lumMod val="40000"/>
                <a:lumOff val="60000"/>
              </a:schemeClr>
            </a:solidFill>
            <a:ln w="9525" cap="flat" cmpd="sng" algn="ctr">
              <a:solidFill>
                <a:schemeClr val="accent3">
                  <a:lumMod val="75000"/>
                </a:schemeClr>
              </a:solidFill>
              <a:round/>
            </a:ln>
            <a:effectLst>
              <a:outerShdw blurRad="40000" dist="20000" dir="5400000" rotWithShape="0">
                <a:srgbClr val="000000">
                  <a:alpha val="38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'グラフ(疾患名)'!$T$5:$T$16</c:f>
              <c:strCache>
                <c:ptCount val="12"/>
                <c:pt idx="0">
                  <c:v>F0</c:v>
                </c:pt>
                <c:pt idx="1">
                  <c:v>F1</c:v>
                </c:pt>
                <c:pt idx="2">
                  <c:v>F2</c:v>
                </c:pt>
                <c:pt idx="3">
                  <c:v>F3</c:v>
                </c:pt>
                <c:pt idx="4">
                  <c:v>F4</c:v>
                </c:pt>
                <c:pt idx="5">
                  <c:v>F5</c:v>
                </c:pt>
                <c:pt idx="6">
                  <c:v>F6</c:v>
                </c:pt>
                <c:pt idx="7">
                  <c:v>F7</c:v>
                </c:pt>
                <c:pt idx="8">
                  <c:v>F8</c:v>
                </c:pt>
                <c:pt idx="9">
                  <c:v>F9</c:v>
                </c:pt>
                <c:pt idx="10">
                  <c:v>てんかん</c:v>
                </c:pt>
                <c:pt idx="11">
                  <c:v>その他</c:v>
                </c:pt>
              </c:strCache>
            </c:strRef>
          </c:cat>
          <c:val>
            <c:numRef>
              <c:f>'グラフ(疾患名)'!$R$5:$R$16</c:f>
              <c:numCache>
                <c:formatCode>#,##0"人"</c:formatCode>
                <c:ptCount val="12"/>
                <c:pt idx="0">
                  <c:v>237</c:v>
                </c:pt>
                <c:pt idx="1">
                  <c:v>202</c:v>
                </c:pt>
                <c:pt idx="2">
                  <c:v>734</c:v>
                </c:pt>
                <c:pt idx="3">
                  <c:v>328</c:v>
                </c:pt>
                <c:pt idx="4">
                  <c:v>65</c:v>
                </c:pt>
                <c:pt idx="5">
                  <c:v>10</c:v>
                </c:pt>
                <c:pt idx="6">
                  <c:v>11</c:v>
                </c:pt>
                <c:pt idx="7">
                  <c:v>33</c:v>
                </c:pt>
                <c:pt idx="8">
                  <c:v>24</c:v>
                </c:pt>
                <c:pt idx="9">
                  <c:v>12</c:v>
                </c:pt>
                <c:pt idx="10">
                  <c:v>5</c:v>
                </c:pt>
                <c:pt idx="11">
                  <c:v>17</c:v>
                </c:pt>
              </c:numCache>
            </c:numRef>
          </c:val>
          <c:extLst>
            <c:ext xmlns:c16="http://schemas.microsoft.com/office/drawing/2014/chart" uri="{C3380CC4-5D6E-409C-BE32-E72D297353CC}">
              <c16:uniqueId val="{00000014-0450-4C83-A419-A907C4B564A4}"/>
            </c:ext>
          </c:extLst>
        </c:ser>
        <c:dLbls>
          <c:showLegendKey val="0"/>
          <c:showVal val="0"/>
          <c:showCatName val="0"/>
          <c:showSerName val="0"/>
          <c:showPercent val="0"/>
          <c:showBubbleSize val="0"/>
        </c:dLbls>
        <c:gapWidth val="100"/>
        <c:axId val="630609584"/>
        <c:axId val="630607088"/>
      </c:barChart>
      <c:valAx>
        <c:axId val="630607088"/>
        <c:scaling>
          <c:orientation val="minMax"/>
        </c:scaling>
        <c:delete val="0"/>
        <c:axPos val="t"/>
        <c:majorGridlines>
          <c:spPr>
            <a:ln w="9525" cap="flat" cmpd="sng" algn="ctr">
              <a:solidFill>
                <a:schemeClr val="tx1">
                  <a:lumMod val="15000"/>
                  <a:lumOff val="85000"/>
                </a:schemeClr>
              </a:solidFill>
              <a:round/>
            </a:ln>
            <a:effectLst/>
          </c:spPr>
        </c:majorGridlines>
        <c:numFmt formatCode="#,##0&quot;人&quot;"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ja-JP"/>
          </a:p>
        </c:txPr>
        <c:crossAx val="630609584"/>
        <c:crosses val="autoZero"/>
        <c:crossBetween val="between"/>
      </c:valAx>
      <c:catAx>
        <c:axId val="630609584"/>
        <c:scaling>
          <c:orientation val="maxMin"/>
        </c:scaling>
        <c:delete val="0"/>
        <c:axPos val="l"/>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ja-JP"/>
          </a:p>
        </c:txPr>
        <c:crossAx val="630607088"/>
        <c:crosses val="autoZero"/>
        <c:auto val="1"/>
        <c:lblAlgn val="ctr"/>
        <c:lblOffset val="100"/>
        <c:noMultiLvlLbl val="0"/>
      </c:cat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cap="none" spc="20" baseline="0">
                <a:solidFill>
                  <a:schemeClr val="tx1">
                    <a:lumMod val="50000"/>
                    <a:lumOff val="50000"/>
                  </a:schemeClr>
                </a:solidFill>
                <a:latin typeface="メイリオ" panose="020B0604030504040204" pitchFamily="50" charset="-128"/>
                <a:ea typeface="メイリオ" panose="020B0604030504040204" pitchFamily="50" charset="-128"/>
                <a:cs typeface="+mn-cs"/>
              </a:defRPr>
            </a:pPr>
            <a:r>
              <a:rPr lang="en-US" altLang="ja-JP" sz="1200" b="1">
                <a:latin typeface="メイリオ" panose="020B0604030504040204" pitchFamily="50" charset="-128"/>
                <a:ea typeface="メイリオ" panose="020B0604030504040204" pitchFamily="50" charset="-128"/>
              </a:rPr>
              <a:t>1</a:t>
            </a:r>
            <a:r>
              <a:rPr lang="ja-JP" altLang="en-US" sz="1200" b="1">
                <a:latin typeface="メイリオ" panose="020B0604030504040204" pitchFamily="50" charset="-128"/>
                <a:ea typeface="メイリオ" panose="020B0604030504040204" pitchFamily="50" charset="-128"/>
              </a:rPr>
              <a:t>年以上</a:t>
            </a:r>
            <a:endParaRPr lang="ja-JP" sz="1200" b="1">
              <a:latin typeface="メイリオ" panose="020B0604030504040204" pitchFamily="50" charset="-128"/>
              <a:ea typeface="メイリオ" panose="020B0604030504040204" pitchFamily="50" charset="-128"/>
            </a:endParaRPr>
          </a:p>
        </c:rich>
      </c:tx>
      <c:layout>
        <c:manualLayout>
          <c:xMode val="edge"/>
          <c:yMode val="edge"/>
          <c:x val="0.38648181712605029"/>
          <c:y val="4.2469178077610917E-3"/>
        </c:manualLayout>
      </c:layout>
      <c:overlay val="0"/>
      <c:spPr>
        <a:noFill/>
        <a:ln>
          <a:noFill/>
        </a:ln>
        <a:effectLst/>
      </c:spPr>
      <c:txPr>
        <a:bodyPr rot="0" spcFirstLastPara="1" vertOverflow="ellipsis" vert="horz" wrap="square" anchor="ctr" anchorCtr="1"/>
        <a:lstStyle/>
        <a:p>
          <a:pPr>
            <a:defRPr sz="1200" b="1" i="0" u="none" strike="noStrike" kern="1200" cap="none" spc="20" baseline="0">
              <a:solidFill>
                <a:schemeClr val="tx1">
                  <a:lumMod val="50000"/>
                  <a:lumOff val="50000"/>
                </a:schemeClr>
              </a:solidFill>
              <a:latin typeface="メイリオ" panose="020B0604030504040204" pitchFamily="50" charset="-128"/>
              <a:ea typeface="メイリオ" panose="020B0604030504040204" pitchFamily="50" charset="-128"/>
              <a:cs typeface="+mn-cs"/>
            </a:defRPr>
          </a:pPr>
          <a:endParaRPr lang="ja-JP"/>
        </a:p>
      </c:txPr>
    </c:title>
    <c:autoTitleDeleted val="0"/>
    <c:plotArea>
      <c:layout/>
      <c:barChart>
        <c:barDir val="bar"/>
        <c:grouping val="clustered"/>
        <c:varyColors val="0"/>
        <c:ser>
          <c:idx val="0"/>
          <c:order val="0"/>
          <c:tx>
            <c:strRef>
              <c:f>'グラフ(疾患名)'!$O$23</c:f>
              <c:strCache>
                <c:ptCount val="1"/>
                <c:pt idx="0">
                  <c:v>人数</c:v>
                </c:pt>
              </c:strCache>
            </c:strRef>
          </c:tx>
          <c:spPr>
            <a:gradFill rotWithShape="1">
              <a:gsLst>
                <a:gs pos="0">
                  <a:schemeClr val="accent1">
                    <a:tint val="50000"/>
                    <a:satMod val="300000"/>
                  </a:schemeClr>
                </a:gs>
                <a:gs pos="35000">
                  <a:schemeClr val="accent1">
                    <a:tint val="37000"/>
                    <a:satMod val="300000"/>
                  </a:schemeClr>
                </a:gs>
                <a:gs pos="100000">
                  <a:schemeClr val="accent1">
                    <a:tint val="15000"/>
                    <a:satMod val="350000"/>
                  </a:schemeClr>
                </a:gs>
              </a:gsLst>
              <a:lin ang="16200000" scaled="1"/>
            </a:gradFill>
            <a:ln w="9525" cap="flat" cmpd="sng" algn="ctr">
              <a:solidFill>
                <a:schemeClr val="accent1">
                  <a:shade val="95000"/>
                </a:schemeClr>
              </a:solidFill>
              <a:round/>
            </a:ln>
            <a:effectLst>
              <a:outerShdw blurRad="40000" dist="20000" dir="5400000" rotWithShape="0">
                <a:srgbClr val="000000">
                  <a:alpha val="38000"/>
                </a:srgbClr>
              </a:outerShdw>
            </a:effectLst>
          </c:spPr>
          <c:invertIfNegative val="0"/>
          <c:dPt>
            <c:idx val="0"/>
            <c:invertIfNegative val="0"/>
            <c:bubble3D val="0"/>
            <c:spPr>
              <a:gradFill rotWithShape="1">
                <a:gsLst>
                  <a:gs pos="0">
                    <a:schemeClr val="accent1">
                      <a:tint val="50000"/>
                      <a:satMod val="300000"/>
                    </a:schemeClr>
                  </a:gs>
                  <a:gs pos="35000">
                    <a:schemeClr val="accent1">
                      <a:tint val="37000"/>
                      <a:satMod val="300000"/>
                    </a:schemeClr>
                  </a:gs>
                  <a:gs pos="100000">
                    <a:schemeClr val="accent1">
                      <a:tint val="15000"/>
                      <a:satMod val="350000"/>
                    </a:schemeClr>
                  </a:gs>
                </a:gsLst>
                <a:lin ang="16200000" scaled="1"/>
              </a:gradFill>
              <a:ln w="9525" cap="flat" cmpd="sng" algn="ctr">
                <a:solidFill>
                  <a:schemeClr val="accent1">
                    <a:shade val="95000"/>
                  </a:schemeClr>
                </a:solidFill>
                <a:round/>
              </a:ln>
              <a:effectLst>
                <a:outerShdw blurRad="40000" dist="20000" dir="5400000" rotWithShape="0">
                  <a:srgbClr val="000000">
                    <a:alpha val="38000"/>
                  </a:srgbClr>
                </a:outerShdw>
              </a:effectLst>
            </c:spPr>
            <c:extLst>
              <c:ext xmlns:c16="http://schemas.microsoft.com/office/drawing/2014/chart" uri="{C3380CC4-5D6E-409C-BE32-E72D297353CC}">
                <c16:uniqueId val="{00000001-4173-4866-8F21-C79DD1F99DAE}"/>
              </c:ext>
            </c:extLst>
          </c:dPt>
          <c:dPt>
            <c:idx val="1"/>
            <c:invertIfNegative val="0"/>
            <c:bubble3D val="0"/>
            <c:spPr>
              <a:gradFill rotWithShape="1">
                <a:gsLst>
                  <a:gs pos="0">
                    <a:schemeClr val="accent1">
                      <a:tint val="50000"/>
                      <a:satMod val="300000"/>
                    </a:schemeClr>
                  </a:gs>
                  <a:gs pos="35000">
                    <a:schemeClr val="accent1">
                      <a:tint val="37000"/>
                      <a:satMod val="300000"/>
                    </a:schemeClr>
                  </a:gs>
                  <a:gs pos="100000">
                    <a:schemeClr val="accent1">
                      <a:tint val="15000"/>
                      <a:satMod val="350000"/>
                    </a:schemeClr>
                  </a:gs>
                </a:gsLst>
                <a:lin ang="16200000" scaled="1"/>
              </a:gradFill>
              <a:ln w="9525" cap="flat" cmpd="sng" algn="ctr">
                <a:solidFill>
                  <a:schemeClr val="accent1">
                    <a:shade val="95000"/>
                  </a:schemeClr>
                </a:solidFill>
                <a:round/>
              </a:ln>
              <a:effectLst>
                <a:outerShdw blurRad="40000" dist="20000" dir="5400000" rotWithShape="0">
                  <a:srgbClr val="000000">
                    <a:alpha val="38000"/>
                  </a:srgbClr>
                </a:outerShdw>
              </a:effectLst>
            </c:spPr>
            <c:extLst>
              <c:ext xmlns:c16="http://schemas.microsoft.com/office/drawing/2014/chart" uri="{C3380CC4-5D6E-409C-BE32-E72D297353CC}">
                <c16:uniqueId val="{00000003-4173-4866-8F21-C79DD1F99DAE}"/>
              </c:ext>
            </c:extLst>
          </c:dPt>
          <c:dPt>
            <c:idx val="2"/>
            <c:invertIfNegative val="0"/>
            <c:bubble3D val="0"/>
            <c:spPr>
              <a:gradFill rotWithShape="1">
                <a:gsLst>
                  <a:gs pos="0">
                    <a:schemeClr val="accent1">
                      <a:tint val="50000"/>
                      <a:satMod val="300000"/>
                    </a:schemeClr>
                  </a:gs>
                  <a:gs pos="35000">
                    <a:schemeClr val="accent1">
                      <a:tint val="37000"/>
                      <a:satMod val="300000"/>
                    </a:schemeClr>
                  </a:gs>
                  <a:gs pos="100000">
                    <a:schemeClr val="accent1">
                      <a:tint val="15000"/>
                      <a:satMod val="350000"/>
                    </a:schemeClr>
                  </a:gs>
                </a:gsLst>
                <a:lin ang="16200000" scaled="1"/>
              </a:gradFill>
              <a:ln w="9525" cap="flat" cmpd="sng" algn="ctr">
                <a:solidFill>
                  <a:schemeClr val="accent1">
                    <a:shade val="95000"/>
                  </a:schemeClr>
                </a:solidFill>
                <a:round/>
              </a:ln>
              <a:effectLst>
                <a:outerShdw blurRad="40000" dist="20000" dir="5400000" rotWithShape="0">
                  <a:srgbClr val="000000">
                    <a:alpha val="38000"/>
                  </a:srgbClr>
                </a:outerShdw>
              </a:effectLst>
            </c:spPr>
            <c:extLst>
              <c:ext xmlns:c16="http://schemas.microsoft.com/office/drawing/2014/chart" uri="{C3380CC4-5D6E-409C-BE32-E72D297353CC}">
                <c16:uniqueId val="{00000005-4173-4866-8F21-C79DD1F99DAE}"/>
              </c:ext>
            </c:extLst>
          </c:dPt>
          <c:dPt>
            <c:idx val="3"/>
            <c:invertIfNegative val="0"/>
            <c:bubble3D val="0"/>
            <c:spPr>
              <a:gradFill rotWithShape="1">
                <a:gsLst>
                  <a:gs pos="0">
                    <a:schemeClr val="accent1">
                      <a:tint val="50000"/>
                      <a:satMod val="300000"/>
                    </a:schemeClr>
                  </a:gs>
                  <a:gs pos="35000">
                    <a:schemeClr val="accent1">
                      <a:tint val="37000"/>
                      <a:satMod val="300000"/>
                    </a:schemeClr>
                  </a:gs>
                  <a:gs pos="100000">
                    <a:schemeClr val="accent1">
                      <a:tint val="15000"/>
                      <a:satMod val="350000"/>
                    </a:schemeClr>
                  </a:gs>
                </a:gsLst>
                <a:lin ang="16200000" scaled="1"/>
              </a:gradFill>
              <a:ln w="9525" cap="flat" cmpd="sng" algn="ctr">
                <a:solidFill>
                  <a:schemeClr val="accent1">
                    <a:shade val="95000"/>
                  </a:schemeClr>
                </a:solidFill>
                <a:round/>
              </a:ln>
              <a:effectLst>
                <a:outerShdw blurRad="40000" dist="20000" dir="5400000" rotWithShape="0">
                  <a:srgbClr val="000000">
                    <a:alpha val="38000"/>
                  </a:srgbClr>
                </a:outerShdw>
              </a:effectLst>
            </c:spPr>
            <c:extLst>
              <c:ext xmlns:c16="http://schemas.microsoft.com/office/drawing/2014/chart" uri="{C3380CC4-5D6E-409C-BE32-E72D297353CC}">
                <c16:uniqueId val="{00000007-4173-4866-8F21-C79DD1F99DAE}"/>
              </c:ext>
            </c:extLst>
          </c:dPt>
          <c:dPt>
            <c:idx val="4"/>
            <c:invertIfNegative val="0"/>
            <c:bubble3D val="0"/>
            <c:spPr>
              <a:gradFill rotWithShape="1">
                <a:gsLst>
                  <a:gs pos="0">
                    <a:schemeClr val="accent1">
                      <a:tint val="50000"/>
                      <a:satMod val="300000"/>
                    </a:schemeClr>
                  </a:gs>
                  <a:gs pos="35000">
                    <a:schemeClr val="accent1">
                      <a:tint val="37000"/>
                      <a:satMod val="300000"/>
                    </a:schemeClr>
                  </a:gs>
                  <a:gs pos="100000">
                    <a:schemeClr val="accent1">
                      <a:tint val="15000"/>
                      <a:satMod val="350000"/>
                    </a:schemeClr>
                  </a:gs>
                </a:gsLst>
                <a:lin ang="16200000" scaled="1"/>
              </a:gradFill>
              <a:ln w="9525" cap="flat" cmpd="sng" algn="ctr">
                <a:solidFill>
                  <a:schemeClr val="accent1">
                    <a:shade val="95000"/>
                  </a:schemeClr>
                </a:solidFill>
                <a:round/>
              </a:ln>
              <a:effectLst>
                <a:outerShdw blurRad="40000" dist="20000" dir="5400000" rotWithShape="0">
                  <a:srgbClr val="000000">
                    <a:alpha val="38000"/>
                  </a:srgbClr>
                </a:outerShdw>
              </a:effectLst>
            </c:spPr>
            <c:extLst>
              <c:ext xmlns:c16="http://schemas.microsoft.com/office/drawing/2014/chart" uri="{C3380CC4-5D6E-409C-BE32-E72D297353CC}">
                <c16:uniqueId val="{00000009-4173-4866-8F21-C79DD1F99DAE}"/>
              </c:ext>
            </c:extLst>
          </c:dPt>
          <c:dPt>
            <c:idx val="5"/>
            <c:invertIfNegative val="0"/>
            <c:bubble3D val="0"/>
            <c:spPr>
              <a:gradFill rotWithShape="1">
                <a:gsLst>
                  <a:gs pos="0">
                    <a:schemeClr val="accent1">
                      <a:tint val="50000"/>
                      <a:satMod val="300000"/>
                    </a:schemeClr>
                  </a:gs>
                  <a:gs pos="35000">
                    <a:schemeClr val="accent1">
                      <a:tint val="37000"/>
                      <a:satMod val="300000"/>
                    </a:schemeClr>
                  </a:gs>
                  <a:gs pos="100000">
                    <a:schemeClr val="accent1">
                      <a:tint val="15000"/>
                      <a:satMod val="350000"/>
                    </a:schemeClr>
                  </a:gs>
                </a:gsLst>
                <a:lin ang="16200000" scaled="1"/>
              </a:gradFill>
              <a:ln w="9525" cap="flat" cmpd="sng" algn="ctr">
                <a:solidFill>
                  <a:schemeClr val="accent1">
                    <a:shade val="95000"/>
                  </a:schemeClr>
                </a:solidFill>
                <a:round/>
              </a:ln>
              <a:effectLst>
                <a:outerShdw blurRad="40000" dist="20000" dir="5400000" rotWithShape="0">
                  <a:srgbClr val="000000">
                    <a:alpha val="38000"/>
                  </a:srgbClr>
                </a:outerShdw>
              </a:effectLst>
            </c:spPr>
            <c:extLst>
              <c:ext xmlns:c16="http://schemas.microsoft.com/office/drawing/2014/chart" uri="{C3380CC4-5D6E-409C-BE32-E72D297353CC}">
                <c16:uniqueId val="{0000000B-4173-4866-8F21-C79DD1F99DAE}"/>
              </c:ext>
            </c:extLst>
          </c:dPt>
          <c:dPt>
            <c:idx val="6"/>
            <c:invertIfNegative val="0"/>
            <c:bubble3D val="0"/>
            <c:spPr>
              <a:gradFill rotWithShape="1">
                <a:gsLst>
                  <a:gs pos="0">
                    <a:schemeClr val="accent1">
                      <a:tint val="50000"/>
                      <a:satMod val="300000"/>
                    </a:schemeClr>
                  </a:gs>
                  <a:gs pos="35000">
                    <a:schemeClr val="accent1">
                      <a:tint val="37000"/>
                      <a:satMod val="300000"/>
                    </a:schemeClr>
                  </a:gs>
                  <a:gs pos="100000">
                    <a:schemeClr val="accent1">
                      <a:tint val="15000"/>
                      <a:satMod val="350000"/>
                    </a:schemeClr>
                  </a:gs>
                </a:gsLst>
                <a:lin ang="16200000" scaled="1"/>
              </a:gradFill>
              <a:ln w="9525" cap="flat" cmpd="sng" algn="ctr">
                <a:solidFill>
                  <a:schemeClr val="accent1">
                    <a:shade val="95000"/>
                  </a:schemeClr>
                </a:solidFill>
                <a:round/>
              </a:ln>
              <a:effectLst>
                <a:outerShdw blurRad="40000" dist="20000" dir="5400000" rotWithShape="0">
                  <a:srgbClr val="000000">
                    <a:alpha val="38000"/>
                  </a:srgbClr>
                </a:outerShdw>
              </a:effectLst>
            </c:spPr>
            <c:extLst>
              <c:ext xmlns:c16="http://schemas.microsoft.com/office/drawing/2014/chart" uri="{C3380CC4-5D6E-409C-BE32-E72D297353CC}">
                <c16:uniqueId val="{0000000D-4173-4866-8F21-C79DD1F99DAE}"/>
              </c:ext>
            </c:extLst>
          </c:dPt>
          <c:dPt>
            <c:idx val="7"/>
            <c:invertIfNegative val="0"/>
            <c:bubble3D val="0"/>
            <c:spPr>
              <a:gradFill rotWithShape="1">
                <a:gsLst>
                  <a:gs pos="0">
                    <a:schemeClr val="accent1">
                      <a:tint val="50000"/>
                      <a:satMod val="300000"/>
                    </a:schemeClr>
                  </a:gs>
                  <a:gs pos="35000">
                    <a:schemeClr val="accent1">
                      <a:tint val="37000"/>
                      <a:satMod val="300000"/>
                    </a:schemeClr>
                  </a:gs>
                  <a:gs pos="100000">
                    <a:schemeClr val="accent1">
                      <a:tint val="15000"/>
                      <a:satMod val="350000"/>
                    </a:schemeClr>
                  </a:gs>
                </a:gsLst>
                <a:lin ang="16200000" scaled="1"/>
              </a:gradFill>
              <a:ln w="9525" cap="flat" cmpd="sng" algn="ctr">
                <a:solidFill>
                  <a:schemeClr val="accent1">
                    <a:shade val="95000"/>
                  </a:schemeClr>
                </a:solidFill>
                <a:round/>
              </a:ln>
              <a:effectLst>
                <a:outerShdw blurRad="40000" dist="20000" dir="5400000" rotWithShape="0">
                  <a:srgbClr val="000000">
                    <a:alpha val="38000"/>
                  </a:srgbClr>
                </a:outerShdw>
              </a:effectLst>
            </c:spPr>
            <c:extLst>
              <c:ext xmlns:c16="http://schemas.microsoft.com/office/drawing/2014/chart" uri="{C3380CC4-5D6E-409C-BE32-E72D297353CC}">
                <c16:uniqueId val="{0000000F-4173-4866-8F21-C79DD1F99DAE}"/>
              </c:ext>
            </c:extLst>
          </c:dPt>
          <c:dPt>
            <c:idx val="8"/>
            <c:invertIfNegative val="0"/>
            <c:bubble3D val="0"/>
            <c:spPr>
              <a:gradFill rotWithShape="1">
                <a:gsLst>
                  <a:gs pos="0">
                    <a:schemeClr val="accent1">
                      <a:tint val="50000"/>
                      <a:satMod val="300000"/>
                    </a:schemeClr>
                  </a:gs>
                  <a:gs pos="35000">
                    <a:schemeClr val="accent1">
                      <a:tint val="37000"/>
                      <a:satMod val="300000"/>
                    </a:schemeClr>
                  </a:gs>
                  <a:gs pos="100000">
                    <a:schemeClr val="accent1">
                      <a:tint val="15000"/>
                      <a:satMod val="350000"/>
                    </a:schemeClr>
                  </a:gs>
                </a:gsLst>
                <a:lin ang="16200000" scaled="1"/>
              </a:gradFill>
              <a:ln w="9525" cap="flat" cmpd="sng" algn="ctr">
                <a:solidFill>
                  <a:schemeClr val="accent1">
                    <a:shade val="95000"/>
                  </a:schemeClr>
                </a:solidFill>
                <a:round/>
              </a:ln>
              <a:effectLst>
                <a:outerShdw blurRad="40000" dist="20000" dir="5400000" rotWithShape="0">
                  <a:srgbClr val="000000">
                    <a:alpha val="38000"/>
                  </a:srgbClr>
                </a:outerShdw>
              </a:effectLst>
            </c:spPr>
            <c:extLst>
              <c:ext xmlns:c16="http://schemas.microsoft.com/office/drawing/2014/chart" uri="{C3380CC4-5D6E-409C-BE32-E72D297353CC}">
                <c16:uniqueId val="{00000011-4173-4866-8F21-C79DD1F99DAE}"/>
              </c:ext>
            </c:extLst>
          </c:dPt>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'グラフ(疾患名)'!$T$5:$T$16</c:f>
              <c:strCache>
                <c:ptCount val="12"/>
                <c:pt idx="0">
                  <c:v>F0</c:v>
                </c:pt>
                <c:pt idx="1">
                  <c:v>F1</c:v>
                </c:pt>
                <c:pt idx="2">
                  <c:v>F2</c:v>
                </c:pt>
                <c:pt idx="3">
                  <c:v>F3</c:v>
                </c:pt>
                <c:pt idx="4">
                  <c:v>F4</c:v>
                </c:pt>
                <c:pt idx="5">
                  <c:v>F5</c:v>
                </c:pt>
                <c:pt idx="6">
                  <c:v>F6</c:v>
                </c:pt>
                <c:pt idx="7">
                  <c:v>F7</c:v>
                </c:pt>
                <c:pt idx="8">
                  <c:v>F8</c:v>
                </c:pt>
                <c:pt idx="9">
                  <c:v>F9</c:v>
                </c:pt>
                <c:pt idx="10">
                  <c:v>てんかん</c:v>
                </c:pt>
                <c:pt idx="11">
                  <c:v>その他</c:v>
                </c:pt>
              </c:strCache>
            </c:strRef>
          </c:cat>
          <c:val>
            <c:numRef>
              <c:f>'グラフ(疾患名)'!$O$24:$O$35</c:f>
              <c:numCache>
                <c:formatCode>#,##0"人"</c:formatCode>
                <c:ptCount val="12"/>
                <c:pt idx="0">
                  <c:v>2175</c:v>
                </c:pt>
                <c:pt idx="1">
                  <c:v>334</c:v>
                </c:pt>
                <c:pt idx="2">
                  <c:v>5584</c:v>
                </c:pt>
                <c:pt idx="3">
                  <c:v>605</c:v>
                </c:pt>
                <c:pt idx="4">
                  <c:v>94</c:v>
                </c:pt>
                <c:pt idx="5">
                  <c:v>10</c:v>
                </c:pt>
                <c:pt idx="6">
                  <c:v>16</c:v>
                </c:pt>
                <c:pt idx="7">
                  <c:v>172</c:v>
                </c:pt>
                <c:pt idx="8">
                  <c:v>37</c:v>
                </c:pt>
                <c:pt idx="9">
                  <c:v>12</c:v>
                </c:pt>
                <c:pt idx="10">
                  <c:v>33</c:v>
                </c:pt>
                <c:pt idx="11">
                  <c:v>70</c:v>
                </c:pt>
              </c:numCache>
            </c:numRef>
          </c:val>
          <c:extLst>
            <c:ext xmlns:c16="http://schemas.microsoft.com/office/drawing/2014/chart" uri="{C3380CC4-5D6E-409C-BE32-E72D297353CC}">
              <c16:uniqueId val="{00000012-4173-4866-8F21-C79DD1F99DAE}"/>
            </c:ext>
          </c:extLst>
        </c:ser>
        <c:dLbls>
          <c:showLegendKey val="0"/>
          <c:showVal val="0"/>
          <c:showCatName val="0"/>
          <c:showSerName val="0"/>
          <c:showPercent val="0"/>
          <c:showBubbleSize val="0"/>
        </c:dLbls>
        <c:gapWidth val="100"/>
        <c:axId val="630611664"/>
        <c:axId val="630606256"/>
      </c:barChart>
      <c:valAx>
        <c:axId val="630606256"/>
        <c:scaling>
          <c:orientation val="minMax"/>
        </c:scaling>
        <c:delete val="0"/>
        <c:axPos val="t"/>
        <c:majorGridlines>
          <c:spPr>
            <a:ln w="9525" cap="flat" cmpd="sng" algn="ctr">
              <a:solidFill>
                <a:schemeClr val="tx1">
                  <a:lumMod val="15000"/>
                  <a:lumOff val="85000"/>
                </a:schemeClr>
              </a:solidFill>
              <a:round/>
            </a:ln>
            <a:effectLst/>
          </c:spPr>
        </c:majorGridlines>
        <c:numFmt formatCode="#,##0&quot;人&quot;"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ja-JP"/>
          </a:p>
        </c:txPr>
        <c:crossAx val="630611664"/>
        <c:crosses val="autoZero"/>
        <c:crossBetween val="between"/>
      </c:valAx>
      <c:catAx>
        <c:axId val="630611664"/>
        <c:scaling>
          <c:orientation val="maxMin"/>
        </c:scaling>
        <c:delete val="0"/>
        <c:axPos val="l"/>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ja-JP"/>
          </a:p>
        </c:txPr>
        <c:crossAx val="630606256"/>
        <c:crosses val="autoZero"/>
        <c:auto val="1"/>
        <c:lblAlgn val="ctr"/>
        <c:lblOffset val="100"/>
        <c:noMultiLvlLbl val="0"/>
      </c:cat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withinLinearReversed" id="25">
  <a:schemeClr val="accent5"/>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4">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fillRef idx="2">
      <cs:styleClr val="auto"/>
    </cs:fillRef>
    <cs:effectRef idx="1"/>
    <cs:fontRef idx="minor">
      <a:schemeClr val="dk1"/>
    </cs:fontRef>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10.xml><?xml version="1.0" encoding="utf-8"?>
<cs:chartStyle xmlns:cs="http://schemas.microsoft.com/office/drawing/2012/chartStyle" xmlns:a="http://schemas.openxmlformats.org/drawingml/2006/main" id="254">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fillRef idx="2">
      <cs:styleClr val="auto"/>
    </cs:fillRef>
    <cs:effectRef idx="1"/>
    <cs:fontRef idx="minor">
      <a:schemeClr val="dk1"/>
    </cs:fontRef>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11.xml><?xml version="1.0" encoding="utf-8"?>
<cs:chartStyle xmlns:cs="http://schemas.microsoft.com/office/drawing/2012/chartStyle" xmlns:a="http://schemas.openxmlformats.org/drawingml/2006/main" id="254">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fillRef idx="2">
      <cs:styleClr val="auto"/>
    </cs:fillRef>
    <cs:effectRef idx="1"/>
    <cs:fontRef idx="minor">
      <a:schemeClr val="dk1"/>
    </cs:fontRef>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12.xml><?xml version="1.0" encoding="utf-8"?>
<cs:chartStyle xmlns:cs="http://schemas.microsoft.com/office/drawing/2012/chartStyle" xmlns:a="http://schemas.openxmlformats.org/drawingml/2006/main" id="254">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fillRef idx="2">
      <cs:styleClr val="auto"/>
    </cs:fillRef>
    <cs:effectRef idx="1"/>
    <cs:fontRef idx="minor">
      <a:schemeClr val="dk1"/>
    </cs:fontRef>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13.xml><?xml version="1.0" encoding="utf-8"?>
<cs:chartStyle xmlns:cs="http://schemas.microsoft.com/office/drawing/2012/chartStyle" xmlns:a="http://schemas.openxmlformats.org/drawingml/2006/main" id="301">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14.xml><?xml version="1.0" encoding="utf-8"?>
<cs:chartStyle xmlns:cs="http://schemas.microsoft.com/office/drawing/2012/chartStyle" xmlns:a="http://schemas.openxmlformats.org/drawingml/2006/main" id="301">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15.xml><?xml version="1.0" encoding="utf-8"?>
<cs:chartStyle xmlns:cs="http://schemas.microsoft.com/office/drawing/2012/chartStyle" xmlns:a="http://schemas.openxmlformats.org/drawingml/2006/main" id="335">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fillRef idx="2">
      <cs:styleClr val="auto"/>
    </cs:fillRef>
    <cs:effectRef idx="1"/>
    <cs:fontRef idx="minor">
      <a:schemeClr val="dk1"/>
    </cs:fontRef>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16.xml><?xml version="1.0" encoding="utf-8"?>
<cs:chartStyle xmlns:cs="http://schemas.microsoft.com/office/drawing/2012/chartStyle" xmlns:a="http://schemas.openxmlformats.org/drawingml/2006/main" id="254">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fillRef idx="2">
      <cs:styleClr val="auto"/>
    </cs:fillRef>
    <cs:effectRef idx="1"/>
    <cs:fontRef idx="minor">
      <a:schemeClr val="dk1"/>
    </cs:fontRef>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17.xml><?xml version="1.0" encoding="utf-8"?>
<cs:chartStyle xmlns:cs="http://schemas.microsoft.com/office/drawing/2012/chartStyle" xmlns:a="http://schemas.openxmlformats.org/drawingml/2006/main" id="254">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fillRef idx="2">
      <cs:styleClr val="auto"/>
    </cs:fillRef>
    <cs:effectRef idx="1"/>
    <cs:fontRef idx="minor">
      <a:schemeClr val="dk1"/>
    </cs:fontRef>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18.xml><?xml version="1.0" encoding="utf-8"?>
<cs:chartStyle xmlns:cs="http://schemas.microsoft.com/office/drawing/2012/chartStyle" xmlns:a="http://schemas.openxmlformats.org/drawingml/2006/main" id="219">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19.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4">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fillRef idx="2">
      <cs:styleClr val="auto"/>
    </cs:fillRef>
    <cs:effectRef idx="1"/>
    <cs:fontRef idx="minor">
      <a:schemeClr val="dk1"/>
    </cs:fontRef>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54">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fillRef idx="2">
      <cs:styleClr val="auto"/>
    </cs:fillRef>
    <cs:effectRef idx="1"/>
    <cs:fontRef idx="minor">
      <a:schemeClr val="dk1"/>
    </cs:fontRef>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254">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fillRef idx="2">
      <cs:styleClr val="auto"/>
    </cs:fillRef>
    <cs:effectRef idx="1"/>
    <cs:fontRef idx="minor">
      <a:schemeClr val="dk1"/>
    </cs:fontRef>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5.xml><?xml version="1.0" encoding="utf-8"?>
<cs:chartStyle xmlns:cs="http://schemas.microsoft.com/office/drawing/2012/chartStyle" xmlns:a="http://schemas.openxmlformats.org/drawingml/2006/main" id="254">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fillRef idx="2">
      <cs:styleClr val="auto"/>
    </cs:fillRef>
    <cs:effectRef idx="1"/>
    <cs:fontRef idx="minor">
      <a:schemeClr val="dk1"/>
    </cs:fontRef>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6.xml><?xml version="1.0" encoding="utf-8"?>
<cs:chartStyle xmlns:cs="http://schemas.microsoft.com/office/drawing/2012/chartStyle" xmlns:a="http://schemas.openxmlformats.org/drawingml/2006/main" id="254">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fillRef idx="2">
      <cs:styleClr val="auto"/>
    </cs:fillRef>
    <cs:effectRef idx="1"/>
    <cs:fontRef idx="minor">
      <a:schemeClr val="dk1"/>
    </cs:fontRef>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7.xml><?xml version="1.0" encoding="utf-8"?>
<cs:chartStyle xmlns:cs="http://schemas.microsoft.com/office/drawing/2012/chartStyle" xmlns:a="http://schemas.openxmlformats.org/drawingml/2006/main" id="254">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fillRef idx="2">
      <cs:styleClr val="auto"/>
    </cs:fillRef>
    <cs:effectRef idx="1"/>
    <cs:fontRef idx="minor">
      <a:schemeClr val="dk1"/>
    </cs:fontRef>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8.xml><?xml version="1.0" encoding="utf-8"?>
<cs:chartStyle xmlns:cs="http://schemas.microsoft.com/office/drawing/2012/chartStyle" xmlns:a="http://schemas.openxmlformats.org/drawingml/2006/main" id="254">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fillRef idx="2">
      <cs:styleClr val="auto"/>
    </cs:fillRef>
    <cs:effectRef idx="1"/>
    <cs:fontRef idx="minor">
      <a:schemeClr val="dk1"/>
    </cs:fontRef>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9.xml><?xml version="1.0" encoding="utf-8"?>
<cs:chartStyle xmlns:cs="http://schemas.microsoft.com/office/drawing/2012/chartStyle" xmlns:a="http://schemas.openxmlformats.org/drawingml/2006/main" id="254">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fillRef idx="2">
      <cs:styleClr val="auto"/>
    </cs:fillRef>
    <cs:effectRef idx="1"/>
    <cs:fontRef idx="minor">
      <a:schemeClr val="dk1"/>
    </cs:fontRef>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trlProps/ctrlProp1.xml><?xml version="1.0" encoding="utf-8"?>
<formControlPr xmlns="http://schemas.microsoft.com/office/spreadsheetml/2009/9/main" objectType="Button" lockText="1"/>
</file>

<file path=xl/ctrlProps/ctrlProp10.xml><?xml version="1.0" encoding="utf-8"?>
<formControlPr xmlns="http://schemas.microsoft.com/office/spreadsheetml/2009/9/main" objectType="Button" lockText="1"/>
</file>

<file path=xl/ctrlProps/ctrlProp11.xml><?xml version="1.0" encoding="utf-8"?>
<formControlPr xmlns="http://schemas.microsoft.com/office/spreadsheetml/2009/9/main" objectType="Button" lockText="1"/>
</file>

<file path=xl/ctrlProps/ctrlProp12.xml><?xml version="1.0" encoding="utf-8"?>
<formControlPr xmlns="http://schemas.microsoft.com/office/spreadsheetml/2009/9/main" objectType="Button" lockText="1"/>
</file>

<file path=xl/ctrlProps/ctrlProp13.xml><?xml version="1.0" encoding="utf-8"?>
<formControlPr xmlns="http://schemas.microsoft.com/office/spreadsheetml/2009/9/main" objectType="Button" lockText="1"/>
</file>

<file path=xl/ctrlProps/ctrlProp14.xml><?xml version="1.0" encoding="utf-8"?>
<formControlPr xmlns="http://schemas.microsoft.com/office/spreadsheetml/2009/9/main" objectType="Button" lockText="1"/>
</file>

<file path=xl/ctrlProps/ctrlProp15.xml><?xml version="1.0" encoding="utf-8"?>
<formControlPr xmlns="http://schemas.microsoft.com/office/spreadsheetml/2009/9/main" objectType="Button" lockText="1"/>
</file>

<file path=xl/ctrlProps/ctrlProp16.xml><?xml version="1.0" encoding="utf-8"?>
<formControlPr xmlns="http://schemas.microsoft.com/office/spreadsheetml/2009/9/main" objectType="Button" lockText="1"/>
</file>

<file path=xl/ctrlProps/ctrlProp17.xml><?xml version="1.0" encoding="utf-8"?>
<formControlPr xmlns="http://schemas.microsoft.com/office/spreadsheetml/2009/9/main" objectType="Button" lockText="1"/>
</file>

<file path=xl/ctrlProps/ctrlProp18.xml><?xml version="1.0" encoding="utf-8"?>
<formControlPr xmlns="http://schemas.microsoft.com/office/spreadsheetml/2009/9/main" objectType="Button" lockText="1"/>
</file>

<file path=xl/ctrlProps/ctrlProp19.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20.xml><?xml version="1.0" encoding="utf-8"?>
<formControlPr xmlns="http://schemas.microsoft.com/office/spreadsheetml/2009/9/main" objectType="Button" lockText="1"/>
</file>

<file path=xl/ctrlProps/ctrlProp21.xml><?xml version="1.0" encoding="utf-8"?>
<formControlPr xmlns="http://schemas.microsoft.com/office/spreadsheetml/2009/9/main" objectType="Button" lockText="1"/>
</file>

<file path=xl/ctrlProps/ctrlProp22.xml><?xml version="1.0" encoding="utf-8"?>
<formControlPr xmlns="http://schemas.microsoft.com/office/spreadsheetml/2009/9/main" objectType="Button" lockText="1"/>
</file>

<file path=xl/ctrlProps/ctrlProp23.xml><?xml version="1.0" encoding="utf-8"?>
<formControlPr xmlns="http://schemas.microsoft.com/office/spreadsheetml/2009/9/main" objectType="Button" lockText="1"/>
</file>

<file path=xl/ctrlProps/ctrlProp24.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ctrlProps/ctrlProp5.xml><?xml version="1.0" encoding="utf-8"?>
<formControlPr xmlns="http://schemas.microsoft.com/office/spreadsheetml/2009/9/main" objectType="Button" lockText="1"/>
</file>

<file path=xl/ctrlProps/ctrlProp6.xml><?xml version="1.0" encoding="utf-8"?>
<formControlPr xmlns="http://schemas.microsoft.com/office/spreadsheetml/2009/9/main" objectType="Button" lockText="1"/>
</file>

<file path=xl/ctrlProps/ctrlProp7.xml><?xml version="1.0" encoding="utf-8"?>
<formControlPr xmlns="http://schemas.microsoft.com/office/spreadsheetml/2009/9/main" objectType="Button" lockText="1"/>
</file>

<file path=xl/ctrlProps/ctrlProp8.xml><?xml version="1.0" encoding="utf-8"?>
<formControlPr xmlns="http://schemas.microsoft.com/office/spreadsheetml/2009/9/main" objectType="Button" lockText="1"/>
</file>

<file path=xl/ctrlProps/ctrlProp9.xml><?xml version="1.0" encoding="utf-8"?>
<formControlPr xmlns="http://schemas.microsoft.com/office/spreadsheetml/2009/9/main" objectType="Button" lockText="1"/>
</file>

<file path=xl/drawings/_rels/drawing25.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26.xml.rels><?xml version="1.0" encoding="UTF-8" standalone="yes"?>
<Relationships xmlns="http://schemas.openxmlformats.org/package/2006/relationships"><Relationship Id="rId3" Type="http://schemas.openxmlformats.org/officeDocument/2006/relationships/chart" Target="../charts/chart9.xml"/><Relationship Id="rId2" Type="http://schemas.openxmlformats.org/officeDocument/2006/relationships/chart" Target="../charts/chart8.xml"/><Relationship Id="rId1" Type="http://schemas.openxmlformats.org/officeDocument/2006/relationships/chart" Target="../charts/chart7.xml"/><Relationship Id="rId6" Type="http://schemas.openxmlformats.org/officeDocument/2006/relationships/chart" Target="../charts/chart12.xml"/><Relationship Id="rId5" Type="http://schemas.openxmlformats.org/officeDocument/2006/relationships/chart" Target="../charts/chart11.xml"/><Relationship Id="rId4" Type="http://schemas.openxmlformats.org/officeDocument/2006/relationships/chart" Target="../charts/chart10.xml"/></Relationships>
</file>

<file path=xl/drawings/_rels/drawing27.xml.rels><?xml version="1.0" encoding="UTF-8" standalone="yes"?>
<Relationships xmlns="http://schemas.openxmlformats.org/package/2006/relationships"><Relationship Id="rId2" Type="http://schemas.openxmlformats.org/officeDocument/2006/relationships/chart" Target="../charts/chart14.xml"/><Relationship Id="rId1" Type="http://schemas.openxmlformats.org/officeDocument/2006/relationships/chart" Target="../charts/chart13.xml"/></Relationships>
</file>

<file path=xl/drawings/_rels/drawing28.xml.rels><?xml version="1.0" encoding="UTF-8" standalone="yes"?>
<Relationships xmlns="http://schemas.openxmlformats.org/package/2006/relationships"><Relationship Id="rId3" Type="http://schemas.openxmlformats.org/officeDocument/2006/relationships/chart" Target="../charts/chart17.xml"/><Relationship Id="rId2" Type="http://schemas.openxmlformats.org/officeDocument/2006/relationships/chart" Target="../charts/chart16.xml"/><Relationship Id="rId1" Type="http://schemas.openxmlformats.org/officeDocument/2006/relationships/chart" Target="../charts/chart15.xml"/><Relationship Id="rId4" Type="http://schemas.openxmlformats.org/officeDocument/2006/relationships/chart" Target="../charts/chart18.xml"/></Relationships>
</file>

<file path=xl/drawings/_rels/drawing29.xml.rels><?xml version="1.0" encoding="UTF-8" standalone="yes"?>
<Relationships xmlns="http://schemas.openxmlformats.org/package/2006/relationships"><Relationship Id="rId2" Type="http://schemas.openxmlformats.org/officeDocument/2006/relationships/chart" Target="../charts/chart20.xml"/><Relationship Id="rId1" Type="http://schemas.openxmlformats.org/officeDocument/2006/relationships/chart" Target="../charts/chart19.xml"/></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17</xdr:col>
          <xdr:colOff>257175</xdr:colOff>
          <xdr:row>1</xdr:row>
          <xdr:rowOff>238125</xdr:rowOff>
        </xdr:from>
        <xdr:to>
          <xdr:col>18</xdr:col>
          <xdr:colOff>476250</xdr:colOff>
          <xdr:row>3</xdr:row>
          <xdr:rowOff>161925</xdr:rowOff>
        </xdr:to>
        <xdr:sp macro="" textlink="">
          <xdr:nvSpPr>
            <xdr:cNvPr id="6145" name="Button 1" hidden="1">
              <a:extLst>
                <a:ext uri="{63B3BB69-23CF-44E3-9099-C40C66FF867C}">
                  <a14:compatExt spid="_x0000_s6145"/>
                </a:ext>
              </a:extLst>
            </xdr:cNvPr>
            <xdr:cNvSpPr/>
          </xdr:nvSpPr>
          <xdr:spPr bwMode="auto">
            <a:xfrm>
              <a:off x="0" y="0"/>
              <a:ext cx="0" cy="0"/>
            </a:xfrm>
            <a:prstGeom prst="rect">
              <a:avLst/>
            </a:prstGeom>
            <a:noFill/>
            <a:ln w="9525">
              <a:miter lim="800000"/>
              <a:headEnd/>
              <a:tailEnd/>
            </a:ln>
          </xdr:spPr>
          <xdr:txBody>
            <a:bodyPr vertOverflow="clip" wrap="square" lIns="36576" tIns="45720" rIns="36576" bIns="45720" anchor="ctr" upright="1"/>
            <a:lstStyle/>
            <a:p>
              <a:pPr algn="ctr" rtl="0">
                <a:defRPr sz="1000"/>
              </a:pPr>
              <a:r>
                <a:rPr lang="ja-JP" altLang="en-US" sz="1100" b="0" i="0" u="none" strike="noStrike" baseline="0">
                  <a:solidFill>
                    <a:srgbClr val="0066CC"/>
                  </a:solidFill>
                  <a:latin typeface="メイリオ"/>
                  <a:ea typeface="メイリオ"/>
                </a:rPr>
                <a:t>データ削除</a:t>
              </a:r>
            </a:p>
          </xdr:txBody>
        </xdr:sp>
        <xdr:clientData fPrintsWithSheet="0"/>
      </xdr:twoCellAnchor>
    </mc:Choice>
    <mc:Fallback/>
  </mc:AlternateContent>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371475</xdr:colOff>
          <xdr:row>1</xdr:row>
          <xdr:rowOff>114300</xdr:rowOff>
        </xdr:from>
        <xdr:to>
          <xdr:col>5</xdr:col>
          <xdr:colOff>57150</xdr:colOff>
          <xdr:row>3</xdr:row>
          <xdr:rowOff>19050</xdr:rowOff>
        </xdr:to>
        <xdr:sp macro="" textlink="">
          <xdr:nvSpPr>
            <xdr:cNvPr id="15361" name="Button 1" hidden="1">
              <a:extLst>
                <a:ext uri="{63B3BB69-23CF-44E3-9099-C40C66FF867C}">
                  <a14:compatExt spid="_x0000_s15361"/>
                </a:ext>
              </a:extLst>
            </xdr:cNvPr>
            <xdr:cNvSpPr/>
          </xdr:nvSpPr>
          <xdr:spPr bwMode="auto">
            <a:xfrm>
              <a:off x="0" y="0"/>
              <a:ext cx="0" cy="0"/>
            </a:xfrm>
            <a:prstGeom prst="rect">
              <a:avLst/>
            </a:prstGeom>
            <a:noFill/>
            <a:ln w="9525">
              <a:miter lim="800000"/>
              <a:headEnd/>
              <a:tailEnd/>
            </a:ln>
          </xdr:spPr>
          <xdr:txBody>
            <a:bodyPr vertOverflow="clip" wrap="square" lIns="36576" tIns="45720" rIns="36576" bIns="45720" anchor="ctr" upright="1"/>
            <a:lstStyle/>
            <a:p>
              <a:pPr algn="ctr" rtl="0">
                <a:defRPr sz="1000"/>
              </a:pPr>
              <a:r>
                <a:rPr lang="ja-JP" altLang="en-US" sz="1100" b="0" i="0" u="none" strike="noStrike" baseline="0">
                  <a:solidFill>
                    <a:srgbClr val="0066CC"/>
                  </a:solidFill>
                  <a:latin typeface="メイリオ"/>
                  <a:ea typeface="メイリオ"/>
                </a:rPr>
                <a:t>データ削除</a:t>
              </a:r>
            </a:p>
          </xdr:txBody>
        </xdr:sp>
        <xdr:clientData fPrintsWithSheet="0"/>
      </xdr:twoCellAnchor>
    </mc:Choice>
    <mc:Fallback/>
  </mc:AlternateContent>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11</xdr:col>
          <xdr:colOff>0</xdr:colOff>
          <xdr:row>3</xdr:row>
          <xdr:rowOff>190500</xdr:rowOff>
        </xdr:from>
        <xdr:to>
          <xdr:col>11</xdr:col>
          <xdr:colOff>2105025</xdr:colOff>
          <xdr:row>5</xdr:row>
          <xdr:rowOff>200025</xdr:rowOff>
        </xdr:to>
        <xdr:sp macro="" textlink="">
          <xdr:nvSpPr>
            <xdr:cNvPr id="16385" name="Button 1" hidden="1">
              <a:extLst>
                <a:ext uri="{63B3BB69-23CF-44E3-9099-C40C66FF867C}">
                  <a14:compatExt spid="_x0000_s16385"/>
                </a:ext>
              </a:extLst>
            </xdr:cNvPr>
            <xdr:cNvSpPr/>
          </xdr:nvSpPr>
          <xdr:spPr bwMode="auto">
            <a:xfrm>
              <a:off x="0" y="0"/>
              <a:ext cx="0" cy="0"/>
            </a:xfrm>
            <a:prstGeom prst="rect">
              <a:avLst/>
            </a:prstGeom>
            <a:noFill/>
            <a:ln w="9525">
              <a:miter lim="800000"/>
              <a:headEnd/>
              <a:tailEnd/>
            </a:ln>
          </xdr:spPr>
          <xdr:txBody>
            <a:bodyPr vertOverflow="clip" wrap="square" lIns="36576" tIns="45720" rIns="36576" bIns="45720" anchor="ctr" upright="1"/>
            <a:lstStyle/>
            <a:p>
              <a:pPr algn="ctr" rtl="0">
                <a:defRPr sz="1000"/>
              </a:pPr>
              <a:r>
                <a:rPr lang="ja-JP" altLang="en-US" sz="1200" b="0" i="0" u="none" strike="noStrike" baseline="0">
                  <a:solidFill>
                    <a:srgbClr val="0066CC"/>
                  </a:solidFill>
                  <a:latin typeface="メイリオ"/>
                  <a:ea typeface="メイリオ"/>
                </a:rPr>
                <a:t>データ削除</a:t>
              </a:r>
            </a:p>
          </xdr:txBody>
        </xdr:sp>
        <xdr:clientData fPrintsWithSheet="0"/>
      </xdr:twoCellAnchor>
    </mc:Choice>
    <mc:Fallback/>
  </mc:AlternateContent>
</xdr:wsDr>
</file>

<file path=xl/drawings/drawing1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13</xdr:col>
          <xdr:colOff>533400</xdr:colOff>
          <xdr:row>2</xdr:row>
          <xdr:rowOff>76200</xdr:rowOff>
        </xdr:from>
        <xdr:to>
          <xdr:col>16</xdr:col>
          <xdr:colOff>561975</xdr:colOff>
          <xdr:row>4</xdr:row>
          <xdr:rowOff>47625</xdr:rowOff>
        </xdr:to>
        <xdr:sp macro="" textlink="">
          <xdr:nvSpPr>
            <xdr:cNvPr id="17409" name="Button 1" hidden="1">
              <a:extLst>
                <a:ext uri="{63B3BB69-23CF-44E3-9099-C40C66FF867C}">
                  <a14:compatExt spid="_x0000_s17409"/>
                </a:ext>
              </a:extLst>
            </xdr:cNvPr>
            <xdr:cNvSpPr/>
          </xdr:nvSpPr>
          <xdr:spPr bwMode="auto">
            <a:xfrm>
              <a:off x="0" y="0"/>
              <a:ext cx="0" cy="0"/>
            </a:xfrm>
            <a:prstGeom prst="rect">
              <a:avLst/>
            </a:prstGeom>
            <a:noFill/>
            <a:ln w="9525">
              <a:miter lim="800000"/>
              <a:headEnd/>
              <a:tailEnd/>
            </a:ln>
          </xdr:spPr>
          <xdr:txBody>
            <a:bodyPr vertOverflow="clip" wrap="square" lIns="36576" tIns="45720" rIns="36576" bIns="45720" anchor="ctr" upright="1"/>
            <a:lstStyle/>
            <a:p>
              <a:pPr algn="ctr" rtl="0">
                <a:defRPr sz="1000"/>
              </a:pPr>
              <a:r>
                <a:rPr lang="ja-JP" altLang="en-US" sz="1200" b="0" i="0" u="none" strike="noStrike" baseline="0">
                  <a:solidFill>
                    <a:srgbClr val="0066CC"/>
                  </a:solidFill>
                  <a:latin typeface="メイリオ"/>
                  <a:ea typeface="メイリオ"/>
                </a:rPr>
                <a:t>データ削除</a:t>
              </a:r>
            </a:p>
          </xdr:txBody>
        </xdr:sp>
        <xdr:clientData fPrintsWithSheet="0"/>
      </xdr:twoCellAnchor>
    </mc:Choice>
    <mc:Fallback/>
  </mc:AlternateContent>
</xdr:wsDr>
</file>

<file path=xl/drawings/drawing1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6</xdr:col>
          <xdr:colOff>628650</xdr:colOff>
          <xdr:row>3</xdr:row>
          <xdr:rowOff>47625</xdr:rowOff>
        </xdr:from>
        <xdr:to>
          <xdr:col>9</xdr:col>
          <xdr:colOff>409575</xdr:colOff>
          <xdr:row>5</xdr:row>
          <xdr:rowOff>47625</xdr:rowOff>
        </xdr:to>
        <xdr:sp macro="" textlink="">
          <xdr:nvSpPr>
            <xdr:cNvPr id="18433" name="Button 1" hidden="1">
              <a:extLst>
                <a:ext uri="{63B3BB69-23CF-44E3-9099-C40C66FF867C}">
                  <a14:compatExt spid="_x0000_s18433"/>
                </a:ext>
              </a:extLst>
            </xdr:cNvPr>
            <xdr:cNvSpPr/>
          </xdr:nvSpPr>
          <xdr:spPr bwMode="auto">
            <a:xfrm>
              <a:off x="0" y="0"/>
              <a:ext cx="0" cy="0"/>
            </a:xfrm>
            <a:prstGeom prst="rect">
              <a:avLst/>
            </a:prstGeom>
            <a:noFill/>
            <a:ln w="9525">
              <a:miter lim="800000"/>
              <a:headEnd/>
              <a:tailEnd/>
            </a:ln>
          </xdr:spPr>
          <xdr:txBody>
            <a:bodyPr vertOverflow="clip" wrap="square" lIns="36576" tIns="45720" rIns="36576" bIns="45720" anchor="ctr" upright="1"/>
            <a:lstStyle/>
            <a:p>
              <a:pPr algn="ctr" rtl="0">
                <a:defRPr sz="1000"/>
              </a:pPr>
              <a:r>
                <a:rPr lang="ja-JP" altLang="en-US" sz="1100" b="0" i="0" u="none" strike="noStrike" baseline="0">
                  <a:solidFill>
                    <a:srgbClr val="0066CC"/>
                  </a:solidFill>
                  <a:latin typeface="メイリオ"/>
                  <a:ea typeface="メイリオ"/>
                </a:rPr>
                <a:t>データ削除</a:t>
              </a:r>
            </a:p>
          </xdr:txBody>
        </xdr:sp>
        <xdr:clientData fPrintsWithSheet="0"/>
      </xdr:twoCellAnchor>
    </mc:Choice>
    <mc:Fallback/>
  </mc:AlternateContent>
</xdr:wsDr>
</file>

<file path=xl/drawings/drawing1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11</xdr:col>
          <xdr:colOff>552450</xdr:colOff>
          <xdr:row>4</xdr:row>
          <xdr:rowOff>19050</xdr:rowOff>
        </xdr:from>
        <xdr:to>
          <xdr:col>13</xdr:col>
          <xdr:colOff>533400</xdr:colOff>
          <xdr:row>5</xdr:row>
          <xdr:rowOff>228600</xdr:rowOff>
        </xdr:to>
        <xdr:sp macro="" textlink="">
          <xdr:nvSpPr>
            <xdr:cNvPr id="19457" name="Button 1" hidden="1">
              <a:extLst>
                <a:ext uri="{63B3BB69-23CF-44E3-9099-C40C66FF867C}">
                  <a14:compatExt spid="_x0000_s19457"/>
                </a:ext>
              </a:extLst>
            </xdr:cNvPr>
            <xdr:cNvSpPr/>
          </xdr:nvSpPr>
          <xdr:spPr bwMode="auto">
            <a:xfrm>
              <a:off x="0" y="0"/>
              <a:ext cx="0" cy="0"/>
            </a:xfrm>
            <a:prstGeom prst="rect">
              <a:avLst/>
            </a:prstGeom>
            <a:noFill/>
            <a:ln w="9525">
              <a:miter lim="800000"/>
              <a:headEnd/>
              <a:tailEnd/>
            </a:ln>
          </xdr:spPr>
          <xdr:txBody>
            <a:bodyPr vertOverflow="clip" wrap="square" lIns="36576" tIns="45720" rIns="36576" bIns="45720" anchor="ctr" upright="1"/>
            <a:lstStyle/>
            <a:p>
              <a:pPr algn="ctr" rtl="0">
                <a:defRPr sz="1000"/>
              </a:pPr>
              <a:r>
                <a:rPr lang="ja-JP" altLang="en-US" sz="1100" b="0" i="0" u="none" strike="noStrike" baseline="0">
                  <a:solidFill>
                    <a:srgbClr val="0066CC"/>
                  </a:solidFill>
                  <a:latin typeface="メイリオ"/>
                  <a:ea typeface="メイリオ"/>
                </a:rPr>
                <a:t>データ削除</a:t>
              </a:r>
            </a:p>
          </xdr:txBody>
        </xdr:sp>
        <xdr:clientData fPrintsWithSheet="0"/>
      </xdr:twoCellAnchor>
    </mc:Choice>
    <mc:Fallback/>
  </mc:AlternateContent>
</xdr:wsDr>
</file>

<file path=xl/drawings/drawing1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14</xdr:col>
          <xdr:colOff>257175</xdr:colOff>
          <xdr:row>3</xdr:row>
          <xdr:rowOff>85725</xdr:rowOff>
        </xdr:from>
        <xdr:to>
          <xdr:col>15</xdr:col>
          <xdr:colOff>561975</xdr:colOff>
          <xdr:row>4</xdr:row>
          <xdr:rowOff>200025</xdr:rowOff>
        </xdr:to>
        <xdr:sp macro="" textlink="">
          <xdr:nvSpPr>
            <xdr:cNvPr id="20481" name="Button 1" hidden="1">
              <a:extLst>
                <a:ext uri="{63B3BB69-23CF-44E3-9099-C40C66FF867C}">
                  <a14:compatExt spid="_x0000_s20481"/>
                </a:ext>
              </a:extLst>
            </xdr:cNvPr>
            <xdr:cNvSpPr/>
          </xdr:nvSpPr>
          <xdr:spPr bwMode="auto">
            <a:xfrm>
              <a:off x="0" y="0"/>
              <a:ext cx="0" cy="0"/>
            </a:xfrm>
            <a:prstGeom prst="rect">
              <a:avLst/>
            </a:prstGeom>
            <a:noFill/>
            <a:ln w="9525">
              <a:miter lim="800000"/>
              <a:headEnd/>
              <a:tailEnd/>
            </a:ln>
          </xdr:spPr>
          <xdr:txBody>
            <a:bodyPr vertOverflow="clip" wrap="square" lIns="36576" tIns="45720" rIns="36576" bIns="45720" anchor="ctr" upright="1"/>
            <a:lstStyle/>
            <a:p>
              <a:pPr algn="ctr" rtl="0">
                <a:defRPr sz="1000"/>
              </a:pPr>
              <a:r>
                <a:rPr lang="ja-JP" altLang="en-US" sz="1100" b="0" i="0" u="none" strike="noStrike" baseline="0">
                  <a:solidFill>
                    <a:srgbClr val="0066CC"/>
                  </a:solidFill>
                  <a:latin typeface="メイリオ"/>
                  <a:ea typeface="メイリオ"/>
                </a:rPr>
                <a:t>データ削除</a:t>
              </a:r>
            </a:p>
          </xdr:txBody>
        </xdr:sp>
        <xdr:clientData fPrintsWithSheet="0"/>
      </xdr:twoCellAnchor>
    </mc:Choice>
    <mc:Fallback/>
  </mc:AlternateContent>
</xdr:wsDr>
</file>

<file path=xl/drawings/drawing1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6</xdr:col>
          <xdr:colOff>371475</xdr:colOff>
          <xdr:row>2</xdr:row>
          <xdr:rowOff>228600</xdr:rowOff>
        </xdr:from>
        <xdr:to>
          <xdr:col>8</xdr:col>
          <xdr:colOff>47625</xdr:colOff>
          <xdr:row>5</xdr:row>
          <xdr:rowOff>0</xdr:rowOff>
        </xdr:to>
        <xdr:sp macro="" textlink="">
          <xdr:nvSpPr>
            <xdr:cNvPr id="21505" name="Button 1" hidden="1">
              <a:extLst>
                <a:ext uri="{63B3BB69-23CF-44E3-9099-C40C66FF867C}">
                  <a14:compatExt spid="_x0000_s21505"/>
                </a:ext>
              </a:extLst>
            </xdr:cNvPr>
            <xdr:cNvSpPr/>
          </xdr:nvSpPr>
          <xdr:spPr bwMode="auto">
            <a:xfrm>
              <a:off x="0" y="0"/>
              <a:ext cx="0" cy="0"/>
            </a:xfrm>
            <a:prstGeom prst="rect">
              <a:avLst/>
            </a:prstGeom>
            <a:noFill/>
            <a:ln w="9525">
              <a:miter lim="800000"/>
              <a:headEnd/>
              <a:tailEnd/>
            </a:ln>
          </xdr:spPr>
          <xdr:txBody>
            <a:bodyPr vertOverflow="clip" wrap="square" lIns="36576" tIns="45720" rIns="36576" bIns="45720" anchor="ctr" upright="1"/>
            <a:lstStyle/>
            <a:p>
              <a:pPr algn="ctr" rtl="0">
                <a:defRPr sz="1000"/>
              </a:pPr>
              <a:r>
                <a:rPr lang="ja-JP" altLang="en-US" sz="1100" b="0" i="0" u="none" strike="noStrike" baseline="0">
                  <a:solidFill>
                    <a:srgbClr val="0066CC"/>
                  </a:solidFill>
                  <a:latin typeface="メイリオ"/>
                  <a:ea typeface="メイリオ"/>
                </a:rPr>
                <a:t>データ削除</a:t>
              </a:r>
            </a:p>
          </xdr:txBody>
        </xdr:sp>
        <xdr:clientData fPrintsWithSheet="0"/>
      </xdr:twoCellAnchor>
    </mc:Choice>
    <mc:Fallback/>
  </mc:AlternateContent>
</xdr:wsDr>
</file>

<file path=xl/drawings/drawing1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11</xdr:col>
          <xdr:colOff>361950</xdr:colOff>
          <xdr:row>3</xdr:row>
          <xdr:rowOff>9525</xdr:rowOff>
        </xdr:from>
        <xdr:to>
          <xdr:col>13</xdr:col>
          <xdr:colOff>304800</xdr:colOff>
          <xdr:row>4</xdr:row>
          <xdr:rowOff>276225</xdr:rowOff>
        </xdr:to>
        <xdr:sp macro="" textlink="">
          <xdr:nvSpPr>
            <xdr:cNvPr id="22529" name="Button 1" hidden="1">
              <a:extLst>
                <a:ext uri="{63B3BB69-23CF-44E3-9099-C40C66FF867C}">
                  <a14:compatExt spid="_x0000_s22529"/>
                </a:ext>
              </a:extLst>
            </xdr:cNvPr>
            <xdr:cNvSpPr/>
          </xdr:nvSpPr>
          <xdr:spPr bwMode="auto">
            <a:xfrm>
              <a:off x="0" y="0"/>
              <a:ext cx="0" cy="0"/>
            </a:xfrm>
            <a:prstGeom prst="rect">
              <a:avLst/>
            </a:prstGeom>
            <a:noFill/>
            <a:ln w="9525">
              <a:miter lim="800000"/>
              <a:headEnd/>
              <a:tailEnd/>
            </a:ln>
          </xdr:spPr>
          <xdr:txBody>
            <a:bodyPr vertOverflow="clip" wrap="square" lIns="36576" tIns="45720" rIns="36576" bIns="45720" anchor="ctr" upright="1"/>
            <a:lstStyle/>
            <a:p>
              <a:pPr algn="ctr" rtl="0">
                <a:defRPr sz="1000"/>
              </a:pPr>
              <a:r>
                <a:rPr lang="ja-JP" altLang="en-US" sz="1100" b="0" i="0" u="none" strike="noStrike" baseline="0">
                  <a:solidFill>
                    <a:srgbClr val="0066CC"/>
                  </a:solidFill>
                  <a:latin typeface="メイリオ"/>
                  <a:ea typeface="メイリオ"/>
                </a:rPr>
                <a:t>データ削除</a:t>
              </a:r>
            </a:p>
          </xdr:txBody>
        </xdr:sp>
        <xdr:clientData fPrintsWithSheet="0"/>
      </xdr:twoCellAnchor>
    </mc:Choice>
    <mc:Fallback/>
  </mc:AlternateContent>
</xdr:wsDr>
</file>

<file path=xl/drawings/drawing1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10</xdr:col>
          <xdr:colOff>133350</xdr:colOff>
          <xdr:row>2</xdr:row>
          <xdr:rowOff>9525</xdr:rowOff>
        </xdr:from>
        <xdr:to>
          <xdr:col>12</xdr:col>
          <xdr:colOff>9525</xdr:colOff>
          <xdr:row>3</xdr:row>
          <xdr:rowOff>285750</xdr:rowOff>
        </xdr:to>
        <xdr:sp macro="" textlink="">
          <xdr:nvSpPr>
            <xdr:cNvPr id="23554" name="Button 2" hidden="1">
              <a:extLst>
                <a:ext uri="{63B3BB69-23CF-44E3-9099-C40C66FF867C}">
                  <a14:compatExt spid="_x0000_s23554"/>
                </a:ext>
              </a:extLst>
            </xdr:cNvPr>
            <xdr:cNvSpPr/>
          </xdr:nvSpPr>
          <xdr:spPr bwMode="auto">
            <a:xfrm>
              <a:off x="0" y="0"/>
              <a:ext cx="0" cy="0"/>
            </a:xfrm>
            <a:prstGeom prst="rect">
              <a:avLst/>
            </a:prstGeom>
            <a:noFill/>
            <a:ln w="9525">
              <a:miter lim="800000"/>
              <a:headEnd/>
              <a:tailEnd/>
            </a:ln>
          </xdr:spPr>
          <xdr:txBody>
            <a:bodyPr vertOverflow="clip" wrap="square" lIns="36576" tIns="45720" rIns="36576" bIns="45720" anchor="ctr" upright="1"/>
            <a:lstStyle/>
            <a:p>
              <a:pPr algn="ctr" rtl="0">
                <a:defRPr sz="1000"/>
              </a:pPr>
              <a:r>
                <a:rPr lang="ja-JP" altLang="en-US" sz="1100" b="0" i="0" u="none" strike="noStrike" baseline="0">
                  <a:solidFill>
                    <a:srgbClr val="0066CC"/>
                  </a:solidFill>
                  <a:latin typeface="メイリオ"/>
                  <a:ea typeface="メイリオ"/>
                </a:rPr>
                <a:t>データ削除</a:t>
              </a:r>
            </a:p>
          </xdr:txBody>
        </xdr:sp>
        <xdr:clientData fPrintsWithSheet="0"/>
      </xdr:twoCellAnchor>
    </mc:Choice>
    <mc:Fallback/>
  </mc:AlternateContent>
</xdr:wsDr>
</file>

<file path=xl/drawings/drawing1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28</xdr:col>
          <xdr:colOff>409575</xdr:colOff>
          <xdr:row>3</xdr:row>
          <xdr:rowOff>57150</xdr:rowOff>
        </xdr:from>
        <xdr:to>
          <xdr:col>31</xdr:col>
          <xdr:colOff>142875</xdr:colOff>
          <xdr:row>4</xdr:row>
          <xdr:rowOff>57150</xdr:rowOff>
        </xdr:to>
        <xdr:sp macro="" textlink="">
          <xdr:nvSpPr>
            <xdr:cNvPr id="24578" name="Button 2" hidden="1">
              <a:extLst>
                <a:ext uri="{63B3BB69-23CF-44E3-9099-C40C66FF867C}">
                  <a14:compatExt spid="_x0000_s24578"/>
                </a:ext>
              </a:extLst>
            </xdr:cNvPr>
            <xdr:cNvSpPr/>
          </xdr:nvSpPr>
          <xdr:spPr bwMode="auto">
            <a:xfrm>
              <a:off x="0" y="0"/>
              <a:ext cx="0" cy="0"/>
            </a:xfrm>
            <a:prstGeom prst="rect">
              <a:avLst/>
            </a:prstGeom>
            <a:noFill/>
            <a:ln w="9525">
              <a:miter lim="800000"/>
              <a:headEnd/>
              <a:tailEnd/>
            </a:ln>
          </xdr:spPr>
          <xdr:txBody>
            <a:bodyPr vertOverflow="clip" wrap="square" lIns="36576" tIns="45720" rIns="36576" bIns="45720" anchor="ctr" upright="1"/>
            <a:lstStyle/>
            <a:p>
              <a:pPr algn="ctr" rtl="0">
                <a:defRPr sz="1000"/>
              </a:pPr>
              <a:r>
                <a:rPr lang="ja-JP" altLang="en-US" sz="1100" b="0" i="0" u="none" strike="noStrike" baseline="0">
                  <a:solidFill>
                    <a:srgbClr val="0066CC"/>
                  </a:solidFill>
                  <a:latin typeface="メイリオ"/>
                  <a:ea typeface="メイリオ"/>
                </a:rPr>
                <a:t>データ削除</a:t>
              </a:r>
            </a:p>
          </xdr:txBody>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11</xdr:col>
          <xdr:colOff>533400</xdr:colOff>
          <xdr:row>2</xdr:row>
          <xdr:rowOff>152400</xdr:rowOff>
        </xdr:from>
        <xdr:to>
          <xdr:col>13</xdr:col>
          <xdr:colOff>285750</xdr:colOff>
          <xdr:row>5</xdr:row>
          <xdr:rowOff>9525</xdr:rowOff>
        </xdr:to>
        <xdr:sp macro="" textlink="">
          <xdr:nvSpPr>
            <xdr:cNvPr id="7169" name="Button 1" hidden="1">
              <a:extLst>
                <a:ext uri="{63B3BB69-23CF-44E3-9099-C40C66FF867C}">
                  <a14:compatExt spid="_x0000_s7169"/>
                </a:ext>
              </a:extLst>
            </xdr:cNvPr>
            <xdr:cNvSpPr/>
          </xdr:nvSpPr>
          <xdr:spPr bwMode="auto">
            <a:xfrm>
              <a:off x="0" y="0"/>
              <a:ext cx="0" cy="0"/>
            </a:xfrm>
            <a:prstGeom prst="rect">
              <a:avLst/>
            </a:prstGeom>
            <a:noFill/>
            <a:ln w="9525">
              <a:miter lim="800000"/>
              <a:headEnd/>
              <a:tailEnd/>
            </a:ln>
          </xdr:spPr>
          <xdr:txBody>
            <a:bodyPr vertOverflow="clip" wrap="square" lIns="36576" tIns="45720" rIns="36576" bIns="45720" anchor="ctr" upright="1"/>
            <a:lstStyle/>
            <a:p>
              <a:pPr algn="ctr" rtl="0">
                <a:defRPr sz="1000"/>
              </a:pPr>
              <a:r>
                <a:rPr lang="ja-JP" altLang="en-US" sz="1100" b="0" i="0" u="none" strike="noStrike" baseline="0">
                  <a:solidFill>
                    <a:srgbClr val="0066CC"/>
                  </a:solidFill>
                  <a:latin typeface="メイリオ"/>
                  <a:ea typeface="メイリオ"/>
                </a:rPr>
                <a:t>データ削除</a:t>
              </a:r>
            </a:p>
          </xdr:txBody>
        </xdr:sp>
        <xdr:clientData fPrintsWithSheet="0"/>
      </xdr:twoCellAnchor>
    </mc:Choice>
    <mc:Fallback/>
  </mc:AlternateContent>
</xdr:wsDr>
</file>

<file path=xl/drawings/drawing2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29</xdr:col>
          <xdr:colOff>581025</xdr:colOff>
          <xdr:row>3</xdr:row>
          <xdr:rowOff>285750</xdr:rowOff>
        </xdr:from>
        <xdr:to>
          <xdr:col>32</xdr:col>
          <xdr:colOff>85725</xdr:colOff>
          <xdr:row>4</xdr:row>
          <xdr:rowOff>171450</xdr:rowOff>
        </xdr:to>
        <xdr:sp macro="" textlink="">
          <xdr:nvSpPr>
            <xdr:cNvPr id="25601" name="Button 1" hidden="1">
              <a:extLst>
                <a:ext uri="{63B3BB69-23CF-44E3-9099-C40C66FF867C}">
                  <a14:compatExt spid="_x0000_s25601"/>
                </a:ext>
              </a:extLst>
            </xdr:cNvPr>
            <xdr:cNvSpPr/>
          </xdr:nvSpPr>
          <xdr:spPr bwMode="auto">
            <a:xfrm>
              <a:off x="0" y="0"/>
              <a:ext cx="0" cy="0"/>
            </a:xfrm>
            <a:prstGeom prst="rect">
              <a:avLst/>
            </a:prstGeom>
            <a:noFill/>
            <a:ln w="9525">
              <a:miter lim="800000"/>
              <a:headEnd/>
              <a:tailEnd/>
            </a:ln>
          </xdr:spPr>
          <xdr:txBody>
            <a:bodyPr vertOverflow="clip" wrap="square" lIns="36576" tIns="45720" rIns="36576" bIns="45720" anchor="ctr" upright="1"/>
            <a:lstStyle/>
            <a:p>
              <a:pPr algn="ctr" rtl="0">
                <a:defRPr sz="1000"/>
              </a:pPr>
              <a:r>
                <a:rPr lang="ja-JP" altLang="en-US" sz="1100" b="0" i="0" u="none" strike="noStrike" baseline="0">
                  <a:solidFill>
                    <a:srgbClr val="0066CC"/>
                  </a:solidFill>
                  <a:latin typeface="メイリオ"/>
                  <a:ea typeface="メイリオ"/>
                </a:rPr>
                <a:t>データ削除</a:t>
              </a:r>
            </a:p>
          </xdr:txBody>
        </xdr:sp>
        <xdr:clientData fPrintsWithSheet="0"/>
      </xdr:twoCellAnchor>
    </mc:Choice>
    <mc:Fallback/>
  </mc:AlternateContent>
</xdr:wsDr>
</file>

<file path=xl/drawings/drawing2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31</xdr:col>
          <xdr:colOff>314325</xdr:colOff>
          <xdr:row>2</xdr:row>
          <xdr:rowOff>228600</xdr:rowOff>
        </xdr:from>
        <xdr:to>
          <xdr:col>50</xdr:col>
          <xdr:colOff>38100</xdr:colOff>
          <xdr:row>4</xdr:row>
          <xdr:rowOff>161925</xdr:rowOff>
        </xdr:to>
        <xdr:sp macro="" textlink="">
          <xdr:nvSpPr>
            <xdr:cNvPr id="26625" name="Button 1" hidden="1">
              <a:extLst>
                <a:ext uri="{63B3BB69-23CF-44E3-9099-C40C66FF867C}">
                  <a14:compatExt spid="_x0000_s26625"/>
                </a:ext>
              </a:extLst>
            </xdr:cNvPr>
            <xdr:cNvSpPr/>
          </xdr:nvSpPr>
          <xdr:spPr bwMode="auto">
            <a:xfrm>
              <a:off x="0" y="0"/>
              <a:ext cx="0" cy="0"/>
            </a:xfrm>
            <a:prstGeom prst="rect">
              <a:avLst/>
            </a:prstGeom>
            <a:noFill/>
            <a:ln w="9525">
              <a:miter lim="800000"/>
              <a:headEnd/>
              <a:tailEnd/>
            </a:ln>
          </xdr:spPr>
          <xdr:txBody>
            <a:bodyPr vertOverflow="clip" wrap="square" lIns="36576" tIns="45720" rIns="36576" bIns="45720" anchor="ctr" upright="1"/>
            <a:lstStyle/>
            <a:p>
              <a:pPr algn="ctr" rtl="0">
                <a:defRPr sz="1000"/>
              </a:pPr>
              <a:r>
                <a:rPr lang="ja-JP" altLang="en-US" sz="1100" b="0" i="0" u="none" strike="noStrike" baseline="0">
                  <a:solidFill>
                    <a:srgbClr val="0066CC"/>
                  </a:solidFill>
                  <a:latin typeface="メイリオ"/>
                  <a:ea typeface="メイリオ"/>
                </a:rPr>
                <a:t>データ削除</a:t>
              </a:r>
            </a:p>
          </xdr:txBody>
        </xdr:sp>
        <xdr:clientData fPrintsWithSheet="0"/>
      </xdr:twoCellAnchor>
    </mc:Choice>
    <mc:Fallback/>
  </mc:AlternateContent>
</xdr:wsDr>
</file>

<file path=xl/drawings/drawing2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31</xdr:col>
          <xdr:colOff>438150</xdr:colOff>
          <xdr:row>3</xdr:row>
          <xdr:rowOff>0</xdr:rowOff>
        </xdr:from>
        <xdr:to>
          <xdr:col>34</xdr:col>
          <xdr:colOff>266700</xdr:colOff>
          <xdr:row>5</xdr:row>
          <xdr:rowOff>57150</xdr:rowOff>
        </xdr:to>
        <xdr:sp macro="" textlink="">
          <xdr:nvSpPr>
            <xdr:cNvPr id="27649" name="Button 1" hidden="1">
              <a:extLst>
                <a:ext uri="{63B3BB69-23CF-44E3-9099-C40C66FF867C}">
                  <a14:compatExt spid="_x0000_s27649"/>
                </a:ext>
              </a:extLst>
            </xdr:cNvPr>
            <xdr:cNvSpPr/>
          </xdr:nvSpPr>
          <xdr:spPr bwMode="auto">
            <a:xfrm>
              <a:off x="0" y="0"/>
              <a:ext cx="0" cy="0"/>
            </a:xfrm>
            <a:prstGeom prst="rect">
              <a:avLst/>
            </a:prstGeom>
            <a:noFill/>
            <a:ln w="9525">
              <a:miter lim="800000"/>
              <a:headEnd/>
              <a:tailEnd/>
            </a:ln>
          </xdr:spPr>
          <xdr:txBody>
            <a:bodyPr vertOverflow="clip" wrap="square" lIns="36576" tIns="45720" rIns="36576" bIns="45720" anchor="ctr" upright="1"/>
            <a:lstStyle/>
            <a:p>
              <a:pPr algn="ctr" rtl="0">
                <a:defRPr sz="1000"/>
              </a:pPr>
              <a:r>
                <a:rPr lang="ja-JP" altLang="en-US" sz="1100" b="0" i="0" u="none" strike="noStrike" baseline="0">
                  <a:solidFill>
                    <a:srgbClr val="0066CC"/>
                  </a:solidFill>
                  <a:latin typeface="メイリオ"/>
                  <a:ea typeface="メイリオ"/>
                </a:rPr>
                <a:t>データ削除</a:t>
              </a:r>
            </a:p>
          </xdr:txBody>
        </xdr:sp>
        <xdr:clientData fPrintsWithSheet="0"/>
      </xdr:twoCellAnchor>
    </mc:Choice>
    <mc:Fallback/>
  </mc:AlternateContent>
</xdr:wsDr>
</file>

<file path=xl/drawings/drawing2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31</xdr:col>
          <xdr:colOff>447675</xdr:colOff>
          <xdr:row>3</xdr:row>
          <xdr:rowOff>180975</xdr:rowOff>
        </xdr:from>
        <xdr:to>
          <xdr:col>34</xdr:col>
          <xdr:colOff>333375</xdr:colOff>
          <xdr:row>6</xdr:row>
          <xdr:rowOff>0</xdr:rowOff>
        </xdr:to>
        <xdr:sp macro="" textlink="">
          <xdr:nvSpPr>
            <xdr:cNvPr id="28673" name="Button 1" hidden="1">
              <a:extLst>
                <a:ext uri="{63B3BB69-23CF-44E3-9099-C40C66FF867C}">
                  <a14:compatExt spid="_x0000_s28673"/>
                </a:ext>
              </a:extLst>
            </xdr:cNvPr>
            <xdr:cNvSpPr/>
          </xdr:nvSpPr>
          <xdr:spPr bwMode="auto">
            <a:xfrm>
              <a:off x="0" y="0"/>
              <a:ext cx="0" cy="0"/>
            </a:xfrm>
            <a:prstGeom prst="rect">
              <a:avLst/>
            </a:prstGeom>
            <a:noFill/>
            <a:ln w="9525">
              <a:miter lim="800000"/>
              <a:headEnd/>
              <a:tailEnd/>
            </a:ln>
          </xdr:spPr>
          <xdr:txBody>
            <a:bodyPr vertOverflow="clip" wrap="square" lIns="36576" tIns="45720" rIns="36576" bIns="45720" anchor="ctr" upright="1"/>
            <a:lstStyle/>
            <a:p>
              <a:pPr algn="ctr" rtl="0">
                <a:defRPr sz="1000"/>
              </a:pPr>
              <a:r>
                <a:rPr lang="ja-JP" altLang="en-US" sz="1100" b="0" i="0" u="none" strike="noStrike" baseline="0">
                  <a:solidFill>
                    <a:srgbClr val="0066CC"/>
                  </a:solidFill>
                  <a:latin typeface="メイリオ"/>
                  <a:ea typeface="メイリオ"/>
                </a:rPr>
                <a:t>データ削除</a:t>
              </a:r>
            </a:p>
          </xdr:txBody>
        </xdr:sp>
        <xdr:clientData fPrintsWithSheet="0"/>
      </xdr:twoCellAnchor>
    </mc:Choice>
    <mc:Fallback/>
  </mc:AlternateContent>
</xdr:wsDr>
</file>

<file path=xl/drawings/drawing2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31</xdr:col>
          <xdr:colOff>361950</xdr:colOff>
          <xdr:row>2</xdr:row>
          <xdr:rowOff>180975</xdr:rowOff>
        </xdr:from>
        <xdr:to>
          <xdr:col>34</xdr:col>
          <xdr:colOff>504825</xdr:colOff>
          <xdr:row>5</xdr:row>
          <xdr:rowOff>38100</xdr:rowOff>
        </xdr:to>
        <xdr:sp macro="" textlink="">
          <xdr:nvSpPr>
            <xdr:cNvPr id="29697" name="Button 1" hidden="1">
              <a:extLst>
                <a:ext uri="{63B3BB69-23CF-44E3-9099-C40C66FF867C}">
                  <a14:compatExt spid="_x0000_s29697"/>
                </a:ext>
              </a:extLst>
            </xdr:cNvPr>
            <xdr:cNvSpPr/>
          </xdr:nvSpPr>
          <xdr:spPr bwMode="auto">
            <a:xfrm>
              <a:off x="0" y="0"/>
              <a:ext cx="0" cy="0"/>
            </a:xfrm>
            <a:prstGeom prst="rect">
              <a:avLst/>
            </a:prstGeom>
            <a:noFill/>
            <a:ln w="9525">
              <a:miter lim="800000"/>
              <a:headEnd/>
              <a:tailEnd/>
            </a:ln>
          </xdr:spPr>
          <xdr:txBody>
            <a:bodyPr vertOverflow="clip" wrap="square" lIns="36576" tIns="45720" rIns="36576" bIns="45720" anchor="ctr" upright="1"/>
            <a:lstStyle/>
            <a:p>
              <a:pPr algn="ctr" rtl="0">
                <a:defRPr sz="1000"/>
              </a:pPr>
              <a:r>
                <a:rPr lang="ja-JP" altLang="en-US" sz="1100" b="0" i="0" u="none" strike="noStrike" baseline="0">
                  <a:solidFill>
                    <a:srgbClr val="0066CC"/>
                  </a:solidFill>
                  <a:latin typeface="メイリオ"/>
                  <a:ea typeface="メイリオ"/>
                </a:rPr>
                <a:t>データ削除</a:t>
              </a:r>
            </a:p>
          </xdr:txBody>
        </xdr:sp>
        <xdr:clientData fPrintsWithSheet="0"/>
      </xdr:twoCellAnchor>
    </mc:Choice>
    <mc:Fallback/>
  </mc:AlternateContent>
</xdr:wsDr>
</file>

<file path=xl/drawings/drawing25.xml><?xml version="1.0" encoding="utf-8"?>
<xdr:wsDr xmlns:xdr="http://schemas.openxmlformats.org/drawingml/2006/spreadsheetDrawing" xmlns:a="http://schemas.openxmlformats.org/drawingml/2006/main">
  <xdr:twoCellAnchor>
    <xdr:from>
      <xdr:col>0</xdr:col>
      <xdr:colOff>225137</xdr:colOff>
      <xdr:row>2</xdr:row>
      <xdr:rowOff>98496</xdr:rowOff>
    </xdr:from>
    <xdr:to>
      <xdr:col>5</xdr:col>
      <xdr:colOff>129981</xdr:colOff>
      <xdr:row>19</xdr:row>
      <xdr:rowOff>144809</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353722</xdr:colOff>
      <xdr:row>2</xdr:row>
      <xdr:rowOff>105639</xdr:rowOff>
    </xdr:from>
    <xdr:to>
      <xdr:col>10</xdr:col>
      <xdr:colOff>437159</xdr:colOff>
      <xdr:row>19</xdr:row>
      <xdr:rowOff>151952</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215395</xdr:colOff>
      <xdr:row>22</xdr:row>
      <xdr:rowOff>44810</xdr:rowOff>
    </xdr:from>
    <xdr:to>
      <xdr:col>5</xdr:col>
      <xdr:colOff>120239</xdr:colOff>
      <xdr:row>39</xdr:row>
      <xdr:rowOff>91123</xdr:rowOff>
    </xdr:to>
    <xdr:graphicFrame macro="">
      <xdr:nvGraphicFramePr>
        <xdr:cNvPr id="4"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324930</xdr:colOff>
      <xdr:row>22</xdr:row>
      <xdr:rowOff>51953</xdr:rowOff>
    </xdr:from>
    <xdr:to>
      <xdr:col>10</xdr:col>
      <xdr:colOff>408367</xdr:colOff>
      <xdr:row>39</xdr:row>
      <xdr:rowOff>98266</xdr:rowOff>
    </xdr:to>
    <xdr:graphicFrame macro="">
      <xdr:nvGraphicFramePr>
        <xdr:cNvPr id="5"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214315</xdr:colOff>
      <xdr:row>0</xdr:row>
      <xdr:rowOff>83342</xdr:rowOff>
    </xdr:from>
    <xdr:to>
      <xdr:col>3</xdr:col>
      <xdr:colOff>464343</xdr:colOff>
      <xdr:row>2</xdr:row>
      <xdr:rowOff>83342</xdr:rowOff>
    </xdr:to>
    <xdr:sp macro="" textlink="">
      <xdr:nvSpPr>
        <xdr:cNvPr id="6" name="テキスト ボックス 5"/>
        <xdr:cNvSpPr txBox="1"/>
      </xdr:nvSpPr>
      <xdr:spPr>
        <a:xfrm>
          <a:off x="214315" y="83342"/>
          <a:ext cx="2135978" cy="342900"/>
        </a:xfrm>
        <a:prstGeom prst="round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a:latin typeface="メイリオ" panose="020B0604030504040204" pitchFamily="50" charset="-128"/>
              <a:ea typeface="メイリオ" panose="020B0604030504040204" pitchFamily="50" charset="-128"/>
            </a:rPr>
            <a:t>年齢区分　患者全体</a:t>
          </a:r>
        </a:p>
      </xdr:txBody>
    </xdr:sp>
    <xdr:clientData/>
  </xdr:twoCellAnchor>
  <xdr:twoCellAnchor>
    <xdr:from>
      <xdr:col>0</xdr:col>
      <xdr:colOff>198076</xdr:colOff>
      <xdr:row>20</xdr:row>
      <xdr:rowOff>60614</xdr:rowOff>
    </xdr:from>
    <xdr:to>
      <xdr:col>3</xdr:col>
      <xdr:colOff>448104</xdr:colOff>
      <xdr:row>22</xdr:row>
      <xdr:rowOff>60613</xdr:rowOff>
    </xdr:to>
    <xdr:sp macro="" textlink="">
      <xdr:nvSpPr>
        <xdr:cNvPr id="7" name="テキスト ボックス 6"/>
        <xdr:cNvSpPr txBox="1"/>
      </xdr:nvSpPr>
      <xdr:spPr>
        <a:xfrm>
          <a:off x="198076" y="3524250"/>
          <a:ext cx="2146369" cy="346363"/>
        </a:xfrm>
        <a:prstGeom prst="round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a:latin typeface="メイリオ" panose="020B0604030504040204" pitchFamily="50" charset="-128"/>
              <a:ea typeface="メイリオ" panose="020B0604030504040204" pitchFamily="50" charset="-128"/>
            </a:rPr>
            <a:t>年齢区分　一年以上</a:t>
          </a:r>
        </a:p>
      </xdr:txBody>
    </xdr:sp>
    <xdr:clientData/>
  </xdr:twoCellAnchor>
  <xdr:twoCellAnchor>
    <xdr:from>
      <xdr:col>0</xdr:col>
      <xdr:colOff>199159</xdr:colOff>
      <xdr:row>43</xdr:row>
      <xdr:rowOff>46543</xdr:rowOff>
    </xdr:from>
    <xdr:to>
      <xdr:col>5</xdr:col>
      <xdr:colOff>104003</xdr:colOff>
      <xdr:row>60</xdr:row>
      <xdr:rowOff>92856</xdr:rowOff>
    </xdr:to>
    <xdr:graphicFrame macro="">
      <xdr:nvGraphicFramePr>
        <xdr:cNvPr id="8"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5</xdr:col>
      <xdr:colOff>327744</xdr:colOff>
      <xdr:row>43</xdr:row>
      <xdr:rowOff>63211</xdr:rowOff>
    </xdr:from>
    <xdr:to>
      <xdr:col>10</xdr:col>
      <xdr:colOff>411181</xdr:colOff>
      <xdr:row>60</xdr:row>
      <xdr:rowOff>109524</xdr:rowOff>
    </xdr:to>
    <xdr:graphicFrame macro="">
      <xdr:nvGraphicFramePr>
        <xdr:cNvPr id="9"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190500</xdr:colOff>
      <xdr:row>41</xdr:row>
      <xdr:rowOff>51955</xdr:rowOff>
    </xdr:from>
    <xdr:to>
      <xdr:col>3</xdr:col>
      <xdr:colOff>440528</xdr:colOff>
      <xdr:row>43</xdr:row>
      <xdr:rowOff>51955</xdr:rowOff>
    </xdr:to>
    <xdr:sp macro="" textlink="">
      <xdr:nvSpPr>
        <xdr:cNvPr id="10" name="テキスト ボックス 9"/>
        <xdr:cNvSpPr txBox="1"/>
      </xdr:nvSpPr>
      <xdr:spPr>
        <a:xfrm>
          <a:off x="190500" y="7152410"/>
          <a:ext cx="2146369" cy="346363"/>
        </a:xfrm>
        <a:prstGeom prst="roundRect">
          <a:avLst/>
        </a:prstGeom>
        <a:solidFill>
          <a:srgbClr val="FAFDDB"/>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a:latin typeface="メイリオ" panose="020B0604030504040204" pitchFamily="50" charset="-128"/>
              <a:ea typeface="メイリオ" panose="020B0604030504040204" pitchFamily="50" charset="-128"/>
            </a:rPr>
            <a:t>年齢区分　</a:t>
          </a:r>
          <a:r>
            <a:rPr kumimoji="1" lang="en-US" altLang="ja-JP" sz="1400" b="1">
              <a:latin typeface="メイリオ" panose="020B0604030504040204" pitchFamily="50" charset="-128"/>
              <a:ea typeface="メイリオ" panose="020B0604030504040204" pitchFamily="50" charset="-128"/>
            </a:rPr>
            <a:t>65</a:t>
          </a:r>
          <a:r>
            <a:rPr kumimoji="1" lang="ja-JP" altLang="en-US" sz="1400" b="1">
              <a:latin typeface="メイリオ" panose="020B0604030504040204" pitchFamily="50" charset="-128"/>
              <a:ea typeface="メイリオ" panose="020B0604030504040204" pitchFamily="50" charset="-128"/>
            </a:rPr>
            <a:t>歳以上</a:t>
          </a:r>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0</xdr:col>
      <xdr:colOff>225137</xdr:colOff>
      <xdr:row>2</xdr:row>
      <xdr:rowOff>98496</xdr:rowOff>
    </xdr:from>
    <xdr:to>
      <xdr:col>5</xdr:col>
      <xdr:colOff>129981</xdr:colOff>
      <xdr:row>19</xdr:row>
      <xdr:rowOff>144809</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353722</xdr:colOff>
      <xdr:row>2</xdr:row>
      <xdr:rowOff>115164</xdr:rowOff>
    </xdr:from>
    <xdr:to>
      <xdr:col>10</xdr:col>
      <xdr:colOff>437159</xdr:colOff>
      <xdr:row>19</xdr:row>
      <xdr:rowOff>161477</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215395</xdr:colOff>
      <xdr:row>22</xdr:row>
      <xdr:rowOff>63860</xdr:rowOff>
    </xdr:from>
    <xdr:to>
      <xdr:col>5</xdr:col>
      <xdr:colOff>120239</xdr:colOff>
      <xdr:row>39</xdr:row>
      <xdr:rowOff>110173</xdr:rowOff>
    </xdr:to>
    <xdr:graphicFrame macro="">
      <xdr:nvGraphicFramePr>
        <xdr:cNvPr id="4"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214315</xdr:colOff>
      <xdr:row>0</xdr:row>
      <xdr:rowOff>83342</xdr:rowOff>
    </xdr:from>
    <xdr:to>
      <xdr:col>3</xdr:col>
      <xdr:colOff>464343</xdr:colOff>
      <xdr:row>2</xdr:row>
      <xdr:rowOff>83342</xdr:rowOff>
    </xdr:to>
    <xdr:sp macro="" textlink="">
      <xdr:nvSpPr>
        <xdr:cNvPr id="6" name="テキスト ボックス 5"/>
        <xdr:cNvSpPr txBox="1"/>
      </xdr:nvSpPr>
      <xdr:spPr>
        <a:xfrm>
          <a:off x="214315" y="83342"/>
          <a:ext cx="2135978" cy="342900"/>
        </a:xfrm>
        <a:prstGeom prst="round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a:latin typeface="メイリオ" panose="020B0604030504040204" pitchFamily="50" charset="-128"/>
              <a:ea typeface="メイリオ" panose="020B0604030504040204" pitchFamily="50" charset="-128"/>
            </a:rPr>
            <a:t>疾患別　患者全体</a:t>
          </a:r>
        </a:p>
      </xdr:txBody>
    </xdr:sp>
    <xdr:clientData/>
  </xdr:twoCellAnchor>
  <xdr:twoCellAnchor>
    <xdr:from>
      <xdr:col>0</xdr:col>
      <xdr:colOff>198076</xdr:colOff>
      <xdr:row>20</xdr:row>
      <xdr:rowOff>60614</xdr:rowOff>
    </xdr:from>
    <xdr:to>
      <xdr:col>3</xdr:col>
      <xdr:colOff>448104</xdr:colOff>
      <xdr:row>22</xdr:row>
      <xdr:rowOff>60613</xdr:rowOff>
    </xdr:to>
    <xdr:sp macro="" textlink="">
      <xdr:nvSpPr>
        <xdr:cNvPr id="7" name="テキスト ボックス 6"/>
        <xdr:cNvSpPr txBox="1"/>
      </xdr:nvSpPr>
      <xdr:spPr>
        <a:xfrm>
          <a:off x="198076" y="3489614"/>
          <a:ext cx="2135978" cy="342899"/>
        </a:xfrm>
        <a:prstGeom prst="round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a:latin typeface="メイリオ" panose="020B0604030504040204" pitchFamily="50" charset="-128"/>
              <a:ea typeface="メイリオ" panose="020B0604030504040204" pitchFamily="50" charset="-128"/>
            </a:rPr>
            <a:t>疾患別　一年以上</a:t>
          </a:r>
        </a:p>
      </xdr:txBody>
    </xdr:sp>
    <xdr:clientData/>
  </xdr:twoCellAnchor>
  <xdr:twoCellAnchor>
    <xdr:from>
      <xdr:col>0</xdr:col>
      <xdr:colOff>199159</xdr:colOff>
      <xdr:row>43</xdr:row>
      <xdr:rowOff>46543</xdr:rowOff>
    </xdr:from>
    <xdr:to>
      <xdr:col>5</xdr:col>
      <xdr:colOff>104003</xdr:colOff>
      <xdr:row>60</xdr:row>
      <xdr:rowOff>92856</xdr:rowOff>
    </xdr:to>
    <xdr:graphicFrame macro="">
      <xdr:nvGraphicFramePr>
        <xdr:cNvPr id="8"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xdr:col>
      <xdr:colOff>327744</xdr:colOff>
      <xdr:row>43</xdr:row>
      <xdr:rowOff>63211</xdr:rowOff>
    </xdr:from>
    <xdr:to>
      <xdr:col>10</xdr:col>
      <xdr:colOff>411181</xdr:colOff>
      <xdr:row>60</xdr:row>
      <xdr:rowOff>109524</xdr:rowOff>
    </xdr:to>
    <xdr:graphicFrame macro="">
      <xdr:nvGraphicFramePr>
        <xdr:cNvPr id="9"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190500</xdr:colOff>
      <xdr:row>41</xdr:row>
      <xdr:rowOff>51955</xdr:rowOff>
    </xdr:from>
    <xdr:to>
      <xdr:col>3</xdr:col>
      <xdr:colOff>440528</xdr:colOff>
      <xdr:row>43</xdr:row>
      <xdr:rowOff>51955</xdr:rowOff>
    </xdr:to>
    <xdr:sp macro="" textlink="">
      <xdr:nvSpPr>
        <xdr:cNvPr id="10" name="テキスト ボックス 9"/>
        <xdr:cNvSpPr txBox="1"/>
      </xdr:nvSpPr>
      <xdr:spPr>
        <a:xfrm>
          <a:off x="190500" y="7081405"/>
          <a:ext cx="2135978" cy="342900"/>
        </a:xfrm>
        <a:prstGeom prst="roundRect">
          <a:avLst/>
        </a:prstGeom>
        <a:solidFill>
          <a:srgbClr val="FAFDDB"/>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a:latin typeface="メイリオ" panose="020B0604030504040204" pitchFamily="50" charset="-128"/>
              <a:ea typeface="メイリオ" panose="020B0604030504040204" pitchFamily="50" charset="-128"/>
            </a:rPr>
            <a:t>疾患別　</a:t>
          </a:r>
          <a:r>
            <a:rPr kumimoji="1" lang="en-US" altLang="ja-JP" sz="1400" b="1">
              <a:latin typeface="メイリオ" panose="020B0604030504040204" pitchFamily="50" charset="-128"/>
              <a:ea typeface="メイリオ" panose="020B0604030504040204" pitchFamily="50" charset="-128"/>
            </a:rPr>
            <a:t>65</a:t>
          </a:r>
          <a:r>
            <a:rPr kumimoji="1" lang="ja-JP" altLang="en-US" sz="1400" b="1">
              <a:latin typeface="メイリオ" panose="020B0604030504040204" pitchFamily="50" charset="-128"/>
              <a:ea typeface="メイリオ" panose="020B0604030504040204" pitchFamily="50" charset="-128"/>
            </a:rPr>
            <a:t>歳以上</a:t>
          </a:r>
        </a:p>
      </xdr:txBody>
    </xdr:sp>
    <xdr:clientData/>
  </xdr:twoCellAnchor>
  <xdr:twoCellAnchor>
    <xdr:from>
      <xdr:col>5</xdr:col>
      <xdr:colOff>337705</xdr:colOff>
      <xdr:row>22</xdr:row>
      <xdr:rowOff>69273</xdr:rowOff>
    </xdr:from>
    <xdr:to>
      <xdr:col>10</xdr:col>
      <xdr:colOff>415730</xdr:colOff>
      <xdr:row>39</xdr:row>
      <xdr:rowOff>115586</xdr:rowOff>
    </xdr:to>
    <xdr:graphicFrame macro="">
      <xdr:nvGraphicFramePr>
        <xdr:cNvPr id="11"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27.xml><?xml version="1.0" encoding="utf-8"?>
<xdr:wsDr xmlns:xdr="http://schemas.openxmlformats.org/drawingml/2006/spreadsheetDrawing" xmlns:a="http://schemas.openxmlformats.org/drawingml/2006/main">
  <xdr:twoCellAnchor>
    <xdr:from>
      <xdr:col>0</xdr:col>
      <xdr:colOff>312303</xdr:colOff>
      <xdr:row>3</xdr:row>
      <xdr:rowOff>6922</xdr:rowOff>
    </xdr:from>
    <xdr:to>
      <xdr:col>9</xdr:col>
      <xdr:colOff>277203</xdr:colOff>
      <xdr:row>21</xdr:row>
      <xdr:rowOff>40672</xdr:rowOff>
    </xdr:to>
    <xdr:graphicFrame macro="">
      <xdr:nvGraphicFramePr>
        <xdr:cNvPr id="11"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307972</xdr:colOff>
      <xdr:row>21</xdr:row>
      <xdr:rowOff>221958</xdr:rowOff>
    </xdr:from>
    <xdr:to>
      <xdr:col>9</xdr:col>
      <xdr:colOff>272872</xdr:colOff>
      <xdr:row>40</xdr:row>
      <xdr:rowOff>17583</xdr:rowOff>
    </xdr:to>
    <xdr:graphicFrame macro="">
      <xdr:nvGraphicFramePr>
        <xdr:cNvPr id="1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103909</xdr:colOff>
      <xdr:row>0</xdr:row>
      <xdr:rowOff>138545</xdr:rowOff>
    </xdr:from>
    <xdr:to>
      <xdr:col>3</xdr:col>
      <xdr:colOff>250028</xdr:colOff>
      <xdr:row>1</xdr:row>
      <xdr:rowOff>242454</xdr:rowOff>
    </xdr:to>
    <xdr:sp macro="" textlink="">
      <xdr:nvSpPr>
        <xdr:cNvPr id="13" name="テキスト ボックス 12"/>
        <xdr:cNvSpPr txBox="1"/>
      </xdr:nvSpPr>
      <xdr:spPr>
        <a:xfrm>
          <a:off x="103909" y="138545"/>
          <a:ext cx="2146369" cy="346364"/>
        </a:xfrm>
        <a:prstGeom prst="roundRect">
          <a:avLst/>
        </a:prstGeom>
        <a:solidFill>
          <a:schemeClr val="accent5">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a:latin typeface="メイリオ" panose="020B0604030504040204" pitchFamily="50" charset="-128"/>
              <a:ea typeface="メイリオ" panose="020B0604030504040204" pitchFamily="50" charset="-128"/>
            </a:rPr>
            <a:t>在院期間</a:t>
          </a:r>
        </a:p>
      </xdr:txBody>
    </xdr:sp>
    <xdr:clientData/>
  </xdr:twoCellAnchor>
</xdr:wsDr>
</file>

<file path=xl/drawings/drawing28.xml><?xml version="1.0" encoding="utf-8"?>
<xdr:wsDr xmlns:xdr="http://schemas.openxmlformats.org/drawingml/2006/spreadsheetDrawing" xmlns:a="http://schemas.openxmlformats.org/drawingml/2006/main">
  <xdr:twoCellAnchor>
    <xdr:from>
      <xdr:col>0</xdr:col>
      <xdr:colOff>381000</xdr:colOff>
      <xdr:row>0</xdr:row>
      <xdr:rowOff>158750</xdr:rowOff>
    </xdr:from>
    <xdr:to>
      <xdr:col>2</xdr:col>
      <xdr:colOff>1797119</xdr:colOff>
      <xdr:row>0</xdr:row>
      <xdr:rowOff>988219</xdr:rowOff>
    </xdr:to>
    <xdr:sp macro="" textlink="">
      <xdr:nvSpPr>
        <xdr:cNvPr id="2" name="テキスト ボックス 1"/>
        <xdr:cNvSpPr txBox="1"/>
      </xdr:nvSpPr>
      <xdr:spPr>
        <a:xfrm>
          <a:off x="381000" y="158750"/>
          <a:ext cx="3082994" cy="829469"/>
        </a:xfrm>
        <a:prstGeom prst="roundRect">
          <a:avLst/>
        </a:prstGeom>
        <a:solidFill>
          <a:srgbClr val="FF7C8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latin typeface="メイリオ" panose="020B0604030504040204" pitchFamily="50" charset="-128"/>
              <a:ea typeface="メイリオ" panose="020B0604030504040204" pitchFamily="50" charset="-128"/>
            </a:rPr>
            <a:t>退院阻害要因</a:t>
          </a:r>
        </a:p>
      </xdr:txBody>
    </xdr:sp>
    <xdr:clientData/>
  </xdr:twoCellAnchor>
  <xdr:twoCellAnchor>
    <xdr:from>
      <xdr:col>0</xdr:col>
      <xdr:colOff>0</xdr:colOff>
      <xdr:row>15</xdr:row>
      <xdr:rowOff>476250</xdr:rowOff>
    </xdr:from>
    <xdr:to>
      <xdr:col>3</xdr:col>
      <xdr:colOff>438000</xdr:colOff>
      <xdr:row>19</xdr:row>
      <xdr:rowOff>525375</xdr:rowOff>
    </xdr:to>
    <xdr:graphicFrame macro="">
      <xdr:nvGraphicFramePr>
        <xdr:cNvPr id="5" name="グラフ 4">
          <a:extLst>
            <a:ext uri="{FF2B5EF4-FFF2-40B4-BE49-F238E27FC236}">
              <a16:creationId xmlns:a16="http://schemas.microsoft.com/office/drawing/2014/main" id="{9CD58E29-191C-4426-B150-FA6FA4588A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476248</xdr:colOff>
      <xdr:row>15</xdr:row>
      <xdr:rowOff>476252</xdr:rowOff>
    </xdr:from>
    <xdr:to>
      <xdr:col>6</xdr:col>
      <xdr:colOff>451310</xdr:colOff>
      <xdr:row>19</xdr:row>
      <xdr:rowOff>525377</xdr:rowOff>
    </xdr:to>
    <xdr:graphicFrame macro="">
      <xdr:nvGraphicFramePr>
        <xdr:cNvPr id="6" name="グラフ 5">
          <a:extLst>
            <a:ext uri="{FF2B5EF4-FFF2-40B4-BE49-F238E27FC236}">
              <a16:creationId xmlns:a16="http://schemas.microsoft.com/office/drawing/2014/main" id="{9CD58E29-191C-4426-B150-FA6FA4588A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11</xdr:row>
      <xdr:rowOff>321469</xdr:rowOff>
    </xdr:from>
    <xdr:to>
      <xdr:col>3</xdr:col>
      <xdr:colOff>438000</xdr:colOff>
      <xdr:row>15</xdr:row>
      <xdr:rowOff>370594</xdr:rowOff>
    </xdr:to>
    <xdr:graphicFrame macro="">
      <xdr:nvGraphicFramePr>
        <xdr:cNvPr id="7" name="グラフ 6">
          <a:extLst>
            <a:ext uri="{FF2B5EF4-FFF2-40B4-BE49-F238E27FC236}">
              <a16:creationId xmlns:a16="http://schemas.microsoft.com/office/drawing/2014/main" id="{00000000-0008-0000-03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xdr:col>
      <xdr:colOff>488158</xdr:colOff>
      <xdr:row>11</xdr:row>
      <xdr:rowOff>333374</xdr:rowOff>
    </xdr:from>
    <xdr:to>
      <xdr:col>6</xdr:col>
      <xdr:colOff>463220</xdr:colOff>
      <xdr:row>15</xdr:row>
      <xdr:rowOff>382499</xdr:rowOff>
    </xdr:to>
    <xdr:graphicFrame macro="">
      <xdr:nvGraphicFramePr>
        <xdr:cNvPr id="8" name="グラフ 7">
          <a:extLst>
            <a:ext uri="{FF2B5EF4-FFF2-40B4-BE49-F238E27FC236}">
              <a16:creationId xmlns:a16="http://schemas.microsoft.com/office/drawing/2014/main" id="{00000000-0008-0000-03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11908</xdr:colOff>
      <xdr:row>10</xdr:row>
      <xdr:rowOff>333375</xdr:rowOff>
    </xdr:from>
    <xdr:to>
      <xdr:col>2</xdr:col>
      <xdr:colOff>2000252</xdr:colOff>
      <xdr:row>11</xdr:row>
      <xdr:rowOff>127000</xdr:rowOff>
    </xdr:to>
    <xdr:sp macro="" textlink="">
      <xdr:nvSpPr>
        <xdr:cNvPr id="13" name="テキスト ボックス 12"/>
        <xdr:cNvSpPr txBox="1"/>
      </xdr:nvSpPr>
      <xdr:spPr>
        <a:xfrm>
          <a:off x="1131096" y="9346406"/>
          <a:ext cx="1988344" cy="591344"/>
        </a:xfrm>
        <a:prstGeom prst="ellipse">
          <a:avLst/>
        </a:prstGeom>
        <a:solidFill>
          <a:schemeClr val="bg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latin typeface="メイリオ" panose="020B0604030504040204" pitchFamily="50" charset="-128"/>
              <a:ea typeface="メイリオ" panose="020B0604030504040204" pitchFamily="50" charset="-128"/>
            </a:rPr>
            <a:t>患者全体</a:t>
          </a:r>
        </a:p>
      </xdr:txBody>
    </xdr:sp>
    <xdr:clientData/>
  </xdr:twoCellAnchor>
  <xdr:twoCellAnchor>
    <xdr:from>
      <xdr:col>3</xdr:col>
      <xdr:colOff>735807</xdr:colOff>
      <xdr:row>10</xdr:row>
      <xdr:rowOff>390524</xdr:rowOff>
    </xdr:from>
    <xdr:to>
      <xdr:col>6</xdr:col>
      <xdr:colOff>11907</xdr:colOff>
      <xdr:row>11</xdr:row>
      <xdr:rowOff>184149</xdr:rowOff>
    </xdr:to>
    <xdr:sp macro="" textlink="">
      <xdr:nvSpPr>
        <xdr:cNvPr id="14" name="テキスト ボックス 13"/>
        <xdr:cNvSpPr txBox="1"/>
      </xdr:nvSpPr>
      <xdr:spPr>
        <a:xfrm>
          <a:off x="4545807" y="9403555"/>
          <a:ext cx="3729038" cy="591344"/>
        </a:xfrm>
        <a:prstGeom prst="ellipse">
          <a:avLst/>
        </a:prstGeom>
        <a:solidFill>
          <a:schemeClr val="bg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600" b="1">
              <a:latin typeface="メイリオ" panose="020B0604030504040204" pitchFamily="50" charset="-128"/>
              <a:ea typeface="メイリオ" panose="020B0604030504040204" pitchFamily="50" charset="-128"/>
            </a:rPr>
            <a:t>1</a:t>
          </a:r>
          <a:r>
            <a:rPr kumimoji="1" lang="ja-JP" altLang="en-US" sz="1600" b="1">
              <a:latin typeface="メイリオ" panose="020B0604030504040204" pitchFamily="50" charset="-128"/>
              <a:ea typeface="メイリオ" panose="020B0604030504040204" pitchFamily="50" charset="-128"/>
            </a:rPr>
            <a:t>年以上　寛解・院内寛解</a:t>
          </a:r>
        </a:p>
      </xdr:txBody>
    </xdr:sp>
    <xdr:clientData/>
  </xdr:twoCellAnchor>
</xdr:wsDr>
</file>

<file path=xl/drawings/drawing29.xml><?xml version="1.0" encoding="utf-8"?>
<xdr:wsDr xmlns:xdr="http://schemas.openxmlformats.org/drawingml/2006/spreadsheetDrawing" xmlns:a="http://schemas.openxmlformats.org/drawingml/2006/main">
  <xdr:twoCellAnchor>
    <xdr:from>
      <xdr:col>0</xdr:col>
      <xdr:colOff>338665</xdr:colOff>
      <xdr:row>0</xdr:row>
      <xdr:rowOff>135466</xdr:rowOff>
    </xdr:from>
    <xdr:to>
      <xdr:col>8</xdr:col>
      <xdr:colOff>447332</xdr:colOff>
      <xdr:row>42</xdr:row>
      <xdr:rowOff>76466</xdr:rowOff>
    </xdr:to>
    <xdr:graphicFrame macro="">
      <xdr:nvGraphicFramePr>
        <xdr:cNvPr id="2" name="グラフ 1">
          <a:extLst>
            <a:ext uri="{FF2B5EF4-FFF2-40B4-BE49-F238E27FC236}">
              <a16:creationId xmlns:a16="http://schemas.microsoft.com/office/drawing/2014/main" id="{00000000-0008-0000-0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330198</xdr:colOff>
      <xdr:row>44</xdr:row>
      <xdr:rowOff>211666</xdr:rowOff>
    </xdr:from>
    <xdr:to>
      <xdr:col>8</xdr:col>
      <xdr:colOff>438865</xdr:colOff>
      <xdr:row>86</xdr:row>
      <xdr:rowOff>152666</xdr:rowOff>
    </xdr:to>
    <xdr:graphicFrame macro="">
      <xdr:nvGraphicFramePr>
        <xdr:cNvPr id="3" name="グラフ 2">
          <a:extLst>
            <a:ext uri="{FF2B5EF4-FFF2-40B4-BE49-F238E27FC236}">
              <a16:creationId xmlns:a16="http://schemas.microsoft.com/office/drawing/2014/main" id="{00000000-0008-0000-05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9</xdr:col>
          <xdr:colOff>133350</xdr:colOff>
          <xdr:row>22</xdr:row>
          <xdr:rowOff>28575</xdr:rowOff>
        </xdr:from>
        <xdr:to>
          <xdr:col>11</xdr:col>
          <xdr:colOff>85725</xdr:colOff>
          <xdr:row>24</xdr:row>
          <xdr:rowOff>76200</xdr:rowOff>
        </xdr:to>
        <xdr:sp macro="" textlink="">
          <xdr:nvSpPr>
            <xdr:cNvPr id="8193" name="Button 1" hidden="1">
              <a:extLst>
                <a:ext uri="{63B3BB69-23CF-44E3-9099-C40C66FF867C}">
                  <a14:compatExt spid="_x0000_s8193"/>
                </a:ext>
              </a:extLst>
            </xdr:cNvPr>
            <xdr:cNvSpPr/>
          </xdr:nvSpPr>
          <xdr:spPr bwMode="auto">
            <a:xfrm>
              <a:off x="0" y="0"/>
              <a:ext cx="0" cy="0"/>
            </a:xfrm>
            <a:prstGeom prst="rect">
              <a:avLst/>
            </a:prstGeom>
            <a:noFill/>
            <a:ln w="9525">
              <a:miter lim="800000"/>
              <a:headEnd/>
              <a:tailEnd/>
            </a:ln>
          </xdr:spPr>
          <xdr:txBody>
            <a:bodyPr vertOverflow="clip" wrap="square" lIns="36576" tIns="45720" rIns="36576" bIns="45720" anchor="ctr" upright="1"/>
            <a:lstStyle/>
            <a:p>
              <a:pPr algn="ctr" rtl="0">
                <a:defRPr sz="1000"/>
              </a:pPr>
              <a:r>
                <a:rPr lang="ja-JP" altLang="en-US" sz="1100" b="0" i="0" u="none" strike="noStrike" baseline="0">
                  <a:solidFill>
                    <a:srgbClr val="0066CC"/>
                  </a:solidFill>
                  <a:latin typeface="メイリオ"/>
                  <a:ea typeface="メイリオ"/>
                </a:rPr>
                <a:t>データ削除</a:t>
              </a:r>
            </a:p>
          </xdr:txBody>
        </xdr:sp>
        <xdr:clientData fPrintsWithSheet="0"/>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17</xdr:col>
          <xdr:colOff>561975</xdr:colOff>
          <xdr:row>2</xdr:row>
          <xdr:rowOff>219075</xdr:rowOff>
        </xdr:from>
        <xdr:to>
          <xdr:col>20</xdr:col>
          <xdr:colOff>333375</xdr:colOff>
          <xdr:row>4</xdr:row>
          <xdr:rowOff>180975</xdr:rowOff>
        </xdr:to>
        <xdr:sp macro="" textlink="">
          <xdr:nvSpPr>
            <xdr:cNvPr id="9217" name="Button 1" hidden="1">
              <a:extLst>
                <a:ext uri="{63B3BB69-23CF-44E3-9099-C40C66FF867C}">
                  <a14:compatExt spid="_x0000_s9217"/>
                </a:ext>
              </a:extLst>
            </xdr:cNvPr>
            <xdr:cNvSpPr/>
          </xdr:nvSpPr>
          <xdr:spPr bwMode="auto">
            <a:xfrm>
              <a:off x="0" y="0"/>
              <a:ext cx="0" cy="0"/>
            </a:xfrm>
            <a:prstGeom prst="rect">
              <a:avLst/>
            </a:prstGeom>
            <a:noFill/>
            <a:ln w="9525">
              <a:miter lim="800000"/>
              <a:headEnd/>
              <a:tailEnd/>
            </a:ln>
          </xdr:spPr>
          <xdr:txBody>
            <a:bodyPr vertOverflow="clip" wrap="square" lIns="36576" tIns="45720" rIns="36576" bIns="45720" anchor="ctr" upright="1"/>
            <a:lstStyle/>
            <a:p>
              <a:pPr algn="ctr" rtl="0">
                <a:defRPr sz="1000"/>
              </a:pPr>
              <a:r>
                <a:rPr lang="ja-JP" altLang="en-US" sz="1100" b="0" i="0" u="none" strike="noStrike" baseline="0">
                  <a:solidFill>
                    <a:srgbClr val="0066CC"/>
                  </a:solidFill>
                  <a:latin typeface="メイリオ"/>
                  <a:ea typeface="メイリオ"/>
                </a:rPr>
                <a:t>データ削除</a:t>
              </a:r>
            </a:p>
          </xdr:txBody>
        </xdr:sp>
        <xdr:clientData fPrintsWithSheet="0"/>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57150</xdr:colOff>
          <xdr:row>1</xdr:row>
          <xdr:rowOff>190500</xdr:rowOff>
        </xdr:from>
        <xdr:to>
          <xdr:col>5</xdr:col>
          <xdr:colOff>466725</xdr:colOff>
          <xdr:row>3</xdr:row>
          <xdr:rowOff>142875</xdr:rowOff>
        </xdr:to>
        <xdr:sp macro="" textlink="">
          <xdr:nvSpPr>
            <xdr:cNvPr id="10241" name="Button 1" hidden="1">
              <a:extLst>
                <a:ext uri="{63B3BB69-23CF-44E3-9099-C40C66FF867C}">
                  <a14:compatExt spid="_x0000_s10241"/>
                </a:ext>
              </a:extLst>
            </xdr:cNvPr>
            <xdr:cNvSpPr/>
          </xdr:nvSpPr>
          <xdr:spPr bwMode="auto">
            <a:xfrm>
              <a:off x="0" y="0"/>
              <a:ext cx="0" cy="0"/>
            </a:xfrm>
            <a:prstGeom prst="rect">
              <a:avLst/>
            </a:prstGeom>
            <a:noFill/>
            <a:ln w="9525">
              <a:miter lim="800000"/>
              <a:headEnd/>
              <a:tailEnd/>
            </a:ln>
          </xdr:spPr>
          <xdr:txBody>
            <a:bodyPr vertOverflow="clip" wrap="square" lIns="36576" tIns="45720" rIns="36576" bIns="45720" anchor="ctr" upright="1"/>
            <a:lstStyle/>
            <a:p>
              <a:pPr algn="ctr" rtl="0">
                <a:defRPr sz="1000"/>
              </a:pPr>
              <a:r>
                <a:rPr lang="ja-JP" altLang="en-US" sz="1100" b="0" i="0" u="none" strike="noStrike" baseline="0">
                  <a:solidFill>
                    <a:srgbClr val="0066CC"/>
                  </a:solidFill>
                  <a:latin typeface="メイリオ"/>
                  <a:ea typeface="メイリオ"/>
                </a:rPr>
                <a:t>データ削除</a:t>
              </a:r>
            </a:p>
          </xdr:txBody>
        </xdr:sp>
        <xdr:clientData fPrintsWithSheet="0"/>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10</xdr:col>
          <xdr:colOff>295275</xdr:colOff>
          <xdr:row>4</xdr:row>
          <xdr:rowOff>9525</xdr:rowOff>
        </xdr:from>
        <xdr:to>
          <xdr:col>11</xdr:col>
          <xdr:colOff>1438275</xdr:colOff>
          <xdr:row>5</xdr:row>
          <xdr:rowOff>161925</xdr:rowOff>
        </xdr:to>
        <xdr:sp macro="" textlink="">
          <xdr:nvSpPr>
            <xdr:cNvPr id="11265" name="Button 1" hidden="1">
              <a:extLst>
                <a:ext uri="{63B3BB69-23CF-44E3-9099-C40C66FF867C}">
                  <a14:compatExt spid="_x0000_s11265"/>
                </a:ext>
              </a:extLst>
            </xdr:cNvPr>
            <xdr:cNvSpPr/>
          </xdr:nvSpPr>
          <xdr:spPr bwMode="auto">
            <a:xfrm>
              <a:off x="0" y="0"/>
              <a:ext cx="0" cy="0"/>
            </a:xfrm>
            <a:prstGeom prst="rect">
              <a:avLst/>
            </a:prstGeom>
            <a:noFill/>
            <a:ln w="9525">
              <a:miter lim="800000"/>
              <a:headEnd/>
              <a:tailEnd/>
            </a:ln>
          </xdr:spPr>
          <xdr:txBody>
            <a:bodyPr vertOverflow="clip" wrap="square" lIns="36576" tIns="45720" rIns="36576" bIns="45720" anchor="ctr" upright="1"/>
            <a:lstStyle/>
            <a:p>
              <a:pPr algn="ctr" rtl="0">
                <a:defRPr sz="1000"/>
              </a:pPr>
              <a:r>
                <a:rPr lang="ja-JP" altLang="en-US" sz="1100" b="0" i="0" u="none" strike="noStrike" baseline="0">
                  <a:solidFill>
                    <a:srgbClr val="0066CC"/>
                  </a:solidFill>
                  <a:latin typeface="メイリオ"/>
                  <a:ea typeface="メイリオ"/>
                </a:rPr>
                <a:t>データ削除</a:t>
              </a:r>
            </a:p>
          </xdr:txBody>
        </xdr:sp>
        <xdr:clientData fPrintsWithSheet="0"/>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17</xdr:col>
          <xdr:colOff>704850</xdr:colOff>
          <xdr:row>3</xdr:row>
          <xdr:rowOff>76200</xdr:rowOff>
        </xdr:from>
        <xdr:to>
          <xdr:col>19</xdr:col>
          <xdr:colOff>161925</xdr:colOff>
          <xdr:row>5</xdr:row>
          <xdr:rowOff>114300</xdr:rowOff>
        </xdr:to>
        <xdr:sp macro="" textlink="">
          <xdr:nvSpPr>
            <xdr:cNvPr id="12289" name="Button 1" hidden="1">
              <a:extLst>
                <a:ext uri="{63B3BB69-23CF-44E3-9099-C40C66FF867C}">
                  <a14:compatExt spid="_x0000_s12289"/>
                </a:ext>
              </a:extLst>
            </xdr:cNvPr>
            <xdr:cNvSpPr/>
          </xdr:nvSpPr>
          <xdr:spPr bwMode="auto">
            <a:xfrm>
              <a:off x="0" y="0"/>
              <a:ext cx="0" cy="0"/>
            </a:xfrm>
            <a:prstGeom prst="rect">
              <a:avLst/>
            </a:prstGeom>
            <a:noFill/>
            <a:ln w="9525">
              <a:miter lim="800000"/>
              <a:headEnd/>
              <a:tailEnd/>
            </a:ln>
          </xdr:spPr>
          <xdr:txBody>
            <a:bodyPr vertOverflow="clip" wrap="square" lIns="36576" tIns="45720" rIns="36576" bIns="45720" anchor="ctr" upright="1"/>
            <a:lstStyle/>
            <a:p>
              <a:pPr algn="ctr" rtl="0">
                <a:defRPr sz="1000"/>
              </a:pPr>
              <a:r>
                <a:rPr lang="ja-JP" altLang="en-US" sz="1100" b="0" i="0" u="none" strike="noStrike" baseline="0">
                  <a:solidFill>
                    <a:srgbClr val="0066CC"/>
                  </a:solidFill>
                  <a:latin typeface="メイリオ"/>
                  <a:ea typeface="メイリオ"/>
                </a:rPr>
                <a:t>データ削除</a:t>
              </a:r>
            </a:p>
          </xdr:txBody>
        </xdr:sp>
        <xdr:clientData fPrintsWithSheet="0"/>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9</xdr:col>
          <xdr:colOff>885825</xdr:colOff>
          <xdr:row>3</xdr:row>
          <xdr:rowOff>47625</xdr:rowOff>
        </xdr:from>
        <xdr:to>
          <xdr:col>11</xdr:col>
          <xdr:colOff>342900</xdr:colOff>
          <xdr:row>5</xdr:row>
          <xdr:rowOff>95250</xdr:rowOff>
        </xdr:to>
        <xdr:sp macro="" textlink="">
          <xdr:nvSpPr>
            <xdr:cNvPr id="13313" name="Button 1" hidden="1">
              <a:extLst>
                <a:ext uri="{63B3BB69-23CF-44E3-9099-C40C66FF867C}">
                  <a14:compatExt spid="_x0000_s13313"/>
                </a:ext>
              </a:extLst>
            </xdr:cNvPr>
            <xdr:cNvSpPr/>
          </xdr:nvSpPr>
          <xdr:spPr bwMode="auto">
            <a:xfrm>
              <a:off x="0" y="0"/>
              <a:ext cx="0" cy="0"/>
            </a:xfrm>
            <a:prstGeom prst="rect">
              <a:avLst/>
            </a:prstGeom>
            <a:noFill/>
            <a:ln w="9525">
              <a:miter lim="800000"/>
              <a:headEnd/>
              <a:tailEnd/>
            </a:ln>
          </xdr:spPr>
          <xdr:txBody>
            <a:bodyPr vertOverflow="clip" wrap="square" lIns="36576" tIns="45720" rIns="36576" bIns="45720" anchor="ctr" upright="1"/>
            <a:lstStyle/>
            <a:p>
              <a:pPr algn="ctr" rtl="0">
                <a:defRPr sz="1000"/>
              </a:pPr>
              <a:r>
                <a:rPr lang="ja-JP" altLang="en-US" sz="1100" b="0" i="0" u="none" strike="noStrike" baseline="0">
                  <a:solidFill>
                    <a:srgbClr val="0066CC"/>
                  </a:solidFill>
                  <a:latin typeface="メイリオ"/>
                  <a:ea typeface="メイリオ"/>
                </a:rPr>
                <a:t>データ削除</a:t>
              </a:r>
            </a:p>
          </xdr:txBody>
        </xdr:sp>
        <xdr:clientData fPrintsWithSheet="0"/>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9</xdr:col>
          <xdr:colOff>104775</xdr:colOff>
          <xdr:row>21</xdr:row>
          <xdr:rowOff>219075</xdr:rowOff>
        </xdr:from>
        <xdr:to>
          <xdr:col>15</xdr:col>
          <xdr:colOff>85725</xdr:colOff>
          <xdr:row>24</xdr:row>
          <xdr:rowOff>76200</xdr:rowOff>
        </xdr:to>
        <xdr:sp macro="" textlink="">
          <xdr:nvSpPr>
            <xdr:cNvPr id="14337" name="Button 1" hidden="1">
              <a:extLst>
                <a:ext uri="{63B3BB69-23CF-44E3-9099-C40C66FF867C}">
                  <a14:compatExt spid="_x0000_s14337"/>
                </a:ext>
              </a:extLst>
            </xdr:cNvPr>
            <xdr:cNvSpPr/>
          </xdr:nvSpPr>
          <xdr:spPr bwMode="auto">
            <a:xfrm>
              <a:off x="0" y="0"/>
              <a:ext cx="0" cy="0"/>
            </a:xfrm>
            <a:prstGeom prst="rect">
              <a:avLst/>
            </a:prstGeom>
            <a:noFill/>
            <a:ln w="9525">
              <a:miter lim="800000"/>
              <a:headEnd/>
              <a:tailEnd/>
            </a:ln>
          </xdr:spPr>
          <xdr:txBody>
            <a:bodyPr vertOverflow="clip" wrap="square" lIns="36576" tIns="45720" rIns="36576" bIns="45720" anchor="ctr" upright="1"/>
            <a:lstStyle/>
            <a:p>
              <a:pPr algn="ctr" rtl="0">
                <a:defRPr sz="1000"/>
              </a:pPr>
              <a:r>
                <a:rPr lang="ja-JP" altLang="en-US" sz="1100" b="0" i="0" u="none" strike="noStrike" baseline="0">
                  <a:solidFill>
                    <a:srgbClr val="0066CC"/>
                  </a:solidFill>
                  <a:latin typeface="メイリオ"/>
                  <a:ea typeface="メイリオ"/>
                </a:rPr>
                <a:t>データ削除</a:t>
              </a:r>
            </a:p>
          </xdr:txBody>
        </xdr:sp>
        <xdr:clientData fPrintsWithSheet="0"/>
      </xdr:twoCellAnchor>
    </mc:Choice>
    <mc:Fallback/>
  </mc:AlternateContent>
</xdr:wsDr>
</file>

<file path=xl/tables/table1.xml><?xml version="1.0" encoding="utf-8"?>
<table xmlns="http://schemas.openxmlformats.org/spreadsheetml/2006/main" id="9" name="年齢区分" displayName="年齢区分" ref="K4:L13" totalsRowShown="0" headerRowDxfId="648" dataDxfId="647">
  <autoFilter ref="K4:L13">
    <filterColumn colId="0" hiddenButton="1"/>
    <filterColumn colId="1" hiddenButton="1"/>
  </autoFilter>
  <tableColumns count="2">
    <tableColumn id="1" name="行ラベル" dataDxfId="646"/>
    <tableColumn id="2" name="データの個数 / 年齢" dataDxfId="645"/>
  </tableColumns>
  <tableStyleInfo name="TableStyleMedium2" showFirstColumn="0" showLastColumn="0" showRowStripes="1" showColumnStripes="0"/>
</table>
</file>

<file path=xl/tables/table10.xml><?xml version="1.0" encoding="utf-8"?>
<table xmlns="http://schemas.openxmlformats.org/spreadsheetml/2006/main" id="13" name="在院期間" displayName="在院期間" ref="K4:L20" totalsRowShown="0">
  <autoFilter ref="K4:L20">
    <filterColumn colId="0" hiddenButton="1"/>
    <filterColumn colId="1" hiddenButton="1"/>
  </autoFilter>
  <tableColumns count="2">
    <tableColumn id="1" name="行ラベル" dataDxfId="617"/>
    <tableColumn id="2" name="データの個数 / 在院" dataDxfId="616"/>
  </tableColumns>
  <tableStyleInfo name="TableStyleMedium2" showFirstColumn="0" showLastColumn="0" showRowStripes="1" showColumnStripes="0"/>
</table>
</file>

<file path=xl/tables/table11.xml><?xml version="1.0" encoding="utf-8"?>
<table xmlns="http://schemas.openxmlformats.org/spreadsheetml/2006/main" id="14" name="在院期間＿寛解" displayName="在院期間＿寛解" ref="N4:O20" totalsRowShown="0">
  <autoFilter ref="N4:O20">
    <filterColumn colId="0" hiddenButton="1"/>
    <filterColumn colId="1" hiddenButton="1"/>
  </autoFilter>
  <tableColumns count="2">
    <tableColumn id="1" name="行ラベル" dataDxfId="615"/>
    <tableColumn id="2" name="データの個数 / 在院" dataDxfId="614"/>
  </tableColumns>
  <tableStyleInfo name="TableStyleMedium2" showFirstColumn="0" showLastColumn="0" showRowStripes="1" showColumnStripes="0"/>
</table>
</file>

<file path=xl/tables/table12.xml><?xml version="1.0" encoding="utf-8"?>
<table xmlns="http://schemas.openxmlformats.org/spreadsheetml/2006/main" id="15" name="在院期間＿院内寛解" displayName="在院期間＿院内寛解" ref="P4:Q20" totalsRowShown="0">
  <autoFilter ref="P4:Q20">
    <filterColumn colId="0" hiddenButton="1"/>
    <filterColumn colId="1" hiddenButton="1"/>
  </autoFilter>
  <tableColumns count="2">
    <tableColumn id="1" name="行ラベル" dataDxfId="613"/>
    <tableColumn id="2" name="データの個数 / 在院" dataDxfId="612"/>
  </tableColumns>
  <tableStyleInfo name="TableStyleMedium2" showFirstColumn="0" showLastColumn="0" showRowStripes="1" showColumnStripes="0"/>
</table>
</file>

<file path=xl/tables/table13.xml><?xml version="1.0" encoding="utf-8"?>
<table xmlns="http://schemas.openxmlformats.org/spreadsheetml/2006/main" id="19" name="年齢区分＿1年以上" displayName="年齢区分＿1年以上" ref="K4:L13" totalsRowShown="0">
  <autoFilter ref="K4:L13">
    <filterColumn colId="0" hiddenButton="1"/>
    <filterColumn colId="1" hiddenButton="1"/>
  </autoFilter>
  <tableColumns count="2">
    <tableColumn id="1" name="行ラベル" dataDxfId="611"/>
    <tableColumn id="2" name="データの個数 / 年齢" dataDxfId="610"/>
  </tableColumns>
  <tableStyleInfo name="TableStyleMedium2" showFirstColumn="0" showLastColumn="0" showRowStripes="1" showColumnStripes="0"/>
</table>
</file>

<file path=xl/tables/table14.xml><?xml version="1.0" encoding="utf-8"?>
<table xmlns="http://schemas.openxmlformats.org/spreadsheetml/2006/main" id="20" name="年齢区分＿1年以上＿寛解" displayName="年齢区分＿1年以上＿寛解" ref="N4:O13" totalsRowShown="0">
  <autoFilter ref="N4:O13">
    <filterColumn colId="0" hiddenButton="1"/>
    <filterColumn colId="1" hiddenButton="1"/>
  </autoFilter>
  <tableColumns count="2">
    <tableColumn id="1" name="行ラベル" dataDxfId="609"/>
    <tableColumn id="2" name="データの個数 / 年齢" dataDxfId="608"/>
  </tableColumns>
  <tableStyleInfo name="TableStyleMedium2" showFirstColumn="0" showLastColumn="0" showRowStripes="1" showColumnStripes="0"/>
</table>
</file>

<file path=xl/tables/table15.xml><?xml version="1.0" encoding="utf-8"?>
<table xmlns="http://schemas.openxmlformats.org/spreadsheetml/2006/main" id="21" name="年齢区分＿1年以上＿院内寛解" displayName="年齢区分＿1年以上＿院内寛解" ref="P4:Q13" totalsRowShown="0">
  <autoFilter ref="P4:Q13">
    <filterColumn colId="0" hiddenButton="1"/>
    <filterColumn colId="1" hiddenButton="1"/>
  </autoFilter>
  <tableColumns count="2">
    <tableColumn id="1" name="行ラベル" dataDxfId="607"/>
    <tableColumn id="2" name="データの個数 / 年齢" dataDxfId="606"/>
  </tableColumns>
  <tableStyleInfo name="TableStyleMedium2" showFirstColumn="0" showLastColumn="0" showRowStripes="1" showColumnStripes="0"/>
</table>
</file>

<file path=xl/tables/table16.xml><?xml version="1.0" encoding="utf-8"?>
<table xmlns="http://schemas.openxmlformats.org/spreadsheetml/2006/main" id="22" name="入院形態＿1年以上" displayName="入院形態＿1年以上" ref="G4:H11" totalsRowShown="0" headerRowDxfId="605">
  <autoFilter ref="G4:H11">
    <filterColumn colId="0" hiddenButton="1"/>
    <filterColumn colId="1" hiddenButton="1"/>
  </autoFilter>
  <tableColumns count="2">
    <tableColumn id="1" name="行ラベル" dataDxfId="604"/>
    <tableColumn id="2" name="データの個数 / 入院" dataDxfId="603"/>
  </tableColumns>
  <tableStyleInfo name="TableStyleMedium2" showFirstColumn="0" showLastColumn="0" showRowStripes="1" showColumnStripes="0"/>
</table>
</file>

<file path=xl/tables/table17.xml><?xml version="1.0" encoding="utf-8"?>
<table xmlns="http://schemas.openxmlformats.org/spreadsheetml/2006/main" id="23" name="入院形態＿1年以上＿寛解" displayName="入院形態＿1年以上＿寛解" ref="G16:H23" totalsRowShown="0" headerRowDxfId="602">
  <autoFilter ref="G16:H23">
    <filterColumn colId="0" hiddenButton="1"/>
    <filterColumn colId="1" hiddenButton="1"/>
  </autoFilter>
  <tableColumns count="2">
    <tableColumn id="1" name="行ラベル" dataDxfId="601"/>
    <tableColumn id="2" name="データの個数 / 入院" dataDxfId="600"/>
  </tableColumns>
  <tableStyleInfo name="TableStyleMedium2" showFirstColumn="0" showLastColumn="0" showRowStripes="1" showColumnStripes="0"/>
</table>
</file>

<file path=xl/tables/table18.xml><?xml version="1.0" encoding="utf-8"?>
<table xmlns="http://schemas.openxmlformats.org/spreadsheetml/2006/main" id="24" name="入院形態＿1年以上＿院内寛解" displayName="入院形態＿1年以上＿院内寛解" ref="J16:K23" totalsRowShown="0" headerRowDxfId="599">
  <autoFilter ref="J16:K23">
    <filterColumn colId="0" hiddenButton="1"/>
    <filterColumn colId="1" hiddenButton="1"/>
  </autoFilter>
  <tableColumns count="2">
    <tableColumn id="1" name="行ラベル" dataDxfId="598"/>
    <tableColumn id="2" name="データの個数 / 入院" dataDxfId="597"/>
  </tableColumns>
  <tableStyleInfo name="TableStyleMedium2" showFirstColumn="0" showLastColumn="0" showRowStripes="1" showColumnStripes="0"/>
</table>
</file>

<file path=xl/tables/table19.xml><?xml version="1.0" encoding="utf-8"?>
<table xmlns="http://schemas.openxmlformats.org/spreadsheetml/2006/main" id="28" name="疾患別＿1年以上" displayName="疾患別＿1年以上" ref="B23:C40" totalsRowShown="0" headerRowDxfId="596">
  <autoFilter ref="B23:C40">
    <filterColumn colId="0" hiddenButton="1"/>
    <filterColumn colId="1" hiddenButton="1"/>
  </autoFilter>
  <tableColumns count="2">
    <tableColumn id="1" name="行ラベル" dataDxfId="595"/>
    <tableColumn id="2" name="データの個数 / 疾患名" dataDxfId="594"/>
  </tableColumns>
  <tableStyleInfo name="TableStyleMedium2" showFirstColumn="0" showLastColumn="0" showRowStripes="1" showColumnStripes="0"/>
</table>
</file>

<file path=xl/tables/table2.xml><?xml version="1.0" encoding="utf-8"?>
<table xmlns="http://schemas.openxmlformats.org/spreadsheetml/2006/main" id="11" name="年齢区分＿院内寛解" displayName="年齢区分＿院内寛解" ref="P4:Q13" totalsRowShown="0" headerRowDxfId="644" dataDxfId="643">
  <autoFilter ref="P4:Q13">
    <filterColumn colId="0" hiddenButton="1"/>
    <filterColumn colId="1" hiddenButton="1"/>
  </autoFilter>
  <tableColumns count="2">
    <tableColumn id="1" name="行ラベル" dataDxfId="642"/>
    <tableColumn id="2" name="データの個数 / 年齢" dataDxfId="641"/>
  </tableColumns>
  <tableStyleInfo name="TableStyleMedium2" showFirstColumn="0" showLastColumn="0" showRowStripes="1" showColumnStripes="0"/>
</table>
</file>

<file path=xl/tables/table20.xml><?xml version="1.0" encoding="utf-8"?>
<table xmlns="http://schemas.openxmlformats.org/spreadsheetml/2006/main" id="29" name="疾患別＿1年以上＿寛解" displayName="疾患別＿1年以上＿寛解" ref="G23:H40" totalsRowShown="0" tableBorderDxfId="593">
  <autoFilter ref="G23:H40">
    <filterColumn colId="0" hiddenButton="1"/>
    <filterColumn colId="1" hiddenButton="1"/>
  </autoFilter>
  <tableColumns count="2">
    <tableColumn id="1" name="行ラベル"/>
    <tableColumn id="2" name="データの個数 / 疾患名" dataDxfId="592"/>
  </tableColumns>
  <tableStyleInfo name="TableStyleMedium2" showFirstColumn="0" showLastColumn="0" showRowStripes="1" showColumnStripes="0"/>
</table>
</file>

<file path=xl/tables/table21.xml><?xml version="1.0" encoding="utf-8"?>
<table xmlns="http://schemas.openxmlformats.org/spreadsheetml/2006/main" id="30" name="疾患別＿1年以上＿院内寛解" displayName="疾患別＿1年以上＿院内寛解" ref="G43:H60" totalsRowShown="0" headerRowBorderDxfId="591" tableBorderDxfId="590">
  <autoFilter ref="G43:H60">
    <filterColumn colId="0" hiddenButton="1"/>
    <filterColumn colId="1" hiddenButton="1"/>
  </autoFilter>
  <tableColumns count="2">
    <tableColumn id="1" name="行ラベル" dataDxfId="589"/>
    <tableColumn id="2" name="データの個数 / 疾患名" dataDxfId="588"/>
  </tableColumns>
  <tableStyleInfo name="TableStyleMedium2" showFirstColumn="0" showLastColumn="0" showRowStripes="1" showColumnStripes="0"/>
</table>
</file>

<file path=xl/tables/table22.xml><?xml version="1.0" encoding="utf-8"?>
<table xmlns="http://schemas.openxmlformats.org/spreadsheetml/2006/main" id="1" name="年齢区分＿65歳以上" displayName="年齢区分＿65歳以上" ref="I4:J13" totalsRowShown="0">
  <autoFilter ref="I4:J13">
    <filterColumn colId="0" hiddenButton="1"/>
    <filterColumn colId="1" hiddenButton="1"/>
  </autoFilter>
  <tableColumns count="2">
    <tableColumn id="1" name="行ラベル" dataDxfId="587"/>
    <tableColumn id="2" name="データの個数 / 年齢" dataDxfId="586"/>
  </tableColumns>
  <tableStyleInfo name="TableStyleMedium2" showFirstColumn="0" showLastColumn="0" showRowStripes="1" showColumnStripes="0"/>
</table>
</file>

<file path=xl/tables/table23.xml><?xml version="1.0" encoding="utf-8"?>
<table xmlns="http://schemas.openxmlformats.org/spreadsheetml/2006/main" id="2" name="年齢区分＿65歳以上＿寛解・院内寛解" displayName="年齢区分＿65歳以上＿寛解・院内寛解" ref="L4:M13" totalsRowShown="0">
  <autoFilter ref="L4:M13">
    <filterColumn colId="0" hiddenButton="1"/>
    <filterColumn colId="1" hiddenButton="1"/>
  </autoFilter>
  <tableColumns count="2">
    <tableColumn id="1" name="行ラベル" dataDxfId="585"/>
    <tableColumn id="2" name="データの個数 / 年齢" dataDxfId="584"/>
  </tableColumns>
  <tableStyleInfo name="TableStyleMedium2" showFirstColumn="0" showLastColumn="0" showRowStripes="1" showColumnStripes="0"/>
</table>
</file>

<file path=xl/tables/table24.xml><?xml version="1.0" encoding="utf-8"?>
<table xmlns="http://schemas.openxmlformats.org/spreadsheetml/2006/main" id="12" name="入院形態＿65歳以上" displayName="入院形態＿65歳以上" ref="E4:F11" totalsRowShown="0" headerRowDxfId="583">
  <autoFilter ref="E4:F11">
    <filterColumn colId="0" hiddenButton="1"/>
    <filterColumn colId="1" hiddenButton="1"/>
  </autoFilter>
  <tableColumns count="2">
    <tableColumn id="1" name="行ラベル" dataDxfId="582"/>
    <tableColumn id="2" name="データの個数 / 入院" dataDxfId="581"/>
  </tableColumns>
  <tableStyleInfo name="TableStyleMedium2" showFirstColumn="0" showLastColumn="0" showRowStripes="1" showColumnStripes="0"/>
</table>
</file>

<file path=xl/tables/table25.xml><?xml version="1.0" encoding="utf-8"?>
<table xmlns="http://schemas.openxmlformats.org/spreadsheetml/2006/main" id="16" name="入院形態＿65歳以上＿寛解・院内寛解" displayName="入院形態＿65歳以上＿寛解・院内寛解" ref="E15:F22" totalsRowShown="0" headerRowDxfId="580">
  <autoFilter ref="E15:F22">
    <filterColumn colId="0" hiddenButton="1"/>
    <filterColumn colId="1" hiddenButton="1"/>
  </autoFilter>
  <tableColumns count="2">
    <tableColumn id="1" name="行ラベル" dataDxfId="579"/>
    <tableColumn id="2" name="データの個数 / 入院" dataDxfId="578"/>
  </tableColumns>
  <tableStyleInfo name="TableStyleMedium2" showFirstColumn="0" showLastColumn="0" showRowStripes="1" showColumnStripes="0"/>
</table>
</file>

<file path=xl/tables/table26.xml><?xml version="1.0" encoding="utf-8"?>
<table xmlns="http://schemas.openxmlformats.org/spreadsheetml/2006/main" id="25" name="疾患別＿65歳以上" displayName="疾患別＿65歳以上" ref="J5:K22" totalsRowShown="0" headerRowDxfId="577">
  <autoFilter ref="J5:K22">
    <filterColumn colId="0" hiddenButton="1"/>
    <filterColumn colId="1" hiddenButton="1"/>
  </autoFilter>
  <tableColumns count="2">
    <tableColumn id="1" name="行ラベル" dataDxfId="576"/>
    <tableColumn id="2" name="データの個数 / 疾患名" dataDxfId="575"/>
  </tableColumns>
  <tableStyleInfo name="TableStyleMedium2" showFirstColumn="0" showLastColumn="0" showRowStripes="1" showColumnStripes="0"/>
</table>
</file>

<file path=xl/tables/table27.xml><?xml version="1.0" encoding="utf-8"?>
<table xmlns="http://schemas.openxmlformats.org/spreadsheetml/2006/main" id="26" name="疾患別＿65歳以上＿寛解・院内寛解" displayName="疾患別＿65歳以上＿寛解・院内寛解" ref="J25:K42" totalsRowShown="0" tableBorderDxfId="574">
  <autoFilter ref="J25:K42">
    <filterColumn colId="0" hiddenButton="1"/>
    <filterColumn colId="1" hiddenButton="1"/>
  </autoFilter>
  <tableColumns count="2">
    <tableColumn id="1" name="行ラベル"/>
    <tableColumn id="2" name="データの個数 / 疾患名" dataDxfId="573"/>
  </tableColumns>
  <tableStyleInfo name="TableStyleMedium2" showFirstColumn="0" showLastColumn="0" showRowStripes="1" showColumnStripes="0"/>
</table>
</file>

<file path=xl/tables/table28.xml><?xml version="1.0" encoding="utf-8"?>
<table xmlns="http://schemas.openxmlformats.org/spreadsheetml/2006/main" id="27" name="在院期間＿65歳以上" displayName="在院期間＿65歳以上" ref="J5:K21" totalsRowShown="0">
  <autoFilter ref="J5:K21">
    <filterColumn colId="0" hiddenButton="1"/>
    <filterColumn colId="1" hiddenButton="1"/>
  </autoFilter>
  <tableColumns count="2">
    <tableColumn id="1" name="行ラベル" dataDxfId="572"/>
    <tableColumn id="2" name="データの個数 / 在院" dataDxfId="571"/>
  </tableColumns>
  <tableStyleInfo name="TableStyleMedium2" showFirstColumn="0" showLastColumn="0" showRowStripes="1" showColumnStripes="0"/>
</table>
</file>

<file path=xl/tables/table29.xml><?xml version="1.0" encoding="utf-8"?>
<table xmlns="http://schemas.openxmlformats.org/spreadsheetml/2006/main" id="31" name="在院期間＿65歳以上＿寛解・院内寛解" displayName="在院期間＿65歳以上＿寛解・院内寛解" ref="M5:N21" totalsRowShown="0">
  <autoFilter ref="M5:N21">
    <filterColumn colId="0" hiddenButton="1"/>
    <filterColumn colId="1" hiddenButton="1"/>
  </autoFilter>
  <tableColumns count="2">
    <tableColumn id="1" name="行ラベル" dataDxfId="570"/>
    <tableColumn id="2" name="データの個数 / 在院" dataDxfId="569"/>
  </tableColumns>
  <tableStyleInfo name="TableStyleMedium2" showFirstColumn="0" showLastColumn="0" showRowStripes="1" showColumnStripes="0"/>
</table>
</file>

<file path=xl/tables/table3.xml><?xml version="1.0" encoding="utf-8"?>
<table xmlns="http://schemas.openxmlformats.org/spreadsheetml/2006/main" id="10" name="年齢区分＿寛解" displayName="年齢区分＿寛解" ref="N4:O13" totalsRowShown="0" dataDxfId="640">
  <autoFilter ref="N4:O13">
    <filterColumn colId="0" hiddenButton="1"/>
    <filterColumn colId="1" hiddenButton="1"/>
  </autoFilter>
  <tableColumns count="2">
    <tableColumn id="1" name="行ラベル" dataDxfId="639"/>
    <tableColumn id="2" name="データの個数 / 年齢" dataDxfId="638"/>
  </tableColumns>
  <tableStyleInfo name="TableStyleMedium2" showFirstColumn="0" showLastColumn="0" showRowStripes="1" showColumnStripes="0"/>
</table>
</file>

<file path=xl/tables/table30.xml><?xml version="1.0" encoding="utf-8"?>
<table xmlns="http://schemas.openxmlformats.org/spreadsheetml/2006/main" id="32" name="退院予定有無×年齢階層" displayName="退院予定有無×年齢階層" ref="H3:J6" totalsRowShown="0">
  <autoFilter ref="H3:J6">
    <filterColumn colId="0" hiddenButton="1"/>
    <filterColumn colId="1" hiddenButton="1"/>
    <filterColumn colId="2" hiddenButton="1"/>
  </autoFilter>
  <tableColumns count="3">
    <tableColumn id="1" name="行ラベル" dataDxfId="568"/>
    <tableColumn id="2" name="65歳未満" dataDxfId="567"/>
    <tableColumn id="3" name="65歳以上"/>
  </tableColumns>
  <tableStyleInfo name="TableStyleMedium2" showFirstColumn="0" showLastColumn="0" showRowStripes="1" showColumnStripes="0"/>
</table>
</file>

<file path=xl/tables/table31.xml><?xml version="1.0" encoding="utf-8"?>
<table xmlns="http://schemas.openxmlformats.org/spreadsheetml/2006/main" id="33" name="阻害要因有無×年齢階層" displayName="阻害要因有無×年齢階層" ref="H9:J11" totalsRowShown="0">
  <autoFilter ref="H9:J11">
    <filterColumn colId="0" hiddenButton="1"/>
    <filterColumn colId="1" hiddenButton="1"/>
    <filterColumn colId="2" hiddenButton="1"/>
  </autoFilter>
  <tableColumns count="3">
    <tableColumn id="1" name="行ラベル" dataDxfId="566"/>
    <tableColumn id="2" name="65歳未満" dataDxfId="565"/>
    <tableColumn id="3" name="65歳以上" dataDxfId="564"/>
  </tableColumns>
  <tableStyleInfo name="TableStyleMedium2" showFirstColumn="0" showLastColumn="0" showRowStripes="1" showColumnStripes="0"/>
</table>
</file>

<file path=xl/tables/table32.xml><?xml version="1.0" encoding="utf-8"?>
<table xmlns="http://schemas.openxmlformats.org/spreadsheetml/2006/main" id="34" name="阻害要因×年齢階層" displayName="阻害要因×年齢階層" ref="H13:J31" totalsRowShown="0">
  <autoFilter ref="H13:J31">
    <filterColumn colId="0" hiddenButton="1"/>
    <filterColumn colId="1" hiddenButton="1"/>
    <filterColumn colId="2" hiddenButton="1"/>
  </autoFilter>
  <tableColumns count="3">
    <tableColumn id="1" name="値" dataDxfId="563"/>
    <tableColumn id="2" name="65歳以上" dataDxfId="562"/>
    <tableColumn id="3" name="65歳未満" dataDxfId="561"/>
  </tableColumns>
  <tableStyleInfo name="TableStyleMedium2" showFirstColumn="0" showLastColumn="0" showRowStripes="1" showColumnStripes="0"/>
</table>
</file>

<file path=xl/tables/table33.xml><?xml version="1.0" encoding="utf-8"?>
<table xmlns="http://schemas.openxmlformats.org/spreadsheetml/2006/main" id="35" name="退院予定有無×年齢階層＿寛解・院内寛解" displayName="退院予定有無×年齢階層＿寛解・院内寛解" ref="H35:J38" totalsRowShown="0">
  <autoFilter ref="H35:J38">
    <filterColumn colId="0" hiddenButton="1"/>
    <filterColumn colId="1" hiddenButton="1"/>
    <filterColumn colId="2" hiddenButton="1"/>
  </autoFilter>
  <tableColumns count="3">
    <tableColumn id="1" name="行ラベル" dataDxfId="560"/>
    <tableColumn id="2" name="65歳未満" dataDxfId="559"/>
    <tableColumn id="3" name="65歳以上" dataDxfId="558"/>
  </tableColumns>
  <tableStyleInfo name="TableStyleMedium2" showFirstColumn="0" showLastColumn="0" showRowStripes="1" showColumnStripes="0"/>
</table>
</file>

<file path=xl/tables/table34.xml><?xml version="1.0" encoding="utf-8"?>
<table xmlns="http://schemas.openxmlformats.org/spreadsheetml/2006/main" id="36" name="阻害要因有無×年齢階層＿寛解・院内寛解" displayName="阻害要因有無×年齢階層＿寛解・院内寛解" ref="H41:J43" totalsRowShown="0">
  <autoFilter ref="H41:J43">
    <filterColumn colId="0" hiddenButton="1"/>
    <filterColumn colId="1" hiddenButton="1"/>
    <filterColumn colId="2" hiddenButton="1"/>
  </autoFilter>
  <tableColumns count="3">
    <tableColumn id="1" name="行ラベル" dataDxfId="557"/>
    <tableColumn id="2" name="65歳未満" dataDxfId="556"/>
    <tableColumn id="3" name="65歳以上" dataDxfId="555"/>
  </tableColumns>
  <tableStyleInfo name="TableStyleMedium2" showFirstColumn="0" showLastColumn="0" showRowStripes="1" showColumnStripes="0"/>
</table>
</file>

<file path=xl/tables/table35.xml><?xml version="1.0" encoding="utf-8"?>
<table xmlns="http://schemas.openxmlformats.org/spreadsheetml/2006/main" id="37" name="阻害要因×年齢階層＿寛解・院内寛解" displayName="阻害要因×年齢階層＿寛解・院内寛解" ref="H45:J63" totalsRowShown="0">
  <autoFilter ref="H45:J63">
    <filterColumn colId="0" hiddenButton="1"/>
    <filterColumn colId="1" hiddenButton="1"/>
    <filterColumn colId="2" hiddenButton="1"/>
  </autoFilter>
  <tableColumns count="3">
    <tableColumn id="1" name="値" dataDxfId="554"/>
    <tableColumn id="2" name="65歳以上" dataDxfId="553"/>
    <tableColumn id="3" name="65歳未満" dataDxfId="552"/>
  </tableColumns>
  <tableStyleInfo name="TableStyleMedium2" showFirstColumn="0" showLastColumn="0" showRowStripes="1" showColumnStripes="0"/>
</table>
</file>

<file path=xl/tables/table36.xml><?xml version="1.0" encoding="utf-8"?>
<table xmlns="http://schemas.openxmlformats.org/spreadsheetml/2006/main" id="39" name="阻害要因有無×在院期間区分" displayName="阻害要因有無×在院期間区分" ref="L9:AB11" totalsRowShown="0" headerRowDxfId="551" dataDxfId="550">
  <autoFilter ref="L9:AB1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autoFilter>
  <tableColumns count="17">
    <tableColumn id="1" name="行ラベル" dataDxfId="549"/>
    <tableColumn id="2" name="01_1ヶ月未満" dataDxfId="548"/>
    <tableColumn id="3" name="02_1ヶ月～3ヶ月未満" dataDxfId="547"/>
    <tableColumn id="4" name="03_3ヶ月～6ヶ月未満" dataDxfId="546"/>
    <tableColumn id="5" name="04_6ヶ月～1年未満" dataDxfId="545"/>
    <tableColumn id="6" name="05_1年～1年6ヶ月未満" dataDxfId="544"/>
    <tableColumn id="7" name="06_1年6ヶ月～2年未満" dataDxfId="543"/>
    <tableColumn id="8" name="07_2年～3年未満" dataDxfId="542"/>
    <tableColumn id="9" name="08_3年～4年未満" dataDxfId="541"/>
    <tableColumn id="10" name="09_4年～5年未満" dataDxfId="540"/>
    <tableColumn id="11" name="10_5年～6年未満" dataDxfId="539"/>
    <tableColumn id="12" name="11_6年～7年未満" dataDxfId="538"/>
    <tableColumn id="13" name="12_7年～8年未満" dataDxfId="537"/>
    <tableColumn id="14" name="13_8年～9年未満" dataDxfId="536"/>
    <tableColumn id="15" name="14_9年～10年未満" dataDxfId="535"/>
    <tableColumn id="16" name="15_10年～20年未満" dataDxfId="534"/>
    <tableColumn id="17" name="16_ 20年以上" dataDxfId="533"/>
  </tableColumns>
  <tableStyleInfo name="TableStyleMedium2" showFirstColumn="0" showLastColumn="0" showRowStripes="1" showColumnStripes="0"/>
</table>
</file>

<file path=xl/tables/table37.xml><?xml version="1.0" encoding="utf-8"?>
<table xmlns="http://schemas.openxmlformats.org/spreadsheetml/2006/main" id="40" name="阻害要因×在院期間区分" displayName="阻害要因×在院期間区分" ref="L13:AB31" totalsRowShown="0" headerRowDxfId="532" dataDxfId="531">
  <autoFilter ref="L13:AB3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autoFilter>
  <tableColumns count="17">
    <tableColumn id="1" name="値" dataDxfId="530"/>
    <tableColumn id="2" name="01_1ヶ月未満" dataDxfId="529"/>
    <tableColumn id="3" name="02_1ヶ月～3ヶ月未満" dataDxfId="528"/>
    <tableColumn id="4" name="03_3ヶ月～6ヶ月未満" dataDxfId="527"/>
    <tableColumn id="5" name="04_6ヶ月～1年未満" dataDxfId="526"/>
    <tableColumn id="6" name="05_1年～1年6ヶ月未満" dataDxfId="525"/>
    <tableColumn id="7" name="06_1年6ヶ月～2年未満" dataDxfId="524"/>
    <tableColumn id="8" name="07_2年～3年未満" dataDxfId="523"/>
    <tableColumn id="9" name="08_3年～4年未満" dataDxfId="522"/>
    <tableColumn id="10" name="09_4年～5年未満" dataDxfId="521"/>
    <tableColumn id="11" name="10_5年～6年未満" dataDxfId="520"/>
    <tableColumn id="12" name="11_6年～7年未満" dataDxfId="519"/>
    <tableColumn id="13" name="12_7年～8年未満" dataDxfId="518"/>
    <tableColumn id="14" name="13_8年～9年未満" dataDxfId="517"/>
    <tableColumn id="15" name="14_9年～10年未満" dataDxfId="516"/>
    <tableColumn id="16" name="15_10年～20年未満" dataDxfId="515"/>
    <tableColumn id="17" name="16_ 20年以上" dataDxfId="514"/>
  </tableColumns>
  <tableStyleInfo name="TableStyleMedium2" showFirstColumn="0" showLastColumn="0" showRowStripes="1" showColumnStripes="0"/>
</table>
</file>

<file path=xl/tables/table38.xml><?xml version="1.0" encoding="utf-8"?>
<table xmlns="http://schemas.openxmlformats.org/spreadsheetml/2006/main" id="42" name="退院予定有無×在院期間区分＿寛解・院内寛解" displayName="退院予定有無×在院期間区分＿寛解・院内寛解" ref="L35:AB38" totalsRowShown="0" headerRowDxfId="513" dataDxfId="512">
  <autoFilter ref="L35:AB3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autoFilter>
  <tableColumns count="17">
    <tableColumn id="1" name="行ラベル" dataDxfId="511" totalsRowDxfId="510"/>
    <tableColumn id="2" name="01_1ヶ月未満" dataDxfId="509" totalsRowDxfId="508"/>
    <tableColumn id="3" name="02_1ヶ月～3ヶ月未満" dataDxfId="507" totalsRowDxfId="506"/>
    <tableColumn id="4" name="03_3ヶ月～6ヶ月未満" dataDxfId="505" totalsRowDxfId="504"/>
    <tableColumn id="5" name="04_6ヶ月～1年未満" dataDxfId="503" totalsRowDxfId="502"/>
    <tableColumn id="6" name="05_1年～1年6ヶ月未満" dataDxfId="501" totalsRowDxfId="500"/>
    <tableColumn id="7" name="06_1年6ヶ月～2年未満" dataDxfId="499" totalsRowDxfId="498"/>
    <tableColumn id="8" name="07_2年～3年未満" dataDxfId="497" totalsRowDxfId="496"/>
    <tableColumn id="9" name="08_3年～4年未満" dataDxfId="495" totalsRowDxfId="494"/>
    <tableColumn id="10" name="09_4年～5年未満" dataDxfId="493" totalsRowDxfId="492"/>
    <tableColumn id="11" name="10_5年～6年未満" dataDxfId="491" totalsRowDxfId="490"/>
    <tableColumn id="12" name="11_6年～7年未満" dataDxfId="489" totalsRowDxfId="488"/>
    <tableColumn id="13" name="12_7年～8年未満" dataDxfId="487" totalsRowDxfId="486"/>
    <tableColumn id="14" name="13_8年～9年未満" dataDxfId="485" totalsRowDxfId="484"/>
    <tableColumn id="15" name="14_9年～10年未満" dataDxfId="483" totalsRowDxfId="482"/>
    <tableColumn id="16" name="15_10年～20年未満" dataDxfId="481" totalsRowDxfId="480"/>
    <tableColumn id="17" name="16_ 20年以上" dataDxfId="479" totalsRowDxfId="478"/>
  </tableColumns>
  <tableStyleInfo name="TableStyleMedium2" showFirstColumn="0" showLastColumn="0" showRowStripes="1" showColumnStripes="0"/>
</table>
</file>

<file path=xl/tables/table39.xml><?xml version="1.0" encoding="utf-8"?>
<table xmlns="http://schemas.openxmlformats.org/spreadsheetml/2006/main" id="43" name="阻害要因有無×在院期間区分＿寛解・院内寛解" displayName="阻害要因有無×在院期間区分＿寛解・院内寛解" ref="L41:AB43" totalsRowShown="0" headerRowDxfId="477" dataDxfId="476">
  <autoFilter ref="L41:AB43">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autoFilter>
  <tableColumns count="17">
    <tableColumn id="1" name="行ラベル" dataDxfId="475"/>
    <tableColumn id="2" name="01_1ヶ月未満" dataDxfId="474"/>
    <tableColumn id="3" name="02_1ヶ月～3ヶ月未満" dataDxfId="473"/>
    <tableColumn id="4" name="03_3ヶ月～6ヶ月未満" dataDxfId="472"/>
    <tableColumn id="5" name="04_6ヶ月～1年未満" dataDxfId="471"/>
    <tableColumn id="6" name="05_1年～1年6ヶ月未満" dataDxfId="470"/>
    <tableColumn id="7" name="06_1年6ヶ月～2年未満" dataDxfId="469"/>
    <tableColumn id="8" name="07_2年～3年未満" dataDxfId="468"/>
    <tableColumn id="9" name="08_3年～4年未満" dataDxfId="467"/>
    <tableColumn id="10" name="09_4年～5年未満" dataDxfId="466"/>
    <tableColumn id="11" name="10_5年～6年未満" dataDxfId="465"/>
    <tableColumn id="12" name="11_6年～7年未満" dataDxfId="464"/>
    <tableColumn id="13" name="12_7年～8年未満" dataDxfId="463"/>
    <tableColumn id="14" name="13_8年～9年未満" dataDxfId="462"/>
    <tableColumn id="15" name="14_9年～10年未満" dataDxfId="461"/>
    <tableColumn id="16" name="15_10年～20年未満" dataDxfId="460"/>
    <tableColumn id="17" name="16_ 20年以上" dataDxfId="459"/>
  </tableColumns>
  <tableStyleInfo name="TableStyleMedium2" showFirstColumn="0" showLastColumn="0" showRowStripes="1" showColumnStripes="0"/>
</table>
</file>

<file path=xl/tables/table4.xml><?xml version="1.0" encoding="utf-8"?>
<table xmlns="http://schemas.openxmlformats.org/spreadsheetml/2006/main" id="3" name="入院形態" displayName="入院形態" ref="G4:H11" totalsRowShown="0" headerRowDxfId="637">
  <autoFilter ref="G4:H11">
    <filterColumn colId="0" hiddenButton="1"/>
    <filterColumn colId="1" hiddenButton="1"/>
  </autoFilter>
  <tableColumns count="2">
    <tableColumn id="1" name="行ラベル" dataDxfId="636"/>
    <tableColumn id="2" name="データの個数 / 入院" dataDxfId="635"/>
  </tableColumns>
  <tableStyleInfo name="TableStyleMedium2" showFirstColumn="0" showLastColumn="0" showRowStripes="1" showColumnStripes="0"/>
</table>
</file>

<file path=xl/tables/table40.xml><?xml version="1.0" encoding="utf-8"?>
<table xmlns="http://schemas.openxmlformats.org/spreadsheetml/2006/main" id="44" name="阻害要因×在院期間区分＿寛解・院内寛解" displayName="阻害要因×在院期間区分＿寛解・院内寛解" ref="L45:AB63" totalsRowShown="0" headerRowDxfId="458" dataDxfId="457">
  <autoFilter ref="L45:AB63">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autoFilter>
  <tableColumns count="17">
    <tableColumn id="1" name="値" dataDxfId="456"/>
    <tableColumn id="2" name="01_1ヶ月未満" dataDxfId="455"/>
    <tableColumn id="3" name="02_1ヶ月～3ヶ月未満" dataDxfId="454"/>
    <tableColumn id="4" name="03_3ヶ月～6ヶ月未満" dataDxfId="453"/>
    <tableColumn id="5" name="04_6ヶ月～1年未満" dataDxfId="452"/>
    <tableColumn id="6" name="05_1年～1年6ヶ月未満" dataDxfId="451"/>
    <tableColumn id="7" name="06_1年6ヶ月～2年未満" dataDxfId="450"/>
    <tableColumn id="8" name="07_2年～3年未満" dataDxfId="449"/>
    <tableColumn id="9" name="08_3年～4年未満" dataDxfId="448"/>
    <tableColumn id="10" name="09_4年～5年未満" dataDxfId="447"/>
    <tableColumn id="11" name="10_5年～6年未満" dataDxfId="446"/>
    <tableColumn id="12" name="11_6年～7年未満" dataDxfId="445"/>
    <tableColumn id="13" name="12_7年～8年未満" dataDxfId="444"/>
    <tableColumn id="14" name="13_8年～9年未満" dataDxfId="443"/>
    <tableColumn id="15" name="14_9年～10年未満" dataDxfId="442"/>
    <tableColumn id="16" name="15_10年～20年未満" dataDxfId="441"/>
    <tableColumn id="17" name="16_ 20年以上" dataDxfId="440"/>
  </tableColumns>
  <tableStyleInfo name="TableStyleMedium2" showFirstColumn="0" showLastColumn="0" showRowStripes="1" showColumnStripes="0"/>
</table>
</file>

<file path=xl/tables/table41.xml><?xml version="1.0" encoding="utf-8"?>
<table xmlns="http://schemas.openxmlformats.org/spreadsheetml/2006/main" id="38" name="退院予定有無×在院期間区分" displayName="退院予定有無×在院期間区分" ref="L3:AB6" totalsRowShown="0" headerRowDxfId="439" dataDxfId="438">
  <autoFilter ref="L3:AB6">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autoFilter>
  <tableColumns count="17">
    <tableColumn id="1" name="行ラベル" dataDxfId="437"/>
    <tableColumn id="2" name="01_1ヶ月未満" dataDxfId="436"/>
    <tableColumn id="3" name="02_1ヶ月～3ヶ月未満" dataDxfId="435"/>
    <tableColumn id="4" name="03_3ヶ月～6ヶ月未満" dataDxfId="434"/>
    <tableColumn id="5" name="04_6ヶ月～1年未満" dataDxfId="433"/>
    <tableColumn id="6" name="05_1年～1年6ヶ月未満" dataDxfId="432"/>
    <tableColumn id="7" name="06_1年6ヶ月～2年未満" dataDxfId="431"/>
    <tableColumn id="8" name="07_2年～3年未満" dataDxfId="430"/>
    <tableColumn id="9" name="08_3年～4年未満" dataDxfId="429"/>
    <tableColumn id="10" name="09_4年～5年未満" dataDxfId="428"/>
    <tableColumn id="11" name="10_5年～6年未満" dataDxfId="427"/>
    <tableColumn id="12" name="11_6年～7年未満" dataDxfId="426"/>
    <tableColumn id="13" name="12_7年～8年未満" dataDxfId="425"/>
    <tableColumn id="14" name="13_8年～9年未満" dataDxfId="424"/>
    <tableColumn id="15" name="14_9年～10年未満" dataDxfId="423"/>
    <tableColumn id="16" name="15_10年～20年未満" dataDxfId="422"/>
    <tableColumn id="17" name="16_ 20年以上" dataDxfId="421"/>
  </tableColumns>
  <tableStyleInfo name="TableStyleMedium2" showFirstColumn="0" showLastColumn="0" showRowStripes="1" showColumnStripes="0"/>
</table>
</file>

<file path=xl/tables/table42.xml><?xml version="1.0" encoding="utf-8"?>
<table xmlns="http://schemas.openxmlformats.org/spreadsheetml/2006/main" id="17" name="退院予定有無×疾患名＿寛解・院内寛解" displayName="退院予定有無×疾患名＿寛解・院内寛解" ref="L37:AC40" totalsRowShown="0" headerRowDxfId="420" dataDxfId="419">
  <autoFilter ref="L37:AC4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autoFilter>
  <tableColumns count="18">
    <tableColumn id="1" name="行ラベル" dataDxfId="418"/>
    <tableColumn id="2" name="F00アルツハイマー病型認知症" dataDxfId="417"/>
    <tableColumn id="3" name="F01血管性認知症" dataDxfId="416"/>
    <tableColumn id="4" name="F02-09上記以外の症状性を含む器質性精神障害" dataDxfId="415"/>
    <tableColumn id="5" name="F10アルコール使用による精神及び行動の障害" dataDxfId="414"/>
    <tableColumn id="6" name="アルコール覚せい剤を除く精神作用物質使用による精神及び行動の障害※" dataDxfId="413"/>
    <tableColumn id="7" name="覚せい剤による精神及び行動の障害※" dataDxfId="412"/>
    <tableColumn id="8" name="F2統合失調症、統合失調症型障害及び妄想性障害" dataDxfId="411"/>
    <tableColumn id="9" name="F30‐31　躁病エピソード・双極性感情障害［躁うつ病］" dataDxfId="410"/>
    <tableColumn id="10" name="F32-39　その他の気分障害" dataDxfId="409"/>
    <tableColumn id="11" name="F4神経症性障害、ストレス関連障害及び身体表現性障害" dataDxfId="408"/>
    <tableColumn id="12" name="F5生理的障害及び身体的要因に関連した行動症候群" dataDxfId="407"/>
    <tableColumn id="13" name="F6成人のパーソナリティ及び行動の障害" dataDxfId="406"/>
    <tableColumn id="14" name="F7精神遅滞〔知的障害〕" dataDxfId="405"/>
    <tableColumn id="15" name="F8心理的発達の障害" dataDxfId="404"/>
    <tableColumn id="16" name="F9小児期及び青年期に通常発症する行動及び情緒の障害及び特定不能の精神障害" dataDxfId="403"/>
    <tableColumn id="17" name="てんかん（F0に属さないものを計上する）" dataDxfId="402"/>
    <tableColumn id="18" name="その他" dataDxfId="401"/>
  </tableColumns>
  <tableStyleInfo name="TableStyleMedium2" showFirstColumn="0" showLastColumn="0" showRowStripes="1" showColumnStripes="0"/>
</table>
</file>

<file path=xl/tables/table43.xml><?xml version="1.0" encoding="utf-8"?>
<table xmlns="http://schemas.openxmlformats.org/spreadsheetml/2006/main" id="18" name="退院予定有無×疾患名" displayName="退院予定有無×疾患名" ref="L4:AC7" totalsRowShown="0" headerRowDxfId="400" dataDxfId="399">
  <autoFilter ref="L4:AC7">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autoFilter>
  <tableColumns count="18">
    <tableColumn id="1" name="行ラベル" dataDxfId="398"/>
    <tableColumn id="2" name="F00アルツハイマー病型認知症" dataDxfId="397"/>
    <tableColumn id="3" name="F01血管性認知症" dataDxfId="396"/>
    <tableColumn id="4" name="F02-09上記以外の症状性を含む器質性精神障害" dataDxfId="395"/>
    <tableColumn id="5" name="F10アルコール使用による精神及び行動の障害" dataDxfId="394"/>
    <tableColumn id="6" name="アルコール覚せい剤を除く精神作用物質使用による精神及び行動の障害※" dataDxfId="393"/>
    <tableColumn id="7" name="覚せい剤による精神及び行動の障害※" dataDxfId="392"/>
    <tableColumn id="8" name="F2統合失調症、統合失調症型障害及び妄想性障害" dataDxfId="391"/>
    <tableColumn id="9" name="F30‐31　躁病エピソード・双極性感情障害［躁うつ病］" dataDxfId="390"/>
    <tableColumn id="10" name="F32-39　その他の気分障害" dataDxfId="389"/>
    <tableColumn id="11" name="F4神経症性障害、ストレス関連障害及び身体表現性障害" dataDxfId="388"/>
    <tableColumn id="12" name="F5生理的障害及び身体的要因に関連した行動症候群" dataDxfId="387"/>
    <tableColumn id="13" name="F6成人のパーソナリティ及び行動の障害" dataDxfId="386"/>
    <tableColumn id="14" name="F7精神遅滞〔知的障害〕" dataDxfId="385"/>
    <tableColumn id="15" name="F8心理的発達の障害" dataDxfId="384"/>
    <tableColumn id="16" name="F9小児期及び青年期に通常発症する行動及び情緒の障害及び特定不能の精神障害" dataDxfId="383"/>
    <tableColumn id="17" name="てんかん（F0に属さないものを計上する）" dataDxfId="382"/>
    <tableColumn id="18" name="その他" dataDxfId="381"/>
  </tableColumns>
  <tableStyleInfo name="TableStyleMedium2" showFirstColumn="0" showLastColumn="0" showRowStripes="1" showColumnStripes="0"/>
</table>
</file>

<file path=xl/tables/table44.xml><?xml version="1.0" encoding="utf-8"?>
<table xmlns="http://schemas.openxmlformats.org/spreadsheetml/2006/main" id="41" name="阻害要因有無×疾患名" displayName="阻害要因有無×疾患名" ref="L10:AC12" totalsRowShown="0" headerRowDxfId="380" dataDxfId="379">
  <autoFilter ref="L10:AC12">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autoFilter>
  <tableColumns count="18">
    <tableColumn id="1" name="行ラベル" dataDxfId="378"/>
    <tableColumn id="2" name="F00アルツハイマー病型認知症" dataDxfId="377"/>
    <tableColumn id="3" name="F01血管性認知症" dataDxfId="376"/>
    <tableColumn id="4" name="F02-09上記以外の症状性を含む器質性精神障害" dataDxfId="375"/>
    <tableColumn id="5" name="F10アルコール使用による精神及び行動の障害" dataDxfId="374"/>
    <tableColumn id="6" name="アルコール覚せい剤を除く精神作用物質使用による精神及び行動の障害※" dataDxfId="373"/>
    <tableColumn id="7" name="覚せい剤による精神及び行動の障害※" dataDxfId="372"/>
    <tableColumn id="8" name="F2統合失調症、統合失調症型障害及び妄想性障害" dataDxfId="371"/>
    <tableColumn id="9" name="F30‐31　躁病エピソード・双極性感情障害［躁うつ病］" dataDxfId="370"/>
    <tableColumn id="10" name="F32-39　その他の気分障害" dataDxfId="369"/>
    <tableColumn id="11" name="F4神経症性障害、ストレス関連障害及び身体表現性障害" dataDxfId="368"/>
    <tableColumn id="12" name="F5生理的障害及び身体的要因に関連した行動症候群" dataDxfId="367"/>
    <tableColumn id="13" name="F6成人のパーソナリティ及び行動の障害" dataDxfId="366"/>
    <tableColumn id="14" name="F7精神遅滞〔知的障害〕" dataDxfId="365"/>
    <tableColumn id="15" name="F8心理的発達の障害" dataDxfId="364"/>
    <tableColumn id="16" name="F9小児期及び青年期に通常発症する行動及び情緒の障害及び特定不能の精神障害" dataDxfId="363"/>
    <tableColumn id="17" name="てんかん（F0に属さないものを計上する）" dataDxfId="362"/>
    <tableColumn id="18" name="その他" dataDxfId="361"/>
  </tableColumns>
  <tableStyleInfo name="TableStyleMedium2" showFirstColumn="0" showLastColumn="0" showRowStripes="1" showColumnStripes="0"/>
</table>
</file>

<file path=xl/tables/table45.xml><?xml version="1.0" encoding="utf-8"?>
<table xmlns="http://schemas.openxmlformats.org/spreadsheetml/2006/main" id="45" name="阻害要因×疾患名" displayName="阻害要因×疾患名" ref="L14:AC32" totalsRowShown="0" headerRowDxfId="360" dataDxfId="359">
  <autoFilter ref="L14:AC32">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autoFilter>
  <tableColumns count="18">
    <tableColumn id="1" name="値" dataDxfId="358"/>
    <tableColumn id="2" name="F00アルツハイマー病型認知症" dataDxfId="357"/>
    <tableColumn id="3" name="F01血管性認知症" dataDxfId="356"/>
    <tableColumn id="4" name="F02-09上記以外の症状性を含む器質性精神障害" dataDxfId="355"/>
    <tableColumn id="5" name="F10アルコール使用による精神及び行動の障害" dataDxfId="354"/>
    <tableColumn id="6" name="アルコール覚せい剤を除く精神作用物質使用による精神及び行動の障害※" dataDxfId="353"/>
    <tableColumn id="7" name="覚せい剤による精神及び行動の障害※" dataDxfId="352"/>
    <tableColumn id="8" name="F2統合失調症、統合失調症型障害及び妄想性障害" dataDxfId="351"/>
    <tableColumn id="9" name="F30‐31　躁病エピソード・双極性感情障害［躁うつ病］" dataDxfId="350"/>
    <tableColumn id="10" name="F32-39　その他の気分障害" dataDxfId="349"/>
    <tableColumn id="11" name="F4神経症性障害、ストレス関連障害及び身体表現性障害" dataDxfId="348"/>
    <tableColumn id="12" name="F5生理的障害及び身体的要因に関連した行動症候群" dataDxfId="347"/>
    <tableColumn id="13" name="F6成人のパーソナリティ及び行動の障害" dataDxfId="346"/>
    <tableColumn id="14" name="F7精神遅滞〔知的障害〕" dataDxfId="345"/>
    <tableColumn id="15" name="F8心理的発達の障害" dataDxfId="344"/>
    <tableColumn id="16" name="F9小児期及び青年期に通常発症する行動及び情緒の障害及び特定不能の精神障害" dataDxfId="343"/>
    <tableColumn id="17" name="てんかん（F0に属さないものを計上する）" dataDxfId="342"/>
    <tableColumn id="18" name="その他" dataDxfId="341"/>
  </tableColumns>
  <tableStyleInfo name="TableStyleMedium2" showFirstColumn="0" showLastColumn="0" showRowStripes="1" showColumnStripes="0"/>
</table>
</file>

<file path=xl/tables/table46.xml><?xml version="1.0" encoding="utf-8"?>
<table xmlns="http://schemas.openxmlformats.org/spreadsheetml/2006/main" id="46" name="阻害要因有無×疾患名＿寛解・院内寛解" displayName="阻害要因有無×疾患名＿寛解・院内寛解" ref="L43:AC45" totalsRowShown="0" headerRowDxfId="340" dataDxfId="339">
  <autoFilter ref="L43:AC45">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autoFilter>
  <tableColumns count="18">
    <tableColumn id="1" name="行ラベル" dataDxfId="338"/>
    <tableColumn id="2" name="F00アルツハイマー病型認知症" dataDxfId="337"/>
    <tableColumn id="3" name="F01血管性認知症" dataDxfId="336"/>
    <tableColumn id="4" name="F02-09上記以外の症状性を含む器質性精神障害" dataDxfId="335"/>
    <tableColumn id="5" name="F10アルコール使用による精神及び行動の障害" dataDxfId="334"/>
    <tableColumn id="6" name="アルコール覚せい剤を除く精神作用物質使用による精神及び行動の障害※" dataDxfId="333"/>
    <tableColumn id="7" name="覚せい剤による精神及び行動の障害※" dataDxfId="332"/>
    <tableColumn id="8" name="F2統合失調症、統合失調症型障害及び妄想性障害" dataDxfId="331"/>
    <tableColumn id="9" name="F30‐31　躁病エピソード・双極性感情障害［躁うつ病］" dataDxfId="330"/>
    <tableColumn id="10" name="F32-39　その他の気分障害" dataDxfId="329"/>
    <tableColumn id="11" name="F4神経症性障害、ストレス関連障害及び身体表現性障害" dataDxfId="328"/>
    <tableColumn id="12" name="F5生理的障害及び身体的要因に関連した行動症候群" dataDxfId="327"/>
    <tableColumn id="13" name="F6成人のパーソナリティ及び行動の障害" dataDxfId="326"/>
    <tableColumn id="14" name="F7精神遅滞〔知的障害〕" dataDxfId="325"/>
    <tableColumn id="15" name="F8心理的発達の障害" dataDxfId="324"/>
    <tableColumn id="16" name="F9小児期及び青年期に通常発症する行動及び情緒の障害及び特定不能の精神障害" dataDxfId="323"/>
    <tableColumn id="17" name="てんかん（F0に属さないものを計上する）" dataDxfId="322"/>
    <tableColumn id="18" name="その他" dataDxfId="321"/>
  </tableColumns>
  <tableStyleInfo name="TableStyleMedium2" showFirstColumn="0" showLastColumn="0" showRowStripes="1" showColumnStripes="0"/>
</table>
</file>

<file path=xl/tables/table47.xml><?xml version="1.0" encoding="utf-8"?>
<table xmlns="http://schemas.openxmlformats.org/spreadsheetml/2006/main" id="47" name="阻害要因×疾患名＿寛解・院内寛解" displayName="阻害要因×疾患名＿寛解・院内寛解" ref="L47:AC65" totalsRowShown="0" headerRowDxfId="320" dataDxfId="319">
  <autoFilter ref="L47:AC65">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autoFilter>
  <tableColumns count="18">
    <tableColumn id="1" name="値" dataDxfId="318"/>
    <tableColumn id="2" name="F00アルツハイマー病型認知症" dataDxfId="317"/>
    <tableColumn id="3" name="F01血管性認知症" dataDxfId="316"/>
    <tableColumn id="4" name="F02-09上記以外の症状性を含む器質性精神障害" dataDxfId="315"/>
    <tableColumn id="5" name="F10アルコール使用による精神及び行動の障害" dataDxfId="314"/>
    <tableColumn id="6" name="アルコール覚せい剤を除く精神作用物質使用による精神及び行動の障害※" dataDxfId="313"/>
    <tableColumn id="7" name="覚せい剤による精神及び行動の障害※" dataDxfId="312"/>
    <tableColumn id="8" name="F2統合失調症、統合失調症型障害及び妄想性障害" dataDxfId="311"/>
    <tableColumn id="9" name="F30‐31　躁病エピソード・双極性感情障害［躁うつ病］" dataDxfId="310"/>
    <tableColumn id="10" name="F32-39　その他の気分障害" dataDxfId="309"/>
    <tableColumn id="11" name="F4神経症性障害、ストレス関連障害及び身体表現性障害" dataDxfId="308"/>
    <tableColumn id="12" name="F5生理的障害及び身体的要因に関連した行動症候群" dataDxfId="307"/>
    <tableColumn id="13" name="F6成人のパーソナリティ及び行動の障害" dataDxfId="306"/>
    <tableColumn id="14" name="F7精神遅滞〔知的障害〕" dataDxfId="305"/>
    <tableColumn id="15" name="F8心理的発達の障害" dataDxfId="304"/>
    <tableColumn id="16" name="F9小児期及び青年期に通常発症する行動及び情緒の障害及び特定不能の精神障害" dataDxfId="303"/>
    <tableColumn id="17" name="てんかん（F0に属さないものを計上する）" dataDxfId="302"/>
    <tableColumn id="18" name="その他" dataDxfId="301"/>
  </tableColumns>
  <tableStyleInfo name="TableStyleMedium2" showFirstColumn="0" showLastColumn="0" showRowStripes="1" showColumnStripes="0"/>
</table>
</file>

<file path=xl/tables/table48.xml><?xml version="1.0" encoding="utf-8"?>
<table xmlns="http://schemas.openxmlformats.org/spreadsheetml/2006/main" id="48" name="年齢階層×在院期間区分F2" displayName="年齢階層×在院期間区分F2" ref="O3:AE12" totalsRowShown="0" headerRowDxfId="300" dataDxfId="299">
  <autoFilter ref="O3:AE12">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autoFilter>
  <tableColumns count="17">
    <tableColumn id="1" name="行ラベル" dataDxfId="298"/>
    <tableColumn id="2" name="01_1ヶ月未満" dataDxfId="297"/>
    <tableColumn id="3" name="02_1ヶ月～3ヶ月未満" dataDxfId="296"/>
    <tableColumn id="4" name="03_3ヶ月～6ヶ月未満" dataDxfId="295"/>
    <tableColumn id="5" name="04_6ヶ月～1年未満" dataDxfId="294"/>
    <tableColumn id="6" name="05_1年～1年6ヶ月未満" dataDxfId="293"/>
    <tableColumn id="7" name="06_1年6ヶ月～2年未満" dataDxfId="292"/>
    <tableColumn id="8" name="07_2年～3年未満" dataDxfId="291"/>
    <tableColumn id="9" name="08_3年～4年未満" dataDxfId="290"/>
    <tableColumn id="10" name="09_4年～5年未満" dataDxfId="289"/>
    <tableColumn id="11" name="10_5年～6年未満" dataDxfId="288"/>
    <tableColumn id="12" name="11_6年～7年未満" dataDxfId="287"/>
    <tableColumn id="13" name="12_7年～8年未満" dataDxfId="286"/>
    <tableColumn id="14" name="13_8年～9年未満" dataDxfId="285"/>
    <tableColumn id="15" name="14_9年～10年未満" dataDxfId="284"/>
    <tableColumn id="16" name="15_10年～20年未満" dataDxfId="283"/>
    <tableColumn id="17" name="16_ 20年以上" dataDxfId="282"/>
  </tableColumns>
  <tableStyleInfo name="TableStyleMedium2" showFirstColumn="0" showLastColumn="0" showRowStripes="1" showColumnStripes="0"/>
</table>
</file>

<file path=xl/tables/table49.xml><?xml version="1.0" encoding="utf-8"?>
<table xmlns="http://schemas.openxmlformats.org/spreadsheetml/2006/main" id="49" name="年齢階層×在院期間区分F2_65歳未満以上" displayName="年齢階層×在院期間区分F2_65歳未満以上" ref="O13:AE15" totalsRowShown="0" headerRowDxfId="281" dataDxfId="280">
  <autoFilter ref="O13:AE15">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autoFilter>
  <tableColumns count="17">
    <tableColumn id="1" name="列1" dataDxfId="279"/>
    <tableColumn id="2" name="01_1ヶ月未満" dataDxfId="278"/>
    <tableColumn id="3" name="02_1ヶ月～3ヶ月未満" dataDxfId="277"/>
    <tableColumn id="4" name="03_3ヶ月～6ヶ月未満" dataDxfId="276"/>
    <tableColumn id="5" name="04_6ヶ月～1年未満" dataDxfId="275"/>
    <tableColumn id="6" name="05_1年～1年6ヶ月未満" dataDxfId="274"/>
    <tableColumn id="7" name="06_1年6ヶ月～2年未満" dataDxfId="273"/>
    <tableColumn id="8" name="07_2年～3年未満" dataDxfId="272"/>
    <tableColumn id="9" name="08_3年～4年未満" dataDxfId="271"/>
    <tableColumn id="10" name="09_4年～5年未満" dataDxfId="270"/>
    <tableColumn id="11" name="10_5年～6年未満" dataDxfId="269"/>
    <tableColumn id="12" name="11_6年～7年未満" dataDxfId="268"/>
    <tableColumn id="13" name="12_7年～8年未満" dataDxfId="267"/>
    <tableColumn id="14" name="13_8年～9年未満" dataDxfId="266"/>
    <tableColumn id="15" name="14_9年～10年未満" dataDxfId="265"/>
    <tableColumn id="16" name="15_10年～20年未満" dataDxfId="264"/>
    <tableColumn id="17" name="16_ 20年以上" dataDxfId="263"/>
  </tableColumns>
  <tableStyleInfo name="TableStyleMedium2" showFirstColumn="0" showLastColumn="0" showRowStripes="1" showColumnStripes="0"/>
</table>
</file>

<file path=xl/tables/table5.xml><?xml version="1.0" encoding="utf-8"?>
<table xmlns="http://schemas.openxmlformats.org/spreadsheetml/2006/main" id="5" name="入院形態_寛解" displayName="入院形態_寛解" ref="G14:H21" totalsRowShown="0" headerRowDxfId="634">
  <autoFilter ref="G14:H21">
    <filterColumn colId="0" hiddenButton="1"/>
    <filterColumn colId="1" hiddenButton="1"/>
  </autoFilter>
  <tableColumns count="2">
    <tableColumn id="1" name="行ラベル" dataDxfId="633"/>
    <tableColumn id="2" name="データの個数 / 入院" dataDxfId="632"/>
  </tableColumns>
  <tableStyleInfo name="TableStyleMedium2" showFirstColumn="0" showLastColumn="0" showRowStripes="1" showColumnStripes="0"/>
</table>
</file>

<file path=xl/tables/table50.xml><?xml version="1.0" encoding="utf-8"?>
<table xmlns="http://schemas.openxmlformats.org/spreadsheetml/2006/main" id="50" name="年齢階層×在院期間区分F2＿寛解・院内寛解" displayName="年齢階層×在院期間区分F2＿寛解・院内寛解" ref="O19:AE28" totalsRowShown="0" headerRowDxfId="262" dataDxfId="261">
  <autoFilter ref="O19:AE2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autoFilter>
  <tableColumns count="17">
    <tableColumn id="1" name="行ラベル" dataDxfId="260"/>
    <tableColumn id="2" name="01_1ヶ月未満" dataDxfId="259"/>
    <tableColumn id="3" name="02_1ヶ月～3ヶ月未満" dataDxfId="258"/>
    <tableColumn id="4" name="03_3ヶ月～6ヶ月未満" dataDxfId="257"/>
    <tableColumn id="5" name="04_6ヶ月～1年未満" dataDxfId="256"/>
    <tableColumn id="6" name="05_1年～1年6ヶ月未満" dataDxfId="255"/>
    <tableColumn id="7" name="06_1年6ヶ月～2年未満" dataDxfId="254"/>
    <tableColumn id="8" name="07_2年～3年未満" dataDxfId="253"/>
    <tableColumn id="9" name="08_3年～4年未満" dataDxfId="252"/>
    <tableColumn id="10" name="09_4年～5年未満" dataDxfId="251"/>
    <tableColumn id="11" name="10_5年～6年未満" dataDxfId="250"/>
    <tableColumn id="12" name="11_6年～7年未満" dataDxfId="249"/>
    <tableColumn id="13" name="12_7年～8年未満" dataDxfId="248"/>
    <tableColumn id="14" name="13_8年～9年未満" dataDxfId="247"/>
    <tableColumn id="15" name="14_9年～10年未満" dataDxfId="246"/>
    <tableColumn id="16" name="15_10年～20年未満" dataDxfId="245"/>
    <tableColumn id="17" name="16_ 20年以上" dataDxfId="244"/>
  </tableColumns>
  <tableStyleInfo name="TableStyleMedium2" showFirstColumn="0" showLastColumn="0" showRowStripes="1" showColumnStripes="0"/>
</table>
</file>

<file path=xl/tables/table51.xml><?xml version="1.0" encoding="utf-8"?>
<table xmlns="http://schemas.openxmlformats.org/spreadsheetml/2006/main" id="51" name="年齢階層×在院期間区分F2_65歳未満以上＿寛解・院内寛解" displayName="年齢階層×在院期間区分F2_65歳未満以上＿寛解・院内寛解" ref="O29:AE31" totalsRowShown="0" headerRowDxfId="243">
  <autoFilter ref="O29:AE3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autoFilter>
  <tableColumns count="17">
    <tableColumn id="1" name="列1" dataDxfId="242"/>
    <tableColumn id="2" name="01_1ヶ月未満" dataDxfId="241"/>
    <tableColumn id="3" name="02_1ヶ月～3ヶ月未満" dataDxfId="240"/>
    <tableColumn id="4" name="03_3ヶ月～6ヶ月未満" dataDxfId="239"/>
    <tableColumn id="5" name="04_6ヶ月～1年未満" dataDxfId="238"/>
    <tableColumn id="6" name="05_1年～1年6ヶ月未満" dataDxfId="237"/>
    <tableColumn id="7" name="06_1年6ヶ月～2年未満" dataDxfId="236"/>
    <tableColumn id="8" name="07_2年～3年未満" dataDxfId="235"/>
    <tableColumn id="9" name="08_3年～4年未満" dataDxfId="234"/>
    <tableColumn id="10" name="09_4年～5年未満" dataDxfId="233"/>
    <tableColumn id="11" name="10_5年～6年未満" dataDxfId="232"/>
    <tableColumn id="12" name="11_6年～7年未満" dataDxfId="231"/>
    <tableColumn id="13" name="12_7年～8年未満" dataDxfId="230"/>
    <tableColumn id="14" name="13_8年～9年未満" dataDxfId="229"/>
    <tableColumn id="15" name="14_9年～10年未満" dataDxfId="228"/>
    <tableColumn id="16" name="15_10年～20年未満" dataDxfId="227"/>
    <tableColumn id="17" name="16_ 20年以上" dataDxfId="226"/>
  </tableColumns>
  <tableStyleInfo name="TableStyleMedium2" showFirstColumn="0" showLastColumn="0" showRowStripes="1" showColumnStripes="0"/>
</table>
</file>

<file path=xl/tables/table52.xml><?xml version="1.0" encoding="utf-8"?>
<table xmlns="http://schemas.openxmlformats.org/spreadsheetml/2006/main" id="52" name="年齢階層×在院期間区分F00F01" displayName="年齢階層×在院期間区分F00F01" ref="O3:AE12" totalsRowShown="0" headerRowDxfId="225" dataDxfId="224">
  <autoFilter ref="O3:AE12">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autoFilter>
  <tableColumns count="17">
    <tableColumn id="1" name="行ラベル" dataDxfId="223"/>
    <tableColumn id="2" name="01_1ヶ月未満" dataDxfId="222"/>
    <tableColumn id="3" name="02_1ヶ月～3ヶ月未満" dataDxfId="221"/>
    <tableColumn id="4" name="03_3ヶ月～6ヶ月未満" dataDxfId="220"/>
    <tableColumn id="5" name="04_6ヶ月～1年未満" dataDxfId="219"/>
    <tableColumn id="6" name="05_1年～1年6ヶ月未満" dataDxfId="218"/>
    <tableColumn id="7" name="06_1年6ヶ月～2年未満" dataDxfId="217"/>
    <tableColumn id="8" name="07_2年～3年未満" dataDxfId="216"/>
    <tableColumn id="9" name="08_3年～4年未満" dataDxfId="215"/>
    <tableColumn id="10" name="09_4年～5年未満" dataDxfId="214"/>
    <tableColumn id="11" name="10_5年～6年未満" dataDxfId="213"/>
    <tableColumn id="12" name="11_6年～7年未満" dataDxfId="212"/>
    <tableColumn id="13" name="12_7年～8年未満" dataDxfId="211"/>
    <tableColumn id="14" name="13_8年～9年未満" dataDxfId="210"/>
    <tableColumn id="15" name="14_9年～10年未満" dataDxfId="209"/>
    <tableColumn id="16" name="15_10年～20年未満" dataDxfId="208"/>
    <tableColumn id="17" name="16_ 20年以上" dataDxfId="207"/>
  </tableColumns>
  <tableStyleInfo name="TableStyleMedium2" showFirstColumn="0" showLastColumn="0" showRowStripes="1" showColumnStripes="0"/>
</table>
</file>

<file path=xl/tables/table53.xml><?xml version="1.0" encoding="utf-8"?>
<table xmlns="http://schemas.openxmlformats.org/spreadsheetml/2006/main" id="53" name="年齢階層×在院期間区分F00F01_65歳未満以上" displayName="年齢階層×在院期間区分F00F01_65歳未満以上" ref="O13:AE15" totalsRowShown="0" headerRowDxfId="206" dataDxfId="205">
  <autoFilter ref="O13:AE15">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autoFilter>
  <tableColumns count="17">
    <tableColumn id="1" name="列1" dataDxfId="204"/>
    <tableColumn id="2" name="01_1ヶ月未満" dataDxfId="203"/>
    <tableColumn id="3" name="02_1ヶ月～3ヶ月未満" dataDxfId="202"/>
    <tableColumn id="4" name="03_3ヶ月～6ヶ月未満" dataDxfId="201"/>
    <tableColumn id="5" name="04_6ヶ月～1年未満" dataDxfId="200"/>
    <tableColumn id="6" name="05_1年～1年6ヶ月未満" dataDxfId="199"/>
    <tableColumn id="7" name="06_1年6ヶ月～2年未満" dataDxfId="198"/>
    <tableColumn id="8" name="07_2年～3年未満" dataDxfId="197"/>
    <tableColumn id="9" name="08_3年～4年未満" dataDxfId="196"/>
    <tableColumn id="10" name="09_4年～5年未満" dataDxfId="195"/>
    <tableColumn id="11" name="10_5年～6年未満" dataDxfId="194"/>
    <tableColumn id="12" name="11_6年～7年未満" dataDxfId="193"/>
    <tableColumn id="13" name="12_7年～8年未満" dataDxfId="192"/>
    <tableColumn id="14" name="13_8年～9年未満" dataDxfId="191"/>
    <tableColumn id="15" name="14_9年～10年未満" dataDxfId="190"/>
    <tableColumn id="16" name="15_10年～20年未満" dataDxfId="189"/>
    <tableColumn id="17" name="16_ 20年以上" dataDxfId="188"/>
  </tableColumns>
  <tableStyleInfo name="TableStyleMedium2" showFirstColumn="0" showLastColumn="0" showRowStripes="1" showColumnStripes="0"/>
</table>
</file>

<file path=xl/tables/table54.xml><?xml version="1.0" encoding="utf-8"?>
<table xmlns="http://schemas.openxmlformats.org/spreadsheetml/2006/main" id="54" name="年齢階層×在院期間区分F00F01＿寛解・院内寛解" displayName="年齢階層×在院期間区分F00F01＿寛解・院内寛解" ref="O19:AE28" totalsRowShown="0" headerRowDxfId="187" dataDxfId="186">
  <autoFilter ref="O19:AE2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autoFilter>
  <tableColumns count="17">
    <tableColumn id="1" name="行ラベル" dataDxfId="185"/>
    <tableColumn id="2" name="01_1ヶ月未満" dataDxfId="184"/>
    <tableColumn id="3" name="02_1ヶ月～3ヶ月未満" dataDxfId="183"/>
    <tableColumn id="4" name="03_3ヶ月～6ヶ月未満" dataDxfId="182"/>
    <tableColumn id="5" name="04_6ヶ月～1年未満" dataDxfId="181"/>
    <tableColumn id="6" name="05_1年～1年6ヶ月未満" dataDxfId="180"/>
    <tableColumn id="7" name="06_1年6ヶ月～2年未満" dataDxfId="179"/>
    <tableColumn id="8" name="07_2年～3年未満" dataDxfId="178"/>
    <tableColumn id="9" name="08_3年～4年未満" dataDxfId="177"/>
    <tableColumn id="10" name="09_4年～5年未満" dataDxfId="176"/>
    <tableColumn id="11" name="10_5年～6年未満" dataDxfId="175"/>
    <tableColumn id="12" name="12_7年～8年未満" dataDxfId="174"/>
    <tableColumn id="13" name="13_8年～9年未満" dataDxfId="173"/>
    <tableColumn id="14" name="列14" dataDxfId="172"/>
    <tableColumn id="15" name="列15" dataDxfId="171"/>
    <tableColumn id="16" name="列16" dataDxfId="170"/>
    <tableColumn id="17" name="列17" dataDxfId="169"/>
  </tableColumns>
  <tableStyleInfo name="TableStyleMedium2" showFirstColumn="0" showLastColumn="0" showRowStripes="1" showColumnStripes="0"/>
</table>
</file>

<file path=xl/tables/table55.xml><?xml version="1.0" encoding="utf-8"?>
<table xmlns="http://schemas.openxmlformats.org/spreadsheetml/2006/main" id="55" name="年齢階層×在院期間区分F00F01_65歳未満以上＿寛解・院内寛解" displayName="年齢階層×在院期間区分F00F01_65歳未満以上＿寛解・院内寛解" ref="O29:AE31" totalsRowShown="0" headerRowDxfId="168">
  <autoFilter ref="O29:AE3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autoFilter>
  <tableColumns count="17">
    <tableColumn id="1" name="列1" dataDxfId="167"/>
    <tableColumn id="2" name="01_1ヶ月未満" dataDxfId="166"/>
    <tableColumn id="3" name="02_1ヶ月～3ヶ月未満" dataDxfId="165"/>
    <tableColumn id="4" name="03_3ヶ月～6ヶ月未満" dataDxfId="164"/>
    <tableColumn id="5" name="04_6ヶ月～1年未満" dataDxfId="163"/>
    <tableColumn id="6" name="05_1年～1年6ヶ月未満" dataDxfId="162"/>
    <tableColumn id="7" name="06_1年6ヶ月～2年未満" dataDxfId="161"/>
    <tableColumn id="8" name="07_2年～3年未満" dataDxfId="160"/>
    <tableColumn id="9" name="08_3年～4年未満" dataDxfId="159"/>
    <tableColumn id="10" name="09_4年～5年未満" dataDxfId="158"/>
    <tableColumn id="11" name="10_5年～6年未満" dataDxfId="157"/>
    <tableColumn id="12" name="12_7年～8年未満" dataDxfId="156"/>
    <tableColumn id="13" name="13_8年～9年未満" dataDxfId="155"/>
    <tableColumn id="14" name="列14" dataDxfId="154"/>
    <tableColumn id="15" name="列15" dataDxfId="153"/>
    <tableColumn id="16" name="列16" dataDxfId="152"/>
    <tableColumn id="17" name="列17" dataDxfId="151"/>
  </tableColumns>
  <tableStyleInfo name="TableStyleMedium2" showFirstColumn="0" showLastColumn="0" showRowStripes="1" showColumnStripes="0"/>
</table>
</file>

<file path=xl/tables/table56.xml><?xml version="1.0" encoding="utf-8"?>
<table xmlns="http://schemas.openxmlformats.org/spreadsheetml/2006/main" id="56" name="年齢階層×在院期間区分F02F09" displayName="年齢階層×在院期間区分F02F09" ref="O4:AE13" totalsRowShown="0" headerRowDxfId="150" dataDxfId="149">
  <autoFilter ref="O4:AE13">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autoFilter>
  <tableColumns count="17">
    <tableColumn id="1" name="行ラベル" dataDxfId="148"/>
    <tableColumn id="2" name="01_1ヶ月未満" dataDxfId="147"/>
    <tableColumn id="3" name="02_1ヶ月～3ヶ月未満" dataDxfId="146"/>
    <tableColumn id="4" name="03_3ヶ月～6ヶ月未満" dataDxfId="145"/>
    <tableColumn id="5" name="04_6ヶ月～1年未満" dataDxfId="144"/>
    <tableColumn id="6" name="05_1年～1年6ヶ月未満" dataDxfId="143"/>
    <tableColumn id="7" name="06_1年6ヶ月～2年未満" dataDxfId="142"/>
    <tableColumn id="8" name="07_2年～3年未満" dataDxfId="141"/>
    <tableColumn id="9" name="08_3年～4年未満" dataDxfId="140"/>
    <tableColumn id="10" name="09_4年～5年未満" dataDxfId="139"/>
    <tableColumn id="11" name="10_5年～6年未満" dataDxfId="138"/>
    <tableColumn id="12" name="11_6年～7年未満" dataDxfId="137"/>
    <tableColumn id="13" name="12_7年～8年未満" dataDxfId="136"/>
    <tableColumn id="14" name="13_8年～9年未満" dataDxfId="135"/>
    <tableColumn id="15" name="14_9年～10年未満" dataDxfId="134"/>
    <tableColumn id="16" name="15_10年～20年未満" dataDxfId="133"/>
    <tableColumn id="17" name="16_ 20年以上" dataDxfId="132"/>
  </tableColumns>
  <tableStyleInfo name="TableStyleMedium2" showFirstColumn="0" showLastColumn="0" showRowStripes="1" showColumnStripes="0"/>
</table>
</file>

<file path=xl/tables/table57.xml><?xml version="1.0" encoding="utf-8"?>
<table xmlns="http://schemas.openxmlformats.org/spreadsheetml/2006/main" id="57" name="年齢階層×在院期間区分F02F09_65歳未満以上" displayName="年齢階層×在院期間区分F02F09_65歳未満以上" ref="O14:AE16" totalsRowShown="0" headerRowDxfId="131" dataDxfId="130">
  <autoFilter ref="O14:AE16">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autoFilter>
  <tableColumns count="17">
    <tableColumn id="1" name="列1" dataDxfId="129"/>
    <tableColumn id="2" name="01_1ヶ月未満" dataDxfId="128"/>
    <tableColumn id="3" name="02_1ヶ月～3ヶ月未満" dataDxfId="127"/>
    <tableColumn id="4" name="03_3ヶ月～6ヶ月未満" dataDxfId="126"/>
    <tableColumn id="5" name="04_6ヶ月～1年未満" dataDxfId="125"/>
    <tableColumn id="6" name="05_1年～1年6ヶ月未満" dataDxfId="124"/>
    <tableColumn id="7" name="06_1年6ヶ月～2年未満" dataDxfId="123"/>
    <tableColumn id="8" name="07_2年～3年未満" dataDxfId="122"/>
    <tableColumn id="9" name="08_3年～4年未満" dataDxfId="121"/>
    <tableColumn id="10" name="09_4年～5年未満" dataDxfId="120"/>
    <tableColumn id="11" name="10_5年～6年未満" dataDxfId="119"/>
    <tableColumn id="12" name="11_6年～7年未満" dataDxfId="118"/>
    <tableColumn id="13" name="12_7年～8年未満" dataDxfId="117"/>
    <tableColumn id="14" name="13_8年～9年未満" dataDxfId="116"/>
    <tableColumn id="15" name="14_9年～10年未満" dataDxfId="115"/>
    <tableColumn id="16" name="15_10年～20年未満" dataDxfId="114"/>
    <tableColumn id="17" name="16_ 20年以上" dataDxfId="113"/>
  </tableColumns>
  <tableStyleInfo name="TableStyleMedium2" showFirstColumn="0" showLastColumn="0" showRowStripes="1" showColumnStripes="0"/>
</table>
</file>

<file path=xl/tables/table58.xml><?xml version="1.0" encoding="utf-8"?>
<table xmlns="http://schemas.openxmlformats.org/spreadsheetml/2006/main" id="58" name="年齢階層×在院期間区分F02F09＿寛解・院内寛解" displayName="年齢階層×在院期間区分F02F09＿寛解・院内寛解" ref="O21:AE30" totalsRowShown="0" headerRowDxfId="112" dataDxfId="111">
  <autoFilter ref="O21:AE3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autoFilter>
  <tableColumns count="17">
    <tableColumn id="1" name="行ラベル" dataDxfId="110"/>
    <tableColumn id="2" name="01_1ヶ月未満" dataDxfId="109"/>
    <tableColumn id="3" name="02_1ヶ月～3ヶ月未満" dataDxfId="108"/>
    <tableColumn id="4" name="03_3ヶ月～6ヶ月未満" dataDxfId="107"/>
    <tableColumn id="5" name="04_6ヶ月～1年未満" dataDxfId="106"/>
    <tableColumn id="6" name="05_1年～1年6ヶ月未満" dataDxfId="105"/>
    <tableColumn id="7" name="06_1年6ヶ月～2年未満" dataDxfId="104"/>
    <tableColumn id="8" name="07_2年～3年未満" dataDxfId="103"/>
    <tableColumn id="9" name="08_3年～4年未満" dataDxfId="102"/>
    <tableColumn id="10" name="09_4年～5年未満" dataDxfId="101"/>
    <tableColumn id="11" name="10_5年～6年未満" dataDxfId="100"/>
    <tableColumn id="12" name="11_6年～7年未満" dataDxfId="99"/>
    <tableColumn id="13" name="12_7年～8年未満" dataDxfId="98"/>
    <tableColumn id="14" name="14_9年～10年未満" dataDxfId="97"/>
    <tableColumn id="15" name="15_10年～20年未満" dataDxfId="96"/>
    <tableColumn id="16" name="16_ 20年以上" dataDxfId="95"/>
    <tableColumn id="17" name="列17" dataDxfId="94"/>
  </tableColumns>
  <tableStyleInfo name="TableStyleMedium2" showFirstColumn="0" showLastColumn="0" showRowStripes="1" showColumnStripes="0"/>
</table>
</file>

<file path=xl/tables/table59.xml><?xml version="1.0" encoding="utf-8"?>
<table xmlns="http://schemas.openxmlformats.org/spreadsheetml/2006/main" id="59" name="年齢階層×在院期間区分F02F09_65歳未満以上＿寛解・院内寛解" displayName="年齢階層×在院期間区分F02F09_65歳未満以上＿寛解・院内寛解" ref="O31:AE33" totalsRowShown="0" headerRowDxfId="93">
  <autoFilter ref="O31:AE33">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autoFilter>
  <tableColumns count="17">
    <tableColumn id="1" name="列1" dataDxfId="92"/>
    <tableColumn id="2" name="01_1ヶ月未満" dataDxfId="91"/>
    <tableColumn id="3" name="02_1ヶ月～3ヶ月未満" dataDxfId="90"/>
    <tableColumn id="4" name="03_3ヶ月～6ヶ月未満" dataDxfId="89"/>
    <tableColumn id="5" name="04_6ヶ月～1年未満" dataDxfId="88"/>
    <tableColumn id="6" name="05_1年～1年6ヶ月未満" dataDxfId="87"/>
    <tableColumn id="7" name="06_1年6ヶ月～2年未満" dataDxfId="86"/>
    <tableColumn id="8" name="07_2年～3年未満" dataDxfId="85"/>
    <tableColumn id="9" name="08_3年～4年未満" dataDxfId="84"/>
    <tableColumn id="10" name="09_4年～5年未満" dataDxfId="83"/>
    <tableColumn id="11" name="10_5年～6年未満" dataDxfId="82"/>
    <tableColumn id="12" name="11_6年～7年未満" dataDxfId="81"/>
    <tableColumn id="13" name="12_7年～8年未満" dataDxfId="80"/>
    <tableColumn id="14" name="14_9年～10年未満" dataDxfId="79"/>
    <tableColumn id="15" name="15_10年～20年未満" dataDxfId="78"/>
    <tableColumn id="16" name="16_ 20年以上" dataDxfId="77"/>
    <tableColumn id="17" name="列17" dataDxfId="76"/>
  </tableColumns>
  <tableStyleInfo name="TableStyleMedium2" showFirstColumn="0" showLastColumn="0" showRowStripes="1" showColumnStripes="0"/>
</table>
</file>

<file path=xl/tables/table6.xml><?xml version="1.0" encoding="utf-8"?>
<table xmlns="http://schemas.openxmlformats.org/spreadsheetml/2006/main" id="7" name="入院形態_院内寛解" displayName="入院形態_院内寛解" ref="J14:K21" totalsRowShown="0" headerRowDxfId="631">
  <autoFilter ref="J14:K21">
    <filterColumn colId="0" hiddenButton="1"/>
    <filterColumn colId="1" hiddenButton="1"/>
  </autoFilter>
  <tableColumns count="2">
    <tableColumn id="1" name="行ラベル" dataDxfId="630"/>
    <tableColumn id="2" name="データの個数 / 入院" dataDxfId="629"/>
  </tableColumns>
  <tableStyleInfo name="TableStyleMedium2" showFirstColumn="0" showLastColumn="0" showRowStripes="1" showColumnStripes="0"/>
</table>
</file>

<file path=xl/tables/table60.xml><?xml version="1.0" encoding="utf-8"?>
<table xmlns="http://schemas.openxmlformats.org/spreadsheetml/2006/main" id="60" name="年齢階層×在院期間区分F3" displayName="年齢階層×在院期間区分F3" ref="O3:AE12" totalsRowShown="0" headerRowDxfId="75" dataDxfId="74">
  <autoFilter ref="O3:AE12">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autoFilter>
  <tableColumns count="17">
    <tableColumn id="1" name="行ラベル" dataDxfId="73"/>
    <tableColumn id="2" name="01_1ヶ月未満" dataDxfId="72"/>
    <tableColumn id="3" name="02_1ヶ月～3ヶ月未満" dataDxfId="71"/>
    <tableColumn id="4" name="03_3ヶ月～6ヶ月未満" dataDxfId="70"/>
    <tableColumn id="5" name="04_6ヶ月～1年未満" dataDxfId="69"/>
    <tableColumn id="6" name="05_1年～1年6ヶ月未満" dataDxfId="68"/>
    <tableColumn id="7" name="06_1年6ヶ月～2年未満" dataDxfId="67"/>
    <tableColumn id="8" name="07_2年～3年未満" dataDxfId="66"/>
    <tableColumn id="9" name="08_3年～4年未満" dataDxfId="65"/>
    <tableColumn id="10" name="09_4年～5年未満" dataDxfId="64"/>
    <tableColumn id="11" name="10_5年～6年未満" dataDxfId="63"/>
    <tableColumn id="12" name="11_6年～7年未満" dataDxfId="62"/>
    <tableColumn id="13" name="12_7年～8年未満" dataDxfId="61"/>
    <tableColumn id="14" name="13_8年～9年未満" dataDxfId="60"/>
    <tableColumn id="15" name="14_9年～10年未満" dataDxfId="59"/>
    <tableColumn id="16" name="15_10年～20年未満" dataDxfId="58"/>
    <tableColumn id="17" name="16_ 20年以上" dataDxfId="57"/>
  </tableColumns>
  <tableStyleInfo name="TableStyleMedium2" showFirstColumn="0" showLastColumn="0" showRowStripes="1" showColumnStripes="0"/>
</table>
</file>

<file path=xl/tables/table61.xml><?xml version="1.0" encoding="utf-8"?>
<table xmlns="http://schemas.openxmlformats.org/spreadsheetml/2006/main" id="61" name="年齢階層×在院期間区分F3_65歳未満以上" displayName="年齢階層×在院期間区分F3_65歳未満以上" ref="O13:AE15" totalsRowShown="0" headerRowDxfId="56" dataDxfId="55">
  <autoFilter ref="O13:AE15">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autoFilter>
  <tableColumns count="17">
    <tableColumn id="1" name="列1" dataDxfId="54"/>
    <tableColumn id="2" name="01_1ヶ月未満" dataDxfId="53"/>
    <tableColumn id="3" name="02_1ヶ月～3ヶ月未満" dataDxfId="52"/>
    <tableColumn id="4" name="03_3ヶ月～6ヶ月未満" dataDxfId="51"/>
    <tableColumn id="5" name="04_6ヶ月～1年未満" dataDxfId="50"/>
    <tableColumn id="6" name="05_1年～1年6ヶ月未満" dataDxfId="49"/>
    <tableColumn id="7" name="06_1年6ヶ月～2年未満" dataDxfId="48"/>
    <tableColumn id="8" name="07_2年～3年未満" dataDxfId="47"/>
    <tableColumn id="9" name="08_3年～4年未満" dataDxfId="46"/>
    <tableColumn id="10" name="09_4年～5年未満" dataDxfId="45"/>
    <tableColumn id="11" name="10_5年～6年未満" dataDxfId="44"/>
    <tableColumn id="12" name="11_6年～7年未満" dataDxfId="43"/>
    <tableColumn id="13" name="12_7年～8年未満" dataDxfId="42"/>
    <tableColumn id="14" name="13_8年～9年未満" dataDxfId="41"/>
    <tableColumn id="15" name="14_9年～10年未満" dataDxfId="40"/>
    <tableColumn id="16" name="15_10年～20年未満" dataDxfId="39"/>
    <tableColumn id="17" name="16_ 20年以上" dataDxfId="38"/>
  </tableColumns>
  <tableStyleInfo name="TableStyleMedium2" showFirstColumn="0" showLastColumn="0" showRowStripes="1" showColumnStripes="0"/>
</table>
</file>

<file path=xl/tables/table62.xml><?xml version="1.0" encoding="utf-8"?>
<table xmlns="http://schemas.openxmlformats.org/spreadsheetml/2006/main" id="62" name="年齢階層×在院期間区分F3＿寛解・院内寛解" displayName="年齢階層×在院期間区分F3＿寛解・院内寛解" ref="O19:AE28" totalsRowShown="0" headerRowDxfId="37" dataDxfId="36">
  <autoFilter ref="O19:AE2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autoFilter>
  <tableColumns count="17">
    <tableColumn id="1" name="行ラベル" dataDxfId="35"/>
    <tableColumn id="2" name="01_1ヶ月未満" dataDxfId="34"/>
    <tableColumn id="3" name="02_1ヶ月～3ヶ月未満" dataDxfId="33"/>
    <tableColumn id="4" name="03_3ヶ月～6ヶ月未満" dataDxfId="32"/>
    <tableColumn id="5" name="04_6ヶ月～1年未満" dataDxfId="31"/>
    <tableColumn id="6" name="05_1年～1年6ヶ月未満" dataDxfId="30"/>
    <tableColumn id="7" name="06_1年6ヶ月～2年未満" dataDxfId="29"/>
    <tableColumn id="8" name="07_2年～3年未満" dataDxfId="28"/>
    <tableColumn id="9" name="08_3年～4年未満" dataDxfId="27"/>
    <tableColumn id="10" name="09_4年～5年未満" dataDxfId="26"/>
    <tableColumn id="11" name="10_5年～6年未満" dataDxfId="25"/>
    <tableColumn id="12" name="11_6年～7年未満" dataDxfId="24"/>
    <tableColumn id="13" name="12_7年～8年未満" dataDxfId="23"/>
    <tableColumn id="14" name="14_9年～10年未満" dataDxfId="22"/>
    <tableColumn id="15" name="15_10年～20年未満" dataDxfId="21"/>
    <tableColumn id="16" name="16_ 20年以上" dataDxfId="20"/>
    <tableColumn id="17" name="列17" dataDxfId="19"/>
  </tableColumns>
  <tableStyleInfo name="TableStyleMedium2" showFirstColumn="0" showLastColumn="0" showRowStripes="1" showColumnStripes="0"/>
</table>
</file>

<file path=xl/tables/table63.xml><?xml version="1.0" encoding="utf-8"?>
<table xmlns="http://schemas.openxmlformats.org/spreadsheetml/2006/main" id="63" name="年齢階層×在院期間区分F3_65歳未満以上＿寛解・院内寛解" displayName="年齢階層×在院期間区分F3_65歳未満以上＿寛解・院内寛解" ref="O29:AE31" totalsRowShown="0" headerRowDxfId="18" dataDxfId="17">
  <autoFilter ref="O29:AE3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autoFilter>
  <tableColumns count="17">
    <tableColumn id="1" name="列1" dataDxfId="16"/>
    <tableColumn id="2" name="01_1ヶ月未満" dataDxfId="15"/>
    <tableColumn id="3" name="02_1ヶ月～3ヶ月未満" dataDxfId="14"/>
    <tableColumn id="4" name="03_3ヶ月～6ヶ月未満" dataDxfId="13"/>
    <tableColumn id="5" name="04_6ヶ月～1年未満" dataDxfId="12"/>
    <tableColumn id="6" name="05_1年～1年6ヶ月未満" dataDxfId="11"/>
    <tableColumn id="7" name="06_1年6ヶ月～2年未満" dataDxfId="10"/>
    <tableColumn id="8" name="07_2年～3年未満" dataDxfId="9"/>
    <tableColumn id="9" name="08_3年～4年未満" dataDxfId="8"/>
    <tableColumn id="10" name="09_4年～5年未満" dataDxfId="7"/>
    <tableColumn id="11" name="10_5年～6年未満" dataDxfId="6"/>
    <tableColumn id="12" name="11_6年～7年未満" dataDxfId="5"/>
    <tableColumn id="13" name="12_7年～8年未満" dataDxfId="4"/>
    <tableColumn id="14" name="14_9年～10年未満" dataDxfId="3"/>
    <tableColumn id="15" name="15_10年～20年未満" dataDxfId="2"/>
    <tableColumn id="16" name="16_ 20年以上" dataDxfId="1"/>
    <tableColumn id="17" name="列17" dataDxfId="0"/>
  </tableColumns>
  <tableStyleInfo name="TableStyleMedium2" showFirstColumn="0" showLastColumn="0" showRowStripes="1" showColumnStripes="0"/>
</table>
</file>

<file path=xl/tables/table7.xml><?xml version="1.0" encoding="utf-8"?>
<table xmlns="http://schemas.openxmlformats.org/spreadsheetml/2006/main" id="8" name="疾患別" displayName="疾患別" ref="B23:C40" totalsRowShown="0" headerRowDxfId="628">
  <autoFilter ref="B23:C40">
    <filterColumn colId="0" hiddenButton="1"/>
    <filterColumn colId="1" hiddenButton="1"/>
  </autoFilter>
  <tableColumns count="2">
    <tableColumn id="1" name="行ラベル" dataDxfId="627"/>
    <tableColumn id="2" name="データの個数 / 疾患名" dataDxfId="626"/>
  </tableColumns>
  <tableStyleInfo name="TableStyleMedium2" showFirstColumn="0" showLastColumn="0" showRowStripes="1" showColumnStripes="0"/>
</table>
</file>

<file path=xl/tables/table8.xml><?xml version="1.0" encoding="utf-8"?>
<table xmlns="http://schemas.openxmlformats.org/spreadsheetml/2006/main" id="4" name="疾患別＿寛解" displayName="疾患別＿寛解" ref="G23:H40" totalsRowShown="0" headerRowDxfId="625" tableBorderDxfId="624">
  <autoFilter ref="G23:H40">
    <filterColumn colId="0" hiddenButton="1"/>
    <filterColumn colId="1" hiddenButton="1"/>
  </autoFilter>
  <tableColumns count="2">
    <tableColumn id="1" name="行ラベル"/>
    <tableColumn id="2" name="データの個数 / 疾患名" dataDxfId="623"/>
  </tableColumns>
  <tableStyleInfo name="TableStyleMedium2" showFirstColumn="0" showLastColumn="0" showRowStripes="1" showColumnStripes="0"/>
</table>
</file>

<file path=xl/tables/table9.xml><?xml version="1.0" encoding="utf-8"?>
<table xmlns="http://schemas.openxmlformats.org/spreadsheetml/2006/main" id="6" name="疾患別＿院内寛解" displayName="疾患別＿院内寛解" ref="G43:H60" totalsRowShown="0" headerRowDxfId="622" headerRowBorderDxfId="621" tableBorderDxfId="620">
  <autoFilter ref="G43:H60">
    <filterColumn colId="0" hiddenButton="1"/>
    <filterColumn colId="1" hiddenButton="1"/>
  </autoFilter>
  <tableColumns count="2">
    <tableColumn id="1" name="行ラベル" dataDxfId="619"/>
    <tableColumn id="2" name="データの個数 / 疾患名" dataDxfId="618"/>
  </tableColumns>
  <tableStyleInfo name="TableStyleMedium2"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9.vml"/><Relationship Id="rId7" Type="http://schemas.openxmlformats.org/officeDocument/2006/relationships/table" Target="../tables/table21.xml"/><Relationship Id="rId2" Type="http://schemas.openxmlformats.org/officeDocument/2006/relationships/drawing" Target="../drawings/drawing9.xml"/><Relationship Id="rId1" Type="http://schemas.openxmlformats.org/officeDocument/2006/relationships/printerSettings" Target="../printerSettings/printerSettings10.bin"/><Relationship Id="rId6" Type="http://schemas.openxmlformats.org/officeDocument/2006/relationships/table" Target="../tables/table20.xml"/><Relationship Id="rId5" Type="http://schemas.openxmlformats.org/officeDocument/2006/relationships/table" Target="../tables/table19.xml"/><Relationship Id="rId4" Type="http://schemas.openxmlformats.org/officeDocument/2006/relationships/ctrlProp" Target="../ctrlProps/ctrlProp9.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0.xml"/><Relationship Id="rId1" Type="http://schemas.openxmlformats.org/officeDocument/2006/relationships/printerSettings" Target="../printerSettings/printerSettings11.bin"/><Relationship Id="rId4" Type="http://schemas.openxmlformats.org/officeDocument/2006/relationships/ctrlProp" Target="../ctrlProps/ctrlProp10.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1.xml"/><Relationship Id="rId1" Type="http://schemas.openxmlformats.org/officeDocument/2006/relationships/printerSettings" Target="../printerSettings/printerSettings12.bin"/><Relationship Id="rId4" Type="http://schemas.openxmlformats.org/officeDocument/2006/relationships/ctrlProp" Target="../ctrlProps/ctrlProp11.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2.xml"/><Relationship Id="rId1" Type="http://schemas.openxmlformats.org/officeDocument/2006/relationships/printerSettings" Target="../printerSettings/printerSettings13.bin"/><Relationship Id="rId6" Type="http://schemas.openxmlformats.org/officeDocument/2006/relationships/table" Target="../tables/table23.xml"/><Relationship Id="rId5" Type="http://schemas.openxmlformats.org/officeDocument/2006/relationships/table" Target="../tables/table22.xml"/><Relationship Id="rId4" Type="http://schemas.openxmlformats.org/officeDocument/2006/relationships/ctrlProp" Target="../ctrlProps/ctrlProp12.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13.xml"/><Relationship Id="rId1" Type="http://schemas.openxmlformats.org/officeDocument/2006/relationships/printerSettings" Target="../printerSettings/printerSettings14.bin"/><Relationship Id="rId6" Type="http://schemas.openxmlformats.org/officeDocument/2006/relationships/table" Target="../tables/table25.xml"/><Relationship Id="rId5" Type="http://schemas.openxmlformats.org/officeDocument/2006/relationships/table" Target="../tables/table24.xml"/><Relationship Id="rId4" Type="http://schemas.openxmlformats.org/officeDocument/2006/relationships/ctrlProp" Target="../ctrlProps/ctrlProp1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drawing" Target="../drawings/drawing14.xml"/><Relationship Id="rId1" Type="http://schemas.openxmlformats.org/officeDocument/2006/relationships/printerSettings" Target="../printerSettings/printerSettings15.bin"/><Relationship Id="rId6" Type="http://schemas.openxmlformats.org/officeDocument/2006/relationships/table" Target="../tables/table27.xml"/><Relationship Id="rId5" Type="http://schemas.openxmlformats.org/officeDocument/2006/relationships/table" Target="../tables/table26.xml"/><Relationship Id="rId4" Type="http://schemas.openxmlformats.org/officeDocument/2006/relationships/ctrlProp" Target="../ctrlProps/ctrlProp14.xml"/></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5.vml"/><Relationship Id="rId2" Type="http://schemas.openxmlformats.org/officeDocument/2006/relationships/drawing" Target="../drawings/drawing15.xml"/><Relationship Id="rId1" Type="http://schemas.openxmlformats.org/officeDocument/2006/relationships/printerSettings" Target="../printerSettings/printerSettings16.bin"/><Relationship Id="rId6" Type="http://schemas.openxmlformats.org/officeDocument/2006/relationships/table" Target="../tables/table29.xml"/><Relationship Id="rId5" Type="http://schemas.openxmlformats.org/officeDocument/2006/relationships/table" Target="../tables/table28.xml"/><Relationship Id="rId4" Type="http://schemas.openxmlformats.org/officeDocument/2006/relationships/ctrlProp" Target="../ctrlProps/ctrlProp15.xml"/></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6.vml"/><Relationship Id="rId2" Type="http://schemas.openxmlformats.org/officeDocument/2006/relationships/drawing" Target="../drawings/drawing16.xml"/><Relationship Id="rId1" Type="http://schemas.openxmlformats.org/officeDocument/2006/relationships/printerSettings" Target="../printerSettings/printerSettings17.bin"/><Relationship Id="rId4" Type="http://schemas.openxmlformats.org/officeDocument/2006/relationships/ctrlProp" Target="../ctrlProps/ctrlProp16.xml"/></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7.vml"/><Relationship Id="rId2" Type="http://schemas.openxmlformats.org/officeDocument/2006/relationships/drawing" Target="../drawings/drawing17.xml"/><Relationship Id="rId1" Type="http://schemas.openxmlformats.org/officeDocument/2006/relationships/printerSettings" Target="../printerSettings/printerSettings18.bin"/><Relationship Id="rId4" Type="http://schemas.openxmlformats.org/officeDocument/2006/relationships/ctrlProp" Target="../ctrlProps/ctrlProp17.xml"/></Relationships>
</file>

<file path=xl/worksheets/_rels/sheet19.xml.rels><?xml version="1.0" encoding="UTF-8" standalone="yes"?>
<Relationships xmlns="http://schemas.openxmlformats.org/package/2006/relationships"><Relationship Id="rId8" Type="http://schemas.openxmlformats.org/officeDocument/2006/relationships/table" Target="../tables/table33.xml"/><Relationship Id="rId3" Type="http://schemas.openxmlformats.org/officeDocument/2006/relationships/vmlDrawing" Target="../drawings/vmlDrawing18.vml"/><Relationship Id="rId7" Type="http://schemas.openxmlformats.org/officeDocument/2006/relationships/table" Target="../tables/table32.xml"/><Relationship Id="rId2" Type="http://schemas.openxmlformats.org/officeDocument/2006/relationships/drawing" Target="../drawings/drawing18.xml"/><Relationship Id="rId1" Type="http://schemas.openxmlformats.org/officeDocument/2006/relationships/printerSettings" Target="../printerSettings/printerSettings19.bin"/><Relationship Id="rId6" Type="http://schemas.openxmlformats.org/officeDocument/2006/relationships/table" Target="../tables/table31.xml"/><Relationship Id="rId5" Type="http://schemas.openxmlformats.org/officeDocument/2006/relationships/table" Target="../tables/table30.xml"/><Relationship Id="rId10" Type="http://schemas.openxmlformats.org/officeDocument/2006/relationships/table" Target="../tables/table35.xml"/><Relationship Id="rId4" Type="http://schemas.openxmlformats.org/officeDocument/2006/relationships/ctrlProp" Target="../ctrlProps/ctrlProp18.xml"/><Relationship Id="rId9" Type="http://schemas.openxmlformats.org/officeDocument/2006/relationships/table" Target="../tables/table34.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table" Target="../tables/table3.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table" Target="../tables/table2.xml"/><Relationship Id="rId5" Type="http://schemas.openxmlformats.org/officeDocument/2006/relationships/table" Target="../tables/table1.xml"/><Relationship Id="rId4" Type="http://schemas.openxmlformats.org/officeDocument/2006/relationships/ctrlProp" Target="../ctrlProps/ctrlProp1.xml"/></Relationships>
</file>

<file path=xl/worksheets/_rels/sheet20.xml.rels><?xml version="1.0" encoding="UTF-8" standalone="yes"?>
<Relationships xmlns="http://schemas.openxmlformats.org/package/2006/relationships"><Relationship Id="rId8" Type="http://schemas.openxmlformats.org/officeDocument/2006/relationships/table" Target="../tables/table39.xml"/><Relationship Id="rId3" Type="http://schemas.openxmlformats.org/officeDocument/2006/relationships/vmlDrawing" Target="../drawings/vmlDrawing19.vml"/><Relationship Id="rId7" Type="http://schemas.openxmlformats.org/officeDocument/2006/relationships/table" Target="../tables/table38.xml"/><Relationship Id="rId2" Type="http://schemas.openxmlformats.org/officeDocument/2006/relationships/drawing" Target="../drawings/drawing19.xml"/><Relationship Id="rId1" Type="http://schemas.openxmlformats.org/officeDocument/2006/relationships/printerSettings" Target="../printerSettings/printerSettings20.bin"/><Relationship Id="rId6" Type="http://schemas.openxmlformats.org/officeDocument/2006/relationships/table" Target="../tables/table37.xml"/><Relationship Id="rId5" Type="http://schemas.openxmlformats.org/officeDocument/2006/relationships/table" Target="../tables/table36.xml"/><Relationship Id="rId10" Type="http://schemas.openxmlformats.org/officeDocument/2006/relationships/table" Target="../tables/table41.xml"/><Relationship Id="rId4" Type="http://schemas.openxmlformats.org/officeDocument/2006/relationships/ctrlProp" Target="../ctrlProps/ctrlProp19.xml"/><Relationship Id="rId9" Type="http://schemas.openxmlformats.org/officeDocument/2006/relationships/table" Target="../tables/table40.xml"/></Relationships>
</file>

<file path=xl/worksheets/_rels/sheet21.xml.rels><?xml version="1.0" encoding="UTF-8" standalone="yes"?>
<Relationships xmlns="http://schemas.openxmlformats.org/package/2006/relationships"><Relationship Id="rId8" Type="http://schemas.openxmlformats.org/officeDocument/2006/relationships/table" Target="../tables/table45.xml"/><Relationship Id="rId3" Type="http://schemas.openxmlformats.org/officeDocument/2006/relationships/vmlDrawing" Target="../drawings/vmlDrawing20.vml"/><Relationship Id="rId7" Type="http://schemas.openxmlformats.org/officeDocument/2006/relationships/table" Target="../tables/table44.xml"/><Relationship Id="rId2" Type="http://schemas.openxmlformats.org/officeDocument/2006/relationships/drawing" Target="../drawings/drawing20.xml"/><Relationship Id="rId1" Type="http://schemas.openxmlformats.org/officeDocument/2006/relationships/printerSettings" Target="../printerSettings/printerSettings21.bin"/><Relationship Id="rId6" Type="http://schemas.openxmlformats.org/officeDocument/2006/relationships/table" Target="../tables/table43.xml"/><Relationship Id="rId5" Type="http://schemas.openxmlformats.org/officeDocument/2006/relationships/table" Target="../tables/table42.xml"/><Relationship Id="rId10" Type="http://schemas.openxmlformats.org/officeDocument/2006/relationships/table" Target="../tables/table47.xml"/><Relationship Id="rId4" Type="http://schemas.openxmlformats.org/officeDocument/2006/relationships/ctrlProp" Target="../ctrlProps/ctrlProp20.xml"/><Relationship Id="rId9" Type="http://schemas.openxmlformats.org/officeDocument/2006/relationships/table" Target="../tables/table46.xml"/></Relationships>
</file>

<file path=xl/worksheets/_rels/sheet22.xml.rels><?xml version="1.0" encoding="UTF-8" standalone="yes"?>
<Relationships xmlns="http://schemas.openxmlformats.org/package/2006/relationships"><Relationship Id="rId8" Type="http://schemas.openxmlformats.org/officeDocument/2006/relationships/table" Target="../tables/table51.xml"/><Relationship Id="rId3" Type="http://schemas.openxmlformats.org/officeDocument/2006/relationships/vmlDrawing" Target="../drawings/vmlDrawing21.vml"/><Relationship Id="rId7" Type="http://schemas.openxmlformats.org/officeDocument/2006/relationships/table" Target="../tables/table50.xml"/><Relationship Id="rId2" Type="http://schemas.openxmlformats.org/officeDocument/2006/relationships/drawing" Target="../drawings/drawing21.xml"/><Relationship Id="rId1" Type="http://schemas.openxmlformats.org/officeDocument/2006/relationships/printerSettings" Target="../printerSettings/printerSettings22.bin"/><Relationship Id="rId6" Type="http://schemas.openxmlformats.org/officeDocument/2006/relationships/table" Target="../tables/table49.xml"/><Relationship Id="rId5" Type="http://schemas.openxmlformats.org/officeDocument/2006/relationships/table" Target="../tables/table48.xml"/><Relationship Id="rId4" Type="http://schemas.openxmlformats.org/officeDocument/2006/relationships/ctrlProp" Target="../ctrlProps/ctrlProp21.xml"/></Relationships>
</file>

<file path=xl/worksheets/_rels/sheet23.xml.rels><?xml version="1.0" encoding="UTF-8" standalone="yes"?>
<Relationships xmlns="http://schemas.openxmlformats.org/package/2006/relationships"><Relationship Id="rId8" Type="http://schemas.openxmlformats.org/officeDocument/2006/relationships/table" Target="../tables/table55.xml"/><Relationship Id="rId3" Type="http://schemas.openxmlformats.org/officeDocument/2006/relationships/vmlDrawing" Target="../drawings/vmlDrawing22.vml"/><Relationship Id="rId7" Type="http://schemas.openxmlformats.org/officeDocument/2006/relationships/table" Target="../tables/table54.xml"/><Relationship Id="rId2" Type="http://schemas.openxmlformats.org/officeDocument/2006/relationships/drawing" Target="../drawings/drawing22.xml"/><Relationship Id="rId1" Type="http://schemas.openxmlformats.org/officeDocument/2006/relationships/printerSettings" Target="../printerSettings/printerSettings23.bin"/><Relationship Id="rId6" Type="http://schemas.openxmlformats.org/officeDocument/2006/relationships/table" Target="../tables/table53.xml"/><Relationship Id="rId5" Type="http://schemas.openxmlformats.org/officeDocument/2006/relationships/table" Target="../tables/table52.xml"/><Relationship Id="rId4" Type="http://schemas.openxmlformats.org/officeDocument/2006/relationships/ctrlProp" Target="../ctrlProps/ctrlProp22.xml"/></Relationships>
</file>

<file path=xl/worksheets/_rels/sheet24.xml.rels><?xml version="1.0" encoding="UTF-8" standalone="yes"?>
<Relationships xmlns="http://schemas.openxmlformats.org/package/2006/relationships"><Relationship Id="rId8" Type="http://schemas.openxmlformats.org/officeDocument/2006/relationships/table" Target="../tables/table59.xml"/><Relationship Id="rId3" Type="http://schemas.openxmlformats.org/officeDocument/2006/relationships/vmlDrawing" Target="../drawings/vmlDrawing23.vml"/><Relationship Id="rId7" Type="http://schemas.openxmlformats.org/officeDocument/2006/relationships/table" Target="../tables/table58.xml"/><Relationship Id="rId2" Type="http://schemas.openxmlformats.org/officeDocument/2006/relationships/drawing" Target="../drawings/drawing23.xml"/><Relationship Id="rId1" Type="http://schemas.openxmlformats.org/officeDocument/2006/relationships/printerSettings" Target="../printerSettings/printerSettings24.bin"/><Relationship Id="rId6" Type="http://schemas.openxmlformats.org/officeDocument/2006/relationships/table" Target="../tables/table57.xml"/><Relationship Id="rId5" Type="http://schemas.openxmlformats.org/officeDocument/2006/relationships/table" Target="../tables/table56.xml"/><Relationship Id="rId4" Type="http://schemas.openxmlformats.org/officeDocument/2006/relationships/ctrlProp" Target="../ctrlProps/ctrlProp23.xml"/></Relationships>
</file>

<file path=xl/worksheets/_rels/sheet25.xml.rels><?xml version="1.0" encoding="UTF-8" standalone="yes"?>
<Relationships xmlns="http://schemas.openxmlformats.org/package/2006/relationships"><Relationship Id="rId8" Type="http://schemas.openxmlformats.org/officeDocument/2006/relationships/table" Target="../tables/table63.xml"/><Relationship Id="rId3" Type="http://schemas.openxmlformats.org/officeDocument/2006/relationships/vmlDrawing" Target="../drawings/vmlDrawing24.vml"/><Relationship Id="rId7" Type="http://schemas.openxmlformats.org/officeDocument/2006/relationships/table" Target="../tables/table62.xml"/><Relationship Id="rId2" Type="http://schemas.openxmlformats.org/officeDocument/2006/relationships/drawing" Target="../drawings/drawing24.xml"/><Relationship Id="rId1" Type="http://schemas.openxmlformats.org/officeDocument/2006/relationships/printerSettings" Target="../printerSettings/printerSettings25.bin"/><Relationship Id="rId6" Type="http://schemas.openxmlformats.org/officeDocument/2006/relationships/table" Target="../tables/table61.xml"/><Relationship Id="rId5" Type="http://schemas.openxmlformats.org/officeDocument/2006/relationships/table" Target="../tables/table60.xml"/><Relationship Id="rId4" Type="http://schemas.openxmlformats.org/officeDocument/2006/relationships/ctrlProp" Target="../ctrlProps/ctrlProp24.xml"/></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table" Target="../tables/table6.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ctrlProp" Target="../ctrlProps/ctrlProp2.xml"/></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7" Type="http://schemas.openxmlformats.org/officeDocument/2006/relationships/table" Target="../tables/table9.x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table" Target="../tables/table8.xml"/><Relationship Id="rId5" Type="http://schemas.openxmlformats.org/officeDocument/2006/relationships/table" Target="../tables/table7.xml"/><Relationship Id="rId4" Type="http://schemas.openxmlformats.org/officeDocument/2006/relationships/ctrlProp" Target="../ctrlProps/ctrlProp3.xml"/></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4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7" Type="http://schemas.openxmlformats.org/officeDocument/2006/relationships/table" Target="../tables/table12.xml"/><Relationship Id="rId2" Type="http://schemas.openxmlformats.org/officeDocument/2006/relationships/drawing" Target="../drawings/drawing4.xml"/><Relationship Id="rId1" Type="http://schemas.openxmlformats.org/officeDocument/2006/relationships/printerSettings" Target="../printerSettings/printerSettings5.bin"/><Relationship Id="rId6" Type="http://schemas.openxmlformats.org/officeDocument/2006/relationships/table" Target="../tables/table11.xml"/><Relationship Id="rId5" Type="http://schemas.openxmlformats.org/officeDocument/2006/relationships/table" Target="../tables/table10.xml"/><Relationship Id="rId4" Type="http://schemas.openxmlformats.org/officeDocument/2006/relationships/ctrlProp" Target="../ctrlProps/ctrlProp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trlProp" Target="../ctrlProps/ctrlProp5.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7.bin"/><Relationship Id="rId4" Type="http://schemas.openxmlformats.org/officeDocument/2006/relationships/ctrlProp" Target="../ctrlProps/ctrlProp6.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7" Type="http://schemas.openxmlformats.org/officeDocument/2006/relationships/table" Target="../tables/table15.xml"/><Relationship Id="rId2" Type="http://schemas.openxmlformats.org/officeDocument/2006/relationships/drawing" Target="../drawings/drawing7.xml"/><Relationship Id="rId1" Type="http://schemas.openxmlformats.org/officeDocument/2006/relationships/printerSettings" Target="../printerSettings/printerSettings8.bin"/><Relationship Id="rId6" Type="http://schemas.openxmlformats.org/officeDocument/2006/relationships/table" Target="../tables/table14.xml"/><Relationship Id="rId5" Type="http://schemas.openxmlformats.org/officeDocument/2006/relationships/table" Target="../tables/table13.xml"/><Relationship Id="rId4" Type="http://schemas.openxmlformats.org/officeDocument/2006/relationships/ctrlProp" Target="../ctrlProps/ctrlProp7.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7" Type="http://schemas.openxmlformats.org/officeDocument/2006/relationships/table" Target="../tables/table18.xml"/><Relationship Id="rId2" Type="http://schemas.openxmlformats.org/officeDocument/2006/relationships/drawing" Target="../drawings/drawing8.xml"/><Relationship Id="rId1" Type="http://schemas.openxmlformats.org/officeDocument/2006/relationships/printerSettings" Target="../printerSettings/printerSettings9.bin"/><Relationship Id="rId6" Type="http://schemas.openxmlformats.org/officeDocument/2006/relationships/table" Target="../tables/table17.xml"/><Relationship Id="rId5" Type="http://schemas.openxmlformats.org/officeDocument/2006/relationships/table" Target="../tables/table16.xml"/><Relationship Id="rId4" Type="http://schemas.openxmlformats.org/officeDocument/2006/relationships/ctrlProp" Target="../ctrlProps/ctrlProp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abSelected="1" view="pageBreakPreview" zoomScale="60" zoomScaleNormal="100" workbookViewId="0">
      <selection activeCell="R6" sqref="R6"/>
    </sheetView>
  </sheetViews>
  <sheetFormatPr defaultRowHeight="18.75" x14ac:dyDescent="0.15"/>
  <cols>
    <col min="1" max="1" width="42.25" style="1" customWidth="1"/>
    <col min="2" max="16384" width="9" style="1"/>
  </cols>
  <sheetData>
    <row r="1" spans="1:1" ht="76.5" x14ac:dyDescent="0.15">
      <c r="A1" s="603" t="s">
        <v>621</v>
      </c>
    </row>
  </sheetData>
  <phoneticPr fontId="2"/>
  <printOptions horizontalCentered="1" verticalCentered="1"/>
  <pageMargins left="0.70866141732283472" right="0.70866141732283472" top="0.74803149606299213" bottom="1.5354330708661419"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rgb="FF00B0F0"/>
    <pageSetUpPr fitToPage="1"/>
  </sheetPr>
  <dimension ref="A1:V60"/>
  <sheetViews>
    <sheetView showGridLines="0" view="pageBreakPreview" zoomScale="80" zoomScaleNormal="100" zoomScaleSheetLayoutView="80" workbookViewId="0">
      <selection activeCell="A21" sqref="A21:XFD60"/>
    </sheetView>
  </sheetViews>
  <sheetFormatPr defaultRowHeight="18.75" x14ac:dyDescent="0.15"/>
  <cols>
    <col min="1" max="1" width="3.125" style="1" customWidth="1"/>
    <col min="2" max="2" width="52.5" style="1" customWidth="1"/>
    <col min="3" max="4" width="9.375" style="1" customWidth="1"/>
    <col min="5" max="5" width="4.125" style="1" customWidth="1"/>
    <col min="6" max="6" width="3.125" style="1" customWidth="1"/>
    <col min="7" max="7" width="43.75" style="1" customWidth="1"/>
    <col min="8" max="11" width="9.375" style="1" customWidth="1"/>
    <col min="12" max="12" width="5" style="1" customWidth="1"/>
    <col min="13" max="13" width="56.25" style="1" hidden="1" customWidth="1"/>
    <col min="14" max="14" width="7.375" style="1" hidden="1" customWidth="1"/>
    <col min="15" max="15" width="5" style="1" hidden="1" customWidth="1"/>
    <col min="16" max="16" width="6.625" style="1" customWidth="1"/>
    <col min="17" max="17" width="12.5" style="1" hidden="1" customWidth="1"/>
    <col min="18" max="18" width="0" style="1" hidden="1" customWidth="1"/>
    <col min="19" max="21" width="9" style="1"/>
    <col min="22" max="22" width="14.375" style="1" customWidth="1"/>
    <col min="23" max="16384" width="9" style="1"/>
  </cols>
  <sheetData>
    <row r="1" spans="1:19" s="3" customFormat="1" ht="19.5" x14ac:dyDescent="0.15">
      <c r="A1" s="2" t="s">
        <v>154</v>
      </c>
      <c r="B1" s="2"/>
    </row>
    <row r="2" spans="1:19" x14ac:dyDescent="0.15">
      <c r="A2" s="4"/>
      <c r="B2" s="4"/>
      <c r="N2" s="158"/>
      <c r="O2" s="33"/>
      <c r="P2" s="33"/>
      <c r="Q2" s="33"/>
    </row>
    <row r="3" spans="1:19" s="3" customFormat="1" ht="19.5" x14ac:dyDescent="0.15">
      <c r="A3" s="4" t="s">
        <v>13</v>
      </c>
      <c r="B3" s="4"/>
      <c r="F3" s="4" t="s">
        <v>155</v>
      </c>
      <c r="G3" s="4"/>
      <c r="N3" s="187"/>
      <c r="O3" s="38"/>
      <c r="P3" s="39"/>
      <c r="Q3" s="36"/>
      <c r="R3" s="1"/>
    </row>
    <row r="4" spans="1:19" x14ac:dyDescent="0.15">
      <c r="A4" s="320"/>
      <c r="B4" s="321"/>
      <c r="C4" s="315" t="s">
        <v>0</v>
      </c>
      <c r="D4" s="315" t="s">
        <v>1</v>
      </c>
      <c r="F4" s="322"/>
      <c r="G4" s="323"/>
      <c r="H4" s="315" t="s">
        <v>115</v>
      </c>
      <c r="I4" s="315" t="s">
        <v>117</v>
      </c>
      <c r="J4" s="315" t="s">
        <v>12</v>
      </c>
      <c r="K4" s="315" t="s">
        <v>1</v>
      </c>
      <c r="M4" s="55" t="s">
        <v>296</v>
      </c>
      <c r="N4" s="187"/>
      <c r="O4" s="412" t="s">
        <v>326</v>
      </c>
      <c r="P4" s="39"/>
      <c r="Q4" s="16" t="s">
        <v>367</v>
      </c>
    </row>
    <row r="5" spans="1:19" ht="18.75" customHeight="1" x14ac:dyDescent="0.15">
      <c r="A5" s="609" t="s">
        <v>121</v>
      </c>
      <c r="B5" s="610"/>
      <c r="C5" s="259">
        <f>SUM(C6:C8)</f>
        <v>2175</v>
      </c>
      <c r="D5" s="301">
        <f>IFERROR(C5/C$20,"-")</f>
        <v>0.23791292933712535</v>
      </c>
      <c r="F5" s="606" t="s">
        <v>121</v>
      </c>
      <c r="G5" s="607"/>
      <c r="H5" s="261">
        <f t="shared" ref="H5" si="0">SUM(H6:H8)</f>
        <v>9</v>
      </c>
      <c r="I5" s="259">
        <f t="shared" ref="I5" si="1">SUM(I6:I8)</f>
        <v>68</v>
      </c>
      <c r="J5" s="259">
        <f>SUM(H5:I5)</f>
        <v>77</v>
      </c>
      <c r="K5" s="301">
        <f>IFERROR(J5/J$20,"-")</f>
        <v>0.13438045375218149</v>
      </c>
      <c r="M5" s="55" t="s">
        <v>285</v>
      </c>
      <c r="N5" s="187"/>
      <c r="O5" s="412" t="s">
        <v>315</v>
      </c>
      <c r="P5" s="39"/>
      <c r="Q5" s="16" t="s">
        <v>368</v>
      </c>
      <c r="S5" s="38"/>
    </row>
    <row r="6" spans="1:19" x14ac:dyDescent="0.15">
      <c r="A6" s="252"/>
      <c r="B6" s="255" t="s">
        <v>122</v>
      </c>
      <c r="C6" s="264">
        <f>IFERROR(VLOOKUP($M4,疾患別＿1年以上[#All],2,FALSE),0)</f>
        <v>1004</v>
      </c>
      <c r="D6" s="265">
        <f t="shared" ref="D6:D19" si="2">IFERROR(C6/C$20,"-")</f>
        <v>0.10982279588711441</v>
      </c>
      <c r="F6" s="252"/>
      <c r="G6" s="274" t="s">
        <v>122</v>
      </c>
      <c r="H6" s="276">
        <f>IFERROR(VLOOKUP($M4,疾患別＿1年以上＿寛解[#All],2,FALSE),0)</f>
        <v>6</v>
      </c>
      <c r="I6" s="276">
        <f>IFERROR(VLOOKUP($M4,疾患別＿1年以上＿院内寛解[#All],2,FALSE),0)</f>
        <v>23</v>
      </c>
      <c r="J6" s="277">
        <f t="shared" ref="J6:J19" si="3">SUM(H6:I6)</f>
        <v>29</v>
      </c>
      <c r="K6" s="278">
        <f t="shared" ref="K6:K19" si="4">IFERROR(J6/J$20,"-")</f>
        <v>5.06108202443281E-2</v>
      </c>
      <c r="M6" s="55" t="s">
        <v>286</v>
      </c>
      <c r="N6" s="187"/>
      <c r="O6" s="412" t="s">
        <v>316</v>
      </c>
      <c r="P6" s="39"/>
      <c r="Q6" s="36"/>
      <c r="S6" s="172"/>
    </row>
    <row r="7" spans="1:19" x14ac:dyDescent="0.15">
      <c r="A7" s="252"/>
      <c r="B7" s="256" t="s">
        <v>107</v>
      </c>
      <c r="C7" s="266">
        <f>IFERROR(VLOOKUP($M5,疾患別＿1年以上[#All],2,FALSE),0)</f>
        <v>194</v>
      </c>
      <c r="D7" s="267">
        <f t="shared" si="2"/>
        <v>2.1220739444322904E-2</v>
      </c>
      <c r="F7" s="252"/>
      <c r="G7" s="256" t="s">
        <v>107</v>
      </c>
      <c r="H7" s="279">
        <f>IFERROR(VLOOKUP($M5,疾患別＿1年以上＿寛解[#All],2,FALSE),0)</f>
        <v>2</v>
      </c>
      <c r="I7" s="279">
        <f>IFERROR(VLOOKUP($M5,疾患別＿1年以上＿院内寛解[#All],2,FALSE),0)</f>
        <v>2</v>
      </c>
      <c r="J7" s="280">
        <f t="shared" si="3"/>
        <v>4</v>
      </c>
      <c r="K7" s="281">
        <f t="shared" si="4"/>
        <v>6.9808027923211171E-3</v>
      </c>
      <c r="M7" s="55" t="s">
        <v>287</v>
      </c>
      <c r="N7" s="187"/>
      <c r="O7" s="412" t="s">
        <v>317</v>
      </c>
      <c r="P7" s="39"/>
      <c r="Q7" s="36"/>
      <c r="S7" s="172"/>
    </row>
    <row r="8" spans="1:19" ht="37.5" x14ac:dyDescent="0.15">
      <c r="A8" s="253"/>
      <c r="B8" s="257" t="s">
        <v>19</v>
      </c>
      <c r="C8" s="268">
        <f>IFERROR(VLOOKUP($M6,疾患別＿1年以上[#All],2,FALSE),0)</f>
        <v>977</v>
      </c>
      <c r="D8" s="269">
        <f t="shared" si="2"/>
        <v>0.10686939400568804</v>
      </c>
      <c r="F8" s="285"/>
      <c r="G8" s="275" t="s">
        <v>19</v>
      </c>
      <c r="H8" s="282">
        <f>IFERROR(VLOOKUP($M6,疾患別＿1年以上＿寛解[#All],2,FALSE),0)</f>
        <v>1</v>
      </c>
      <c r="I8" s="282">
        <f>IFERROR(VLOOKUP($M6,疾患別＿1年以上＿院内寛解[#All],2,FALSE),0)</f>
        <v>43</v>
      </c>
      <c r="J8" s="283">
        <f t="shared" si="3"/>
        <v>44</v>
      </c>
      <c r="K8" s="284">
        <f t="shared" si="4"/>
        <v>7.6788830715532289E-2</v>
      </c>
      <c r="M8" s="55" t="s">
        <v>313</v>
      </c>
      <c r="N8" s="187"/>
      <c r="O8" s="412" t="s">
        <v>318</v>
      </c>
      <c r="P8" s="39"/>
      <c r="Q8" s="36"/>
      <c r="S8" s="7"/>
    </row>
    <row r="9" spans="1:19" ht="18.75" customHeight="1" x14ac:dyDescent="0.15">
      <c r="A9" s="604" t="s">
        <v>20</v>
      </c>
      <c r="B9" s="605"/>
      <c r="C9" s="261">
        <f>IFERROR(VLOOKUP($M7,疾患別＿1年以上[#All],2,FALSE),0)+IFERROR(VLOOKUP($M8,疾患別＿1年以上[#All],2,FALSE),0)+IFERROR(VLOOKUP($M9,疾患別＿1年以上[#All],2,FALSE),0)</f>
        <v>334</v>
      </c>
      <c r="D9" s="473">
        <f t="shared" si="2"/>
        <v>3.6534675125793045E-2</v>
      </c>
      <c r="F9" s="608" t="s">
        <v>20</v>
      </c>
      <c r="G9" s="607"/>
      <c r="H9" s="261">
        <f>IFERROR(VLOOKUP($M7,疾患別＿1年以上＿寛解[#All],2,FALSE),0)+IFERROR(VLOOKUP($M8,疾患別＿1年以上＿寛解[#All],2,FALSE),0)+IFERROR(VLOOKUP($M9,疾患別＿1年以上＿寛解[#All],2,FALSE),0)</f>
        <v>6</v>
      </c>
      <c r="I9" s="261">
        <f>IFERROR(VLOOKUP($M7,疾患別＿1年以上＿院内寛解[#All],2,FALSE),0)+IFERROR(VLOOKUP($M8,疾患別＿1年以上＿院内寛解[#All],2,FALSE),0)+IFERROR(VLOOKUP($M9,疾患別＿1年以上＿院内寛解[#All],2,FALSE),0)</f>
        <v>23</v>
      </c>
      <c r="J9" s="259">
        <f t="shared" si="3"/>
        <v>29</v>
      </c>
      <c r="K9" s="472">
        <f t="shared" si="4"/>
        <v>5.06108202443281E-2</v>
      </c>
      <c r="M9" s="55" t="s">
        <v>314</v>
      </c>
      <c r="N9" s="187"/>
      <c r="O9" s="412" t="s">
        <v>319</v>
      </c>
      <c r="P9" s="39"/>
      <c r="Q9" s="36"/>
      <c r="S9" s="172"/>
    </row>
    <row r="10" spans="1:19" ht="18.75" customHeight="1" x14ac:dyDescent="0.15">
      <c r="A10" s="604" t="s">
        <v>273</v>
      </c>
      <c r="B10" s="605"/>
      <c r="C10" s="261">
        <f>IFERROR(VLOOKUP($M10,疾患別＿1年以上[#All],2,FALSE),0)</f>
        <v>5584</v>
      </c>
      <c r="D10" s="473">
        <f t="shared" si="2"/>
        <v>0.61080726318092327</v>
      </c>
      <c r="F10" s="608" t="s">
        <v>273</v>
      </c>
      <c r="G10" s="607"/>
      <c r="H10" s="261">
        <f>IFERROR(VLOOKUP($M10,疾患別＿1年以上＿寛解[#All],2,FALSE),0)</f>
        <v>47</v>
      </c>
      <c r="I10" s="261">
        <f>IFERROR(VLOOKUP($M10,疾患別＿1年以上＿院内寛解[#All],2,FALSE),0)</f>
        <v>303</v>
      </c>
      <c r="J10" s="259">
        <f t="shared" si="3"/>
        <v>350</v>
      </c>
      <c r="K10" s="472">
        <f t="shared" si="4"/>
        <v>0.61082024432809778</v>
      </c>
      <c r="M10" s="55" t="s">
        <v>288</v>
      </c>
      <c r="N10" s="187"/>
      <c r="O10" s="412" t="s">
        <v>320</v>
      </c>
      <c r="P10" s="39"/>
      <c r="Q10" s="36"/>
      <c r="S10" s="172"/>
    </row>
    <row r="11" spans="1:19" ht="18.75" customHeight="1" x14ac:dyDescent="0.15">
      <c r="A11" s="604" t="s">
        <v>22</v>
      </c>
      <c r="B11" s="605"/>
      <c r="C11" s="261">
        <f>IFERROR(VLOOKUP($M11,疾患別＿1年以上[#All],2,FALSE),0)+IFERROR(VLOOKUP($M12,疾患別＿1年以上[#All],2,FALSE),0)</f>
        <v>605</v>
      </c>
      <c r="D11" s="473">
        <f t="shared" si="2"/>
        <v>6.6178079194924522E-2</v>
      </c>
      <c r="F11" s="608" t="s">
        <v>22</v>
      </c>
      <c r="G11" s="607"/>
      <c r="H11" s="261">
        <f>IFERROR(VLOOKUP($M11,疾患別＿1年以上＿寛解[#All],2,FALSE),0)+IFERROR(VLOOKUP($M12,疾患別＿1年以上＿寛解[#All],2,FALSE),0)</f>
        <v>16</v>
      </c>
      <c r="I11" s="261">
        <f>IFERROR(VLOOKUP($M11,疾患別＿1年以上＿院内寛解[#All],2,FALSE),0)+IFERROR(VLOOKUP($M12,疾患別＿1年以上＿院内寛解[#All],2,FALSE),0)</f>
        <v>62</v>
      </c>
      <c r="J11" s="259">
        <f t="shared" si="3"/>
        <v>78</v>
      </c>
      <c r="K11" s="472">
        <f t="shared" si="4"/>
        <v>0.13612565445026178</v>
      </c>
      <c r="M11" s="55" t="s">
        <v>289</v>
      </c>
      <c r="N11" s="187"/>
      <c r="O11" s="412" t="s">
        <v>321</v>
      </c>
      <c r="P11" s="39"/>
      <c r="Q11" s="36"/>
      <c r="S11" s="172"/>
    </row>
    <row r="12" spans="1:19" ht="18.75" customHeight="1" x14ac:dyDescent="0.15">
      <c r="A12" s="604" t="s">
        <v>24</v>
      </c>
      <c r="B12" s="605"/>
      <c r="C12" s="261">
        <f>IFERROR(VLOOKUP($M13,疾患別＿1年以上[#All],2,FALSE),0)</f>
        <v>94</v>
      </c>
      <c r="D12" s="473">
        <f t="shared" si="2"/>
        <v>1.028221395755852E-2</v>
      </c>
      <c r="F12" s="608" t="s">
        <v>24</v>
      </c>
      <c r="G12" s="607"/>
      <c r="H12" s="261">
        <f>IFERROR(VLOOKUP($M13,疾患別＿1年以上＿寛解[#All],2,FALSE),0)</f>
        <v>3</v>
      </c>
      <c r="I12" s="261">
        <f>IFERROR(VLOOKUP($M13,疾患別＿1年以上＿院内寛解[#All],2,FALSE),0)</f>
        <v>6</v>
      </c>
      <c r="J12" s="259">
        <f t="shared" si="3"/>
        <v>9</v>
      </c>
      <c r="K12" s="472">
        <f t="shared" si="4"/>
        <v>1.5706806282722512E-2</v>
      </c>
      <c r="M12" s="55" t="s">
        <v>290</v>
      </c>
      <c r="N12" s="188"/>
      <c r="O12" s="412" t="s">
        <v>322</v>
      </c>
      <c r="P12" s="39"/>
      <c r="Q12" s="36"/>
      <c r="S12" s="172"/>
    </row>
    <row r="13" spans="1:19" ht="18.75" customHeight="1" x14ac:dyDescent="0.15">
      <c r="A13" s="604" t="s">
        <v>25</v>
      </c>
      <c r="B13" s="605"/>
      <c r="C13" s="261">
        <f>IFERROR(VLOOKUP($M14,疾患別＿1年以上[#All],2,FALSE),0)</f>
        <v>10</v>
      </c>
      <c r="D13" s="473">
        <f t="shared" si="2"/>
        <v>1.0938525486764385E-3</v>
      </c>
      <c r="F13" s="608" t="s">
        <v>25</v>
      </c>
      <c r="G13" s="607"/>
      <c r="H13" s="261">
        <f>IFERROR(VLOOKUP($M14,疾患別＿1年以上＿寛解[#All],2,FALSE),0)</f>
        <v>2</v>
      </c>
      <c r="I13" s="261">
        <f>IFERROR(VLOOKUP($M14,疾患別＿1年以上＿院内寛解[#All],2,FALSE),0)</f>
        <v>0</v>
      </c>
      <c r="J13" s="259">
        <f t="shared" si="3"/>
        <v>2</v>
      </c>
      <c r="K13" s="472">
        <f t="shared" si="4"/>
        <v>3.4904013961605585E-3</v>
      </c>
      <c r="M13" s="55" t="s">
        <v>291</v>
      </c>
      <c r="N13" s="188"/>
      <c r="O13" s="412" t="s">
        <v>323</v>
      </c>
      <c r="P13" s="39"/>
      <c r="Q13" s="36"/>
      <c r="S13" s="172"/>
    </row>
    <row r="14" spans="1:19" ht="18.75" customHeight="1" x14ac:dyDescent="0.15">
      <c r="A14" s="604" t="s">
        <v>257</v>
      </c>
      <c r="B14" s="605"/>
      <c r="C14" s="261">
        <f>IFERROR(VLOOKUP($M15,疾患別＿1年以上[#All],2,FALSE),0)</f>
        <v>16</v>
      </c>
      <c r="D14" s="473">
        <f t="shared" si="2"/>
        <v>1.7501640778823015E-3</v>
      </c>
      <c r="F14" s="608" t="s">
        <v>257</v>
      </c>
      <c r="G14" s="607"/>
      <c r="H14" s="261">
        <f>IFERROR(VLOOKUP($M15,疾患別＿1年以上＿寛解[#All],2,FALSE),0)</f>
        <v>0</v>
      </c>
      <c r="I14" s="261">
        <f>IFERROR(VLOOKUP($M15,疾患別＿1年以上＿院内寛解[#All],2,FALSE),0)</f>
        <v>1</v>
      </c>
      <c r="J14" s="259">
        <f t="shared" si="3"/>
        <v>1</v>
      </c>
      <c r="K14" s="472">
        <f t="shared" si="4"/>
        <v>1.7452006980802793E-3</v>
      </c>
      <c r="M14" s="55" t="s">
        <v>292</v>
      </c>
      <c r="N14" s="188"/>
      <c r="O14" s="412" t="s">
        <v>324</v>
      </c>
      <c r="P14" s="39"/>
      <c r="Q14" s="36"/>
      <c r="S14" s="172"/>
    </row>
    <row r="15" spans="1:19" ht="18.75" customHeight="1" x14ac:dyDescent="0.15">
      <c r="A15" s="604" t="s">
        <v>258</v>
      </c>
      <c r="B15" s="605"/>
      <c r="C15" s="261">
        <f>IFERROR(VLOOKUP($M16,疾患別＿1年以上[#All],2,FALSE),0)</f>
        <v>172</v>
      </c>
      <c r="D15" s="473">
        <f t="shared" si="2"/>
        <v>1.8814263837234741E-2</v>
      </c>
      <c r="F15" s="608" t="s">
        <v>258</v>
      </c>
      <c r="G15" s="607"/>
      <c r="H15" s="261">
        <f>IFERROR(VLOOKUP($M16,疾患別＿1年以上＿寛解[#All],2,FALSE),0)</f>
        <v>0</v>
      </c>
      <c r="I15" s="261">
        <f>IFERROR(VLOOKUP($M16,疾患別＿1年以上＿院内寛解[#All],2,FALSE),0)</f>
        <v>12</v>
      </c>
      <c r="J15" s="259">
        <f t="shared" si="3"/>
        <v>12</v>
      </c>
      <c r="K15" s="472">
        <f t="shared" si="4"/>
        <v>2.0942408376963352E-2</v>
      </c>
      <c r="M15" s="55" t="s">
        <v>297</v>
      </c>
      <c r="N15" s="187"/>
      <c r="O15" s="412" t="s">
        <v>325</v>
      </c>
      <c r="P15" s="39"/>
      <c r="Q15" s="36"/>
      <c r="S15" s="173"/>
    </row>
    <row r="16" spans="1:19" ht="18.75" customHeight="1" x14ac:dyDescent="0.15">
      <c r="A16" s="604" t="s">
        <v>23</v>
      </c>
      <c r="B16" s="605"/>
      <c r="C16" s="261">
        <f>IFERROR(VLOOKUP($M17,疾患別＿1年以上[#All],2,FALSE),0)</f>
        <v>37</v>
      </c>
      <c r="D16" s="473">
        <f t="shared" si="2"/>
        <v>4.0472544301028224E-3</v>
      </c>
      <c r="E16" s="142"/>
      <c r="F16" s="608" t="s">
        <v>23</v>
      </c>
      <c r="G16" s="607"/>
      <c r="H16" s="261">
        <f>IFERROR(VLOOKUP($M17,疾患別＿1年以上＿寛解[#All],2,FALSE),0)</f>
        <v>1</v>
      </c>
      <c r="I16" s="261">
        <f>IFERROR(VLOOKUP($M17,疾患別＿1年以上＿院内寛解[#All],2,FALSE),0)</f>
        <v>1</v>
      </c>
      <c r="J16" s="259">
        <f t="shared" si="3"/>
        <v>2</v>
      </c>
      <c r="K16" s="472">
        <f t="shared" si="4"/>
        <v>3.4904013961605585E-3</v>
      </c>
      <c r="M16" s="55" t="s">
        <v>293</v>
      </c>
      <c r="N16" s="189"/>
      <c r="O16" s="38"/>
      <c r="P16" s="39"/>
      <c r="Q16" s="36"/>
      <c r="S16" s="173"/>
    </row>
    <row r="17" spans="1:22" ht="18.75" customHeight="1" x14ac:dyDescent="0.15">
      <c r="A17" s="604" t="s">
        <v>259</v>
      </c>
      <c r="B17" s="616"/>
      <c r="C17" s="261">
        <f>IFERROR(VLOOKUP($M18,疾患別＿1年以上[#All],2,FALSE),0)</f>
        <v>12</v>
      </c>
      <c r="D17" s="473">
        <f t="shared" si="2"/>
        <v>1.3126230584117262E-3</v>
      </c>
      <c r="E17" s="39"/>
      <c r="F17" s="608" t="s">
        <v>259</v>
      </c>
      <c r="G17" s="615"/>
      <c r="H17" s="261">
        <f>IFERROR(VLOOKUP($M18,疾患別＿1年以上＿寛解[#All],2,FALSE),0)</f>
        <v>2</v>
      </c>
      <c r="I17" s="261">
        <f>IFERROR(VLOOKUP($M18,疾患別＿1年以上＿院内寛解[#All],2,FALSE),0)</f>
        <v>3</v>
      </c>
      <c r="J17" s="259">
        <f t="shared" si="3"/>
        <v>5</v>
      </c>
      <c r="K17" s="472">
        <f t="shared" si="4"/>
        <v>8.7260034904013961E-3</v>
      </c>
      <c r="M17" s="55" t="s">
        <v>294</v>
      </c>
      <c r="N17" s="158"/>
      <c r="O17" s="38"/>
      <c r="P17" s="39"/>
      <c r="Q17" s="36"/>
      <c r="S17" s="173"/>
    </row>
    <row r="18" spans="1:22" ht="18.75" customHeight="1" x14ac:dyDescent="0.15">
      <c r="A18" s="604" t="s">
        <v>124</v>
      </c>
      <c r="B18" s="605"/>
      <c r="C18" s="261">
        <f>IFERROR(VLOOKUP($M19,疾患別＿1年以上[#All],2,FALSE),0)</f>
        <v>33</v>
      </c>
      <c r="D18" s="473">
        <f t="shared" si="2"/>
        <v>3.6097134106322466E-3</v>
      </c>
      <c r="E18" s="142"/>
      <c r="F18" s="608" t="s">
        <v>124</v>
      </c>
      <c r="G18" s="607"/>
      <c r="H18" s="261">
        <f>IFERROR(VLOOKUP($M19,疾患別＿1年以上＿寛解[#All],2,FALSE),0)</f>
        <v>0</v>
      </c>
      <c r="I18" s="261">
        <f>IFERROR(VLOOKUP($M19,疾患別＿1年以上＿院内寛解[#All],2,FALSE),0)</f>
        <v>2</v>
      </c>
      <c r="J18" s="259">
        <f t="shared" si="3"/>
        <v>2</v>
      </c>
      <c r="K18" s="472">
        <f t="shared" si="4"/>
        <v>3.4904013961605585E-3</v>
      </c>
      <c r="M18" s="55" t="s">
        <v>298</v>
      </c>
      <c r="S18" s="172"/>
    </row>
    <row r="19" spans="1:22" x14ac:dyDescent="0.15">
      <c r="A19" s="613" t="s">
        <v>18</v>
      </c>
      <c r="B19" s="614"/>
      <c r="C19" s="261">
        <f>IFERROR(VLOOKUP($M20,疾患別＿1年以上[#All],2,FALSE),0)</f>
        <v>70</v>
      </c>
      <c r="D19" s="473">
        <f t="shared" si="2"/>
        <v>7.656967840735069E-3</v>
      </c>
      <c r="E19" s="39"/>
      <c r="F19" s="611" t="s">
        <v>18</v>
      </c>
      <c r="G19" s="612"/>
      <c r="H19" s="261">
        <f>IFERROR(VLOOKUP($M20,疾患別＿1年以上＿寛解[#All],2,FALSE),0)</f>
        <v>1</v>
      </c>
      <c r="I19" s="261">
        <f>IFERROR(VLOOKUP($M20,疾患別＿1年以上＿院内寛解[#All],2,FALSE),0)</f>
        <v>5</v>
      </c>
      <c r="J19" s="259">
        <f t="shared" si="3"/>
        <v>6</v>
      </c>
      <c r="K19" s="472">
        <f t="shared" si="4"/>
        <v>1.0471204188481676E-2</v>
      </c>
      <c r="M19" s="55" t="s">
        <v>295</v>
      </c>
      <c r="S19" s="7"/>
    </row>
    <row r="20" spans="1:22" x14ac:dyDescent="0.15">
      <c r="A20" s="324" t="s">
        <v>11</v>
      </c>
      <c r="B20" s="325"/>
      <c r="C20" s="318">
        <f>SUM(C6:C19)</f>
        <v>9142</v>
      </c>
      <c r="D20" s="319">
        <f>SUM(D6:D19)</f>
        <v>1</v>
      </c>
      <c r="F20" s="326" t="s">
        <v>11</v>
      </c>
      <c r="G20" s="327"/>
      <c r="H20" s="318">
        <f>SUM(H6:H19)</f>
        <v>87</v>
      </c>
      <c r="I20" s="318">
        <f t="shared" ref="I20" si="5">SUM(I6:I19)</f>
        <v>486</v>
      </c>
      <c r="J20" s="318">
        <f>SUM(J6:J19)</f>
        <v>573</v>
      </c>
      <c r="K20" s="319">
        <f>SUM(K6:K19)</f>
        <v>1</v>
      </c>
      <c r="M20" s="55" t="s">
        <v>18</v>
      </c>
      <c r="S20" s="38"/>
    </row>
    <row r="21" spans="1:22" hidden="1" x14ac:dyDescent="0.15">
      <c r="A21" s="38"/>
      <c r="B21" s="56" t="s">
        <v>63</v>
      </c>
      <c r="C21" s="45"/>
      <c r="N21" s="158"/>
      <c r="O21" s="33"/>
      <c r="P21" s="33"/>
      <c r="Q21" s="33"/>
      <c r="T21" s="190"/>
      <c r="U21" s="190"/>
      <c r="V21" s="190"/>
    </row>
    <row r="22" spans="1:22" s="3" customFormat="1" ht="20.25" hidden="1" thickBot="1" x14ac:dyDescent="0.2">
      <c r="B22" s="499" t="s">
        <v>284</v>
      </c>
      <c r="C22" s="495" t="s">
        <v>0</v>
      </c>
      <c r="D22" s="1"/>
      <c r="E22" s="1"/>
      <c r="F22" s="1"/>
      <c r="G22" s="499" t="s">
        <v>284</v>
      </c>
      <c r="H22" s="495" t="s">
        <v>28</v>
      </c>
      <c r="N22" s="187"/>
      <c r="O22" s="38"/>
      <c r="P22" s="39"/>
      <c r="Q22" s="36"/>
      <c r="R22" s="1"/>
      <c r="T22" s="38"/>
      <c r="U22" s="39"/>
      <c r="V22" s="36"/>
    </row>
    <row r="23" spans="1:22" ht="18.75" hidden="1" customHeight="1" thickTop="1" thickBot="1" x14ac:dyDescent="0.2">
      <c r="A23" s="384"/>
      <c r="B23" s="424" t="s">
        <v>371</v>
      </c>
      <c r="C23" s="35" t="s">
        <v>378</v>
      </c>
      <c r="D23" s="3"/>
      <c r="E23" s="3"/>
      <c r="F23" s="396"/>
      <c r="G23" s="424" t="s">
        <v>371</v>
      </c>
      <c r="H23" s="35" t="s">
        <v>378</v>
      </c>
      <c r="I23" s="328"/>
      <c r="J23" s="402"/>
      <c r="M23" s="187"/>
      <c r="N23" s="38"/>
      <c r="O23" s="39"/>
      <c r="P23" s="36"/>
    </row>
    <row r="24" spans="1:22" ht="18.75" hidden="1" customHeight="1" thickTop="1" x14ac:dyDescent="0.15">
      <c r="A24" s="398"/>
      <c r="B24" s="43" t="s">
        <v>296</v>
      </c>
      <c r="C24" s="161">
        <v>1004</v>
      </c>
      <c r="F24" s="397"/>
      <c r="G24" s="43" t="s">
        <v>296</v>
      </c>
      <c r="H24" s="161">
        <v>6</v>
      </c>
      <c r="I24" s="403"/>
      <c r="J24" s="402"/>
      <c r="M24" s="187"/>
      <c r="N24" s="38"/>
      <c r="O24" s="39"/>
      <c r="P24" s="36"/>
    </row>
    <row r="25" spans="1:22" ht="18.75" hidden="1" customHeight="1" x14ac:dyDescent="0.15">
      <c r="A25" s="398"/>
      <c r="B25" s="43" t="s">
        <v>285</v>
      </c>
      <c r="C25" s="161">
        <v>194</v>
      </c>
      <c r="F25" s="398"/>
      <c r="G25" s="425" t="s">
        <v>285</v>
      </c>
      <c r="H25" s="394">
        <v>2</v>
      </c>
      <c r="I25" s="403"/>
      <c r="J25" s="402"/>
      <c r="M25" s="187"/>
      <c r="N25" s="38"/>
      <c r="O25" s="39"/>
      <c r="P25" s="36"/>
    </row>
    <row r="26" spans="1:22" ht="18.75" hidden="1" customHeight="1" x14ac:dyDescent="0.15">
      <c r="A26" s="398"/>
      <c r="B26" s="43" t="s">
        <v>286</v>
      </c>
      <c r="C26" s="161">
        <v>977</v>
      </c>
      <c r="F26" s="397"/>
      <c r="G26" s="391" t="s">
        <v>286</v>
      </c>
      <c r="H26" s="392">
        <v>1</v>
      </c>
      <c r="I26" s="403"/>
      <c r="J26" s="402"/>
      <c r="M26" s="187"/>
      <c r="N26" s="38"/>
      <c r="O26" s="39"/>
      <c r="P26" s="36"/>
    </row>
    <row r="27" spans="1:22" ht="18.75" hidden="1" customHeight="1" x14ac:dyDescent="0.15">
      <c r="A27" s="398"/>
      <c r="B27" s="43" t="s">
        <v>287</v>
      </c>
      <c r="C27" s="161">
        <v>280</v>
      </c>
      <c r="F27" s="398"/>
      <c r="G27" s="393" t="s">
        <v>287</v>
      </c>
      <c r="H27" s="394">
        <v>5</v>
      </c>
      <c r="I27" s="403"/>
      <c r="J27" s="402"/>
      <c r="M27" s="187"/>
      <c r="N27" s="38"/>
      <c r="O27" s="39"/>
      <c r="P27" s="36"/>
    </row>
    <row r="28" spans="1:22" ht="18.75" hidden="1" customHeight="1" x14ac:dyDescent="0.15">
      <c r="A28" s="398"/>
      <c r="B28" s="87" t="s">
        <v>201</v>
      </c>
      <c r="C28" s="161">
        <v>16</v>
      </c>
      <c r="F28" s="397"/>
      <c r="G28" s="391" t="s">
        <v>201</v>
      </c>
      <c r="H28" s="392">
        <v>0</v>
      </c>
      <c r="I28" s="403"/>
      <c r="J28" s="402"/>
      <c r="M28" s="187"/>
      <c r="N28" s="38"/>
      <c r="O28" s="39"/>
      <c r="P28" s="36"/>
    </row>
    <row r="29" spans="1:22" ht="18.75" hidden="1" customHeight="1" x14ac:dyDescent="0.15">
      <c r="A29" s="398"/>
      <c r="B29" s="43" t="s">
        <v>202</v>
      </c>
      <c r="C29" s="161">
        <v>38</v>
      </c>
      <c r="F29" s="398"/>
      <c r="G29" s="393" t="s">
        <v>202</v>
      </c>
      <c r="H29" s="394">
        <v>1</v>
      </c>
      <c r="I29" s="403"/>
      <c r="J29" s="402"/>
      <c r="M29" s="187"/>
      <c r="N29" s="38"/>
      <c r="O29" s="39"/>
      <c r="P29" s="36"/>
    </row>
    <row r="30" spans="1:22" ht="18.75" hidden="1" customHeight="1" x14ac:dyDescent="0.15">
      <c r="A30" s="398"/>
      <c r="B30" s="43" t="s">
        <v>288</v>
      </c>
      <c r="C30" s="161">
        <v>5584</v>
      </c>
      <c r="F30" s="397"/>
      <c r="G30" s="391" t="s">
        <v>288</v>
      </c>
      <c r="H30" s="392">
        <v>47</v>
      </c>
      <c r="I30" s="403"/>
      <c r="J30" s="402"/>
      <c r="M30" s="187"/>
      <c r="N30" s="38"/>
      <c r="O30" s="39"/>
      <c r="P30" s="36"/>
    </row>
    <row r="31" spans="1:22" ht="18.75" hidden="1" customHeight="1" x14ac:dyDescent="0.15">
      <c r="A31" s="398"/>
      <c r="B31" s="43" t="s">
        <v>289</v>
      </c>
      <c r="C31" s="161">
        <v>335</v>
      </c>
      <c r="F31" s="398"/>
      <c r="G31" s="393" t="s">
        <v>289</v>
      </c>
      <c r="H31" s="394">
        <v>4</v>
      </c>
      <c r="I31" s="403"/>
      <c r="J31" s="402"/>
      <c r="M31" s="188"/>
      <c r="N31" s="38"/>
      <c r="O31" s="39"/>
      <c r="P31" s="36"/>
    </row>
    <row r="32" spans="1:22" ht="18.75" hidden="1" customHeight="1" x14ac:dyDescent="0.15">
      <c r="A32" s="398"/>
      <c r="B32" s="43" t="s">
        <v>290</v>
      </c>
      <c r="C32" s="161">
        <v>270</v>
      </c>
      <c r="F32" s="397"/>
      <c r="G32" s="391" t="s">
        <v>290</v>
      </c>
      <c r="H32" s="392">
        <v>12</v>
      </c>
      <c r="I32" s="403"/>
      <c r="J32" s="402"/>
      <c r="M32" s="188"/>
      <c r="N32" s="38"/>
      <c r="O32" s="39"/>
      <c r="P32" s="36"/>
    </row>
    <row r="33" spans="1:22" ht="18.75" hidden="1" customHeight="1" x14ac:dyDescent="0.15">
      <c r="A33" s="398"/>
      <c r="B33" s="43" t="s">
        <v>291</v>
      </c>
      <c r="C33" s="161">
        <v>94</v>
      </c>
      <c r="F33" s="398"/>
      <c r="G33" s="393" t="s">
        <v>291</v>
      </c>
      <c r="H33" s="394">
        <v>3</v>
      </c>
      <c r="I33" s="403"/>
      <c r="J33" s="402"/>
      <c r="M33" s="188"/>
      <c r="N33" s="38"/>
      <c r="O33" s="39"/>
      <c r="P33" s="36"/>
    </row>
    <row r="34" spans="1:22" ht="18.75" hidden="1" customHeight="1" x14ac:dyDescent="0.15">
      <c r="A34" s="398"/>
      <c r="B34" s="43" t="s">
        <v>292</v>
      </c>
      <c r="C34" s="161">
        <v>10</v>
      </c>
      <c r="F34" s="397"/>
      <c r="G34" s="391" t="s">
        <v>292</v>
      </c>
      <c r="H34" s="392">
        <v>2</v>
      </c>
      <c r="I34" s="403"/>
      <c r="J34" s="402"/>
      <c r="M34" s="187"/>
      <c r="N34" s="38"/>
      <c r="O34" s="39"/>
      <c r="P34" s="36"/>
    </row>
    <row r="35" spans="1:22" ht="18.75" hidden="1" customHeight="1" x14ac:dyDescent="0.15">
      <c r="A35" s="398"/>
      <c r="B35" s="43" t="s">
        <v>297</v>
      </c>
      <c r="C35" s="161">
        <v>16</v>
      </c>
      <c r="F35" s="398"/>
      <c r="G35" s="393" t="s">
        <v>297</v>
      </c>
      <c r="H35" s="394">
        <v>0</v>
      </c>
      <c r="I35" s="403"/>
      <c r="J35" s="402"/>
      <c r="M35" s="189"/>
      <c r="N35" s="38"/>
      <c r="O35" s="39"/>
      <c r="P35" s="36"/>
    </row>
    <row r="36" spans="1:22" ht="18.75" hidden="1" customHeight="1" x14ac:dyDescent="0.15">
      <c r="A36" s="398"/>
      <c r="B36" s="43" t="s">
        <v>293</v>
      </c>
      <c r="C36" s="161">
        <v>172</v>
      </c>
      <c r="F36" s="397"/>
      <c r="G36" s="391" t="s">
        <v>293</v>
      </c>
      <c r="H36" s="392">
        <v>0</v>
      </c>
      <c r="I36" s="403"/>
      <c r="J36" s="402"/>
      <c r="M36" s="158"/>
      <c r="N36" s="38"/>
      <c r="O36" s="39"/>
      <c r="P36" s="36"/>
    </row>
    <row r="37" spans="1:22" ht="18.75" hidden="1" customHeight="1" x14ac:dyDescent="0.15">
      <c r="A37" s="398"/>
      <c r="B37" s="43" t="s">
        <v>294</v>
      </c>
      <c r="C37" s="161">
        <v>37</v>
      </c>
      <c r="F37" s="398"/>
      <c r="G37" s="393" t="s">
        <v>294</v>
      </c>
      <c r="H37" s="394">
        <v>1</v>
      </c>
      <c r="I37" s="403"/>
      <c r="J37" s="402"/>
    </row>
    <row r="38" spans="1:22" ht="18.75" hidden="1" customHeight="1" x14ac:dyDescent="0.15">
      <c r="A38" s="398"/>
      <c r="B38" s="87" t="s">
        <v>298</v>
      </c>
      <c r="C38" s="161">
        <v>12</v>
      </c>
      <c r="F38" s="397"/>
      <c r="G38" s="391" t="s">
        <v>298</v>
      </c>
      <c r="H38" s="392">
        <v>2</v>
      </c>
      <c r="I38" s="403"/>
      <c r="J38" s="402"/>
    </row>
    <row r="39" spans="1:22" ht="18.75" hidden="1" customHeight="1" x14ac:dyDescent="0.15">
      <c r="A39" s="398"/>
      <c r="B39" s="43" t="s">
        <v>295</v>
      </c>
      <c r="C39" s="161">
        <v>33</v>
      </c>
      <c r="F39" s="398"/>
      <c r="G39" s="395" t="s">
        <v>295</v>
      </c>
      <c r="H39" s="394">
        <v>0</v>
      </c>
      <c r="I39" s="403"/>
      <c r="J39" s="402"/>
    </row>
    <row r="40" spans="1:22" ht="18.75" hidden="1" customHeight="1" x14ac:dyDescent="0.15">
      <c r="A40" s="398"/>
      <c r="B40" s="43" t="s">
        <v>18</v>
      </c>
      <c r="C40" s="161">
        <v>70</v>
      </c>
      <c r="F40" s="397"/>
      <c r="G40" s="390" t="s">
        <v>18</v>
      </c>
      <c r="H40" s="389">
        <v>1</v>
      </c>
      <c r="I40" s="403"/>
      <c r="J40" s="402"/>
    </row>
    <row r="41" spans="1:22" ht="18.75" hidden="1" customHeight="1" x14ac:dyDescent="0.15">
      <c r="A41" s="398"/>
      <c r="B41" s="43"/>
      <c r="C41" s="506"/>
      <c r="F41" s="397"/>
      <c r="G41" s="408"/>
      <c r="H41" s="507"/>
      <c r="I41" s="403"/>
      <c r="J41" s="402"/>
    </row>
    <row r="42" spans="1:22" ht="18.75" hidden="1" customHeight="1" thickBot="1" x14ac:dyDescent="0.2">
      <c r="A42" s="22"/>
      <c r="G42" s="499" t="s">
        <v>284</v>
      </c>
      <c r="H42" s="495" t="s">
        <v>370</v>
      </c>
      <c r="I42" s="22"/>
      <c r="J42" s="22"/>
    </row>
    <row r="43" spans="1:22" ht="18.75" hidden="1" customHeight="1" thickTop="1" thickBot="1" x14ac:dyDescent="0.2">
      <c r="A43" s="22"/>
      <c r="G43" s="424" t="s">
        <v>371</v>
      </c>
      <c r="H43" s="35" t="s">
        <v>378</v>
      </c>
      <c r="I43" s="22"/>
      <c r="J43" s="22"/>
    </row>
    <row r="44" spans="1:22" ht="18.75" hidden="1" customHeight="1" thickTop="1" x14ac:dyDescent="0.15">
      <c r="A44" s="22"/>
      <c r="G44" s="425" t="s">
        <v>296</v>
      </c>
      <c r="H44" s="394">
        <v>23</v>
      </c>
      <c r="I44" s="22"/>
      <c r="J44" s="22"/>
      <c r="N44" s="187"/>
      <c r="O44" s="38"/>
      <c r="P44" s="39"/>
      <c r="Q44" s="36"/>
      <c r="T44" s="38"/>
      <c r="U44" s="39"/>
      <c r="V44" s="36"/>
    </row>
    <row r="45" spans="1:22" ht="18.75" hidden="1" customHeight="1" x14ac:dyDescent="0.15">
      <c r="A45" s="22"/>
      <c r="G45" s="425" t="s">
        <v>285</v>
      </c>
      <c r="H45" s="394">
        <v>2</v>
      </c>
      <c r="I45" s="22"/>
      <c r="J45" s="22"/>
      <c r="N45" s="187"/>
      <c r="O45" s="38"/>
      <c r="P45" s="39"/>
      <c r="Q45" s="36"/>
      <c r="T45" s="38"/>
      <c r="U45" s="39"/>
      <c r="V45" s="36"/>
    </row>
    <row r="46" spans="1:22" ht="18.75" hidden="1" customHeight="1" x14ac:dyDescent="0.15">
      <c r="A46" s="22"/>
      <c r="G46" s="425" t="s">
        <v>286</v>
      </c>
      <c r="H46" s="394">
        <v>43</v>
      </c>
      <c r="I46" s="22"/>
      <c r="J46" s="22"/>
      <c r="N46" s="187"/>
      <c r="O46" s="38"/>
      <c r="P46" s="39"/>
      <c r="Q46" s="36"/>
      <c r="T46" s="38"/>
      <c r="U46" s="39"/>
      <c r="V46" s="36"/>
    </row>
    <row r="47" spans="1:22" ht="18.75" hidden="1" customHeight="1" x14ac:dyDescent="0.15">
      <c r="A47" s="22"/>
      <c r="G47" s="425" t="s">
        <v>287</v>
      </c>
      <c r="H47" s="394">
        <v>17</v>
      </c>
      <c r="I47" s="22"/>
      <c r="J47" s="22"/>
      <c r="N47" s="187"/>
      <c r="O47" s="38"/>
      <c r="P47" s="39"/>
      <c r="Q47" s="36"/>
      <c r="T47" s="38"/>
      <c r="U47" s="39"/>
      <c r="V47" s="36"/>
    </row>
    <row r="48" spans="1:22" ht="18.75" hidden="1" customHeight="1" x14ac:dyDescent="0.15">
      <c r="A48" s="22"/>
      <c r="G48" s="425" t="s">
        <v>201</v>
      </c>
      <c r="H48" s="394">
        <v>2</v>
      </c>
      <c r="I48" s="22"/>
      <c r="J48" s="22"/>
      <c r="N48" s="187"/>
      <c r="O48" s="38"/>
      <c r="P48" s="39"/>
      <c r="Q48" s="36"/>
      <c r="T48" s="38"/>
      <c r="U48" s="39"/>
      <c r="V48" s="36"/>
    </row>
    <row r="49" spans="1:22" ht="18.75" hidden="1" customHeight="1" x14ac:dyDescent="0.15">
      <c r="A49" s="22"/>
      <c r="G49" s="425" t="s">
        <v>202</v>
      </c>
      <c r="H49" s="394">
        <v>4</v>
      </c>
      <c r="I49" s="22"/>
      <c r="J49" s="22"/>
      <c r="N49" s="187"/>
      <c r="O49" s="38"/>
      <c r="P49" s="39"/>
      <c r="Q49" s="36"/>
      <c r="T49" s="38"/>
      <c r="U49" s="39"/>
      <c r="V49" s="36"/>
    </row>
    <row r="50" spans="1:22" ht="18.75" hidden="1" customHeight="1" x14ac:dyDescent="0.15">
      <c r="A50" s="22"/>
      <c r="G50" s="425" t="s">
        <v>288</v>
      </c>
      <c r="H50" s="394">
        <v>303</v>
      </c>
      <c r="I50" s="22"/>
      <c r="J50" s="22"/>
      <c r="N50" s="188"/>
      <c r="O50" s="38"/>
      <c r="P50" s="39"/>
      <c r="Q50" s="36"/>
      <c r="T50" s="38"/>
      <c r="U50" s="39"/>
      <c r="V50" s="36"/>
    </row>
    <row r="51" spans="1:22" ht="18.75" hidden="1" customHeight="1" x14ac:dyDescent="0.15">
      <c r="G51" s="425" t="s">
        <v>289</v>
      </c>
      <c r="H51" s="394">
        <v>26</v>
      </c>
      <c r="N51" s="188"/>
      <c r="O51" s="38"/>
      <c r="P51" s="39"/>
      <c r="Q51" s="36"/>
      <c r="T51" s="38"/>
      <c r="U51" s="39"/>
      <c r="V51" s="36"/>
    </row>
    <row r="52" spans="1:22" ht="18.75" hidden="1" customHeight="1" x14ac:dyDescent="0.15">
      <c r="G52" s="425" t="s">
        <v>290</v>
      </c>
      <c r="H52" s="394">
        <v>36</v>
      </c>
      <c r="N52" s="188"/>
      <c r="T52" s="38"/>
      <c r="U52" s="39"/>
      <c r="V52" s="36"/>
    </row>
    <row r="53" spans="1:22" ht="18.75" hidden="1" customHeight="1" x14ac:dyDescent="0.15">
      <c r="G53" s="425" t="s">
        <v>291</v>
      </c>
      <c r="H53" s="394">
        <v>6</v>
      </c>
      <c r="N53" s="187"/>
      <c r="T53" s="38"/>
      <c r="U53" s="39"/>
      <c r="V53" s="36"/>
    </row>
    <row r="54" spans="1:22" ht="37.5" hidden="1" x14ac:dyDescent="0.15">
      <c r="G54" s="425" t="s">
        <v>292</v>
      </c>
      <c r="H54" s="394">
        <v>0</v>
      </c>
      <c r="N54" s="189"/>
      <c r="T54" s="38"/>
      <c r="U54" s="39"/>
      <c r="V54" s="36"/>
    </row>
    <row r="55" spans="1:22" hidden="1" x14ac:dyDescent="0.15">
      <c r="G55" s="425" t="s">
        <v>297</v>
      </c>
      <c r="H55" s="394">
        <v>1</v>
      </c>
      <c r="T55" s="191"/>
      <c r="U55" s="192"/>
      <c r="V55" s="193"/>
    </row>
    <row r="56" spans="1:22" hidden="1" x14ac:dyDescent="0.15">
      <c r="B56" s="43"/>
      <c r="G56" s="425" t="s">
        <v>293</v>
      </c>
      <c r="H56" s="394">
        <v>12</v>
      </c>
    </row>
    <row r="57" spans="1:22" hidden="1" x14ac:dyDescent="0.15">
      <c r="G57" s="425" t="s">
        <v>294</v>
      </c>
      <c r="H57" s="394">
        <v>1</v>
      </c>
      <c r="N57" s="187"/>
      <c r="O57" s="38"/>
      <c r="P57" s="39"/>
      <c r="Q57" s="36"/>
      <c r="T57" s="38"/>
      <c r="U57" s="39"/>
      <c r="V57" s="36"/>
    </row>
    <row r="58" spans="1:22" ht="37.5" hidden="1" x14ac:dyDescent="0.15">
      <c r="G58" s="425" t="s">
        <v>298</v>
      </c>
      <c r="H58" s="394">
        <v>3</v>
      </c>
    </row>
    <row r="59" spans="1:22" hidden="1" x14ac:dyDescent="0.15">
      <c r="G59" s="425" t="s">
        <v>295</v>
      </c>
      <c r="H59" s="394">
        <v>2</v>
      </c>
    </row>
    <row r="60" spans="1:22" hidden="1" x14ac:dyDescent="0.15">
      <c r="G60" s="425" t="s">
        <v>18</v>
      </c>
      <c r="H60" s="394">
        <v>5</v>
      </c>
      <c r="N60" s="187"/>
      <c r="O60" s="38"/>
      <c r="P60" s="39"/>
      <c r="Q60" s="36"/>
      <c r="T60" s="38"/>
      <c r="U60" s="39"/>
      <c r="V60" s="36"/>
    </row>
  </sheetData>
  <mergeCells count="24">
    <mergeCell ref="F19:G19"/>
    <mergeCell ref="F5:G5"/>
    <mergeCell ref="F9:G9"/>
    <mergeCell ref="F10:G10"/>
    <mergeCell ref="F11:G11"/>
    <mergeCell ref="F12:G12"/>
    <mergeCell ref="F13:G13"/>
    <mergeCell ref="F14:G14"/>
    <mergeCell ref="F15:G15"/>
    <mergeCell ref="F16:G16"/>
    <mergeCell ref="F17:G17"/>
    <mergeCell ref="F18:G18"/>
    <mergeCell ref="A19:B19"/>
    <mergeCell ref="A5:B5"/>
    <mergeCell ref="A9:B9"/>
    <mergeCell ref="A10:B10"/>
    <mergeCell ref="A11:B11"/>
    <mergeCell ref="A12:B12"/>
    <mergeCell ref="A13:B13"/>
    <mergeCell ref="A14:B14"/>
    <mergeCell ref="A15:B15"/>
    <mergeCell ref="A16:B16"/>
    <mergeCell ref="A17:B17"/>
    <mergeCell ref="A18:B18"/>
  </mergeCells>
  <phoneticPr fontId="2"/>
  <pageMargins left="0.70866141732283472" right="0.70866141732283472" top="0.74803149606299213" bottom="0.74803149606299213" header="0.31496062992125984" footer="0.31496062992125984"/>
  <pageSetup paperSize="9" scale="81"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4337" r:id="rId4" name="Button 1">
              <controlPr defaultSize="0" print="0" autoFill="0" autoPict="0" macro="[0]!データ削除9">
                <anchor moveWithCells="1" sizeWithCells="1">
                  <from>
                    <xdr:col>9</xdr:col>
                    <xdr:colOff>104775</xdr:colOff>
                    <xdr:row>21</xdr:row>
                    <xdr:rowOff>219075</xdr:rowOff>
                  </from>
                  <to>
                    <xdr:col>15</xdr:col>
                    <xdr:colOff>85725</xdr:colOff>
                    <xdr:row>24</xdr:row>
                    <xdr:rowOff>76200</xdr:rowOff>
                  </to>
                </anchor>
              </controlPr>
            </control>
          </mc:Choice>
        </mc:AlternateContent>
      </controls>
    </mc:Choice>
  </mc:AlternateContent>
  <tableParts count="3">
    <tablePart r:id="rId5"/>
    <tablePart r:id="rId6"/>
    <tablePart r:id="rId7"/>
  </tablePart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tabColor rgb="FF00B0F0"/>
  </sheetPr>
  <dimension ref="A1:G11"/>
  <sheetViews>
    <sheetView view="pageBreakPreview" zoomScale="120" zoomScaleNormal="100" zoomScaleSheetLayoutView="120" workbookViewId="0">
      <selection activeCell="J8" sqref="J8"/>
    </sheetView>
  </sheetViews>
  <sheetFormatPr defaultRowHeight="18.75" x14ac:dyDescent="0.15"/>
  <cols>
    <col min="1" max="1" width="13.625" style="1" customWidth="1"/>
    <col min="2" max="3" width="9.375" style="1" customWidth="1"/>
    <col min="4" max="4" width="10.75" style="1" hidden="1" customWidth="1"/>
    <col min="5" max="5" width="7.25" style="1" hidden="1" customWidth="1"/>
    <col min="6" max="6" width="11.625" style="1" hidden="1" customWidth="1"/>
    <col min="7" max="7" width="12.875" style="1" customWidth="1"/>
    <col min="8" max="8" width="6.625" style="1" customWidth="1"/>
    <col min="9" max="9" width="7.375" style="1" customWidth="1"/>
    <col min="10" max="10" width="5" style="1" customWidth="1"/>
    <col min="11" max="11" width="6.625" style="1" customWidth="1"/>
    <col min="12" max="12" width="7.375" style="1" customWidth="1"/>
    <col min="13" max="16384" width="9" style="1"/>
  </cols>
  <sheetData>
    <row r="1" spans="1:7" s="3" customFormat="1" ht="19.5" x14ac:dyDescent="0.15">
      <c r="A1" s="2" t="s">
        <v>156</v>
      </c>
    </row>
    <row r="2" spans="1:7" x14ac:dyDescent="0.15">
      <c r="A2" s="4"/>
    </row>
    <row r="3" spans="1:7" s="3" customFormat="1" ht="19.5" x14ac:dyDescent="0.15">
      <c r="A3" s="4" t="s">
        <v>13</v>
      </c>
      <c r="D3" s="6"/>
      <c r="E3" s="46"/>
      <c r="F3" s="47"/>
      <c r="G3" s="47"/>
    </row>
    <row r="4" spans="1:7" x14ac:dyDescent="0.15">
      <c r="A4" s="315"/>
      <c r="B4" s="315" t="s">
        <v>0</v>
      </c>
      <c r="C4" s="315" t="s">
        <v>1</v>
      </c>
      <c r="D4" s="22"/>
      <c r="E4" s="7"/>
      <c r="F4" s="8"/>
      <c r="G4" s="49"/>
    </row>
    <row r="5" spans="1:7" x14ac:dyDescent="0.15">
      <c r="A5" s="299" t="s">
        <v>28</v>
      </c>
      <c r="B5" s="261">
        <v>87</v>
      </c>
      <c r="C5" s="301">
        <f>IFERROR(B5/B$11,"-")</f>
        <v>9.5165171734850149E-3</v>
      </c>
      <c r="D5" s="22"/>
      <c r="E5" s="7"/>
      <c r="F5" s="8"/>
      <c r="G5" s="49"/>
    </row>
    <row r="6" spans="1:7" x14ac:dyDescent="0.15">
      <c r="A6" s="299" t="s">
        <v>29</v>
      </c>
      <c r="B6" s="261">
        <v>486</v>
      </c>
      <c r="C6" s="301">
        <f t="shared" ref="C6:C10" si="0">IFERROR(B6/B$11,"-")</f>
        <v>5.3161233865674909E-2</v>
      </c>
      <c r="D6" s="22"/>
      <c r="E6" s="7"/>
      <c r="F6" s="8"/>
      <c r="G6" s="49"/>
    </row>
    <row r="7" spans="1:7" x14ac:dyDescent="0.15">
      <c r="A7" s="299" t="s">
        <v>30</v>
      </c>
      <c r="B7" s="261">
        <v>1482</v>
      </c>
      <c r="C7" s="301">
        <f t="shared" si="0"/>
        <v>0.16210894771384818</v>
      </c>
      <c r="D7" s="22"/>
      <c r="E7" s="7"/>
      <c r="F7" s="8"/>
      <c r="G7" s="49"/>
    </row>
    <row r="8" spans="1:7" x14ac:dyDescent="0.15">
      <c r="A8" s="299" t="s">
        <v>31</v>
      </c>
      <c r="B8" s="261">
        <v>3910</v>
      </c>
      <c r="C8" s="301">
        <f t="shared" si="0"/>
        <v>0.42769634653248745</v>
      </c>
      <c r="D8" s="22"/>
      <c r="E8" s="7"/>
      <c r="F8" s="8"/>
      <c r="G8" s="49"/>
    </row>
    <row r="9" spans="1:7" x14ac:dyDescent="0.15">
      <c r="A9" s="299" t="s">
        <v>32</v>
      </c>
      <c r="B9" s="261">
        <v>2633</v>
      </c>
      <c r="C9" s="301">
        <f t="shared" si="0"/>
        <v>0.28801137606650623</v>
      </c>
      <c r="D9" s="22"/>
      <c r="E9" s="7"/>
      <c r="F9" s="8"/>
      <c r="G9" s="49"/>
    </row>
    <row r="10" spans="1:7" x14ac:dyDescent="0.15">
      <c r="A10" s="299" t="s">
        <v>33</v>
      </c>
      <c r="B10" s="261">
        <v>544</v>
      </c>
      <c r="C10" s="301">
        <f t="shared" si="0"/>
        <v>5.9505578647998249E-2</v>
      </c>
      <c r="D10" s="22"/>
      <c r="E10" s="50"/>
      <c r="F10" s="51"/>
      <c r="G10" s="52"/>
    </row>
    <row r="11" spans="1:7" x14ac:dyDescent="0.15">
      <c r="A11" s="317" t="s">
        <v>11</v>
      </c>
      <c r="B11" s="318">
        <f>SUM(B5:B10)</f>
        <v>9142</v>
      </c>
      <c r="C11" s="486">
        <f>SUM(C5:C10)</f>
        <v>0.99999999999999989</v>
      </c>
      <c r="D11" s="22"/>
      <c r="E11" s="22"/>
      <c r="F11" s="22"/>
      <c r="G11" s="22"/>
    </row>
  </sheetData>
  <phoneticPr fontId="2"/>
  <pageMargins left="0.70866141732283472" right="0.70866141732283472" top="0.74803149606299213" bottom="0.74803149606299213" header="0.31496062992125984" footer="0.31496062992125984"/>
  <pageSetup paperSize="11"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5361" r:id="rId4" name="Button 1">
              <controlPr defaultSize="0" print="0" autoFill="0" autoPict="0" macro="[0]!データ削除10">
                <anchor moveWithCells="1" sizeWithCells="1">
                  <from>
                    <xdr:col>3</xdr:col>
                    <xdr:colOff>371475</xdr:colOff>
                    <xdr:row>1</xdr:row>
                    <xdr:rowOff>114300</xdr:rowOff>
                  </from>
                  <to>
                    <xdr:col>5</xdr:col>
                    <xdr:colOff>57150</xdr:colOff>
                    <xdr:row>3</xdr:row>
                    <xdr:rowOff>19050</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rgb="FF00B0F0"/>
    <pageSetUpPr fitToPage="1"/>
  </sheetPr>
  <dimension ref="A1:AJ63"/>
  <sheetViews>
    <sheetView showGridLines="0" view="pageBreakPreview" zoomScale="70" zoomScaleNormal="85" zoomScaleSheetLayoutView="70" workbookViewId="0">
      <selection activeCell="K1" sqref="K1:L1048576"/>
    </sheetView>
  </sheetViews>
  <sheetFormatPr defaultRowHeight="18.75" x14ac:dyDescent="0.15"/>
  <cols>
    <col min="1" max="1" width="62.5" style="1" customWidth="1"/>
    <col min="2" max="3" width="9.375" style="1" customWidth="1"/>
    <col min="4" max="4" width="4.125" style="1" customWidth="1"/>
    <col min="5" max="5" width="43.75" style="1" customWidth="1"/>
    <col min="6" max="9" width="9.375" style="1" customWidth="1"/>
    <col min="10" max="10" width="6.25" style="1" customWidth="1"/>
    <col min="11" max="11" width="3.125" style="1" hidden="1" customWidth="1"/>
    <col min="12" max="12" width="49.625" style="1" hidden="1" customWidth="1"/>
    <col min="13" max="13" width="8.125" style="1" customWidth="1"/>
    <col min="14" max="14" width="2.625" style="1" customWidth="1"/>
    <col min="15" max="15" width="4.5" style="1" customWidth="1"/>
    <col min="16" max="16" width="57.125" style="1" customWidth="1"/>
    <col min="17" max="17" width="6.375" style="1" customWidth="1"/>
    <col min="18" max="18" width="25.25" style="1" customWidth="1"/>
    <col min="19" max="19" width="47.875" style="1" bestFit="1" customWidth="1"/>
    <col min="20" max="20" width="34" style="1" customWidth="1"/>
    <col min="21" max="21" width="25.25" style="1" customWidth="1"/>
    <col min="22" max="22" width="55.25" style="1" customWidth="1"/>
    <col min="23" max="23" width="41.5" style="1" customWidth="1"/>
    <col min="24" max="24" width="32.75" style="1" customWidth="1"/>
    <col min="25" max="26" width="47.875" style="1" bestFit="1" customWidth="1"/>
    <col min="27" max="27" width="29" style="1" bestFit="1" customWidth="1"/>
    <col min="28" max="28" width="55.25" style="1" bestFit="1" customWidth="1"/>
    <col min="29" max="29" width="41.5" style="1" bestFit="1" customWidth="1"/>
    <col min="30" max="30" width="32.75" style="1" bestFit="1" customWidth="1"/>
    <col min="31" max="16384" width="9" style="1"/>
  </cols>
  <sheetData>
    <row r="1" spans="1:17" s="3" customFormat="1" ht="19.5" x14ac:dyDescent="0.15">
      <c r="A1" s="2" t="s">
        <v>237</v>
      </c>
    </row>
    <row r="2" spans="1:17" x14ac:dyDescent="0.15">
      <c r="A2" s="4"/>
    </row>
    <row r="3" spans="1:17" x14ac:dyDescent="0.15">
      <c r="A3" s="4" t="s">
        <v>13</v>
      </c>
      <c r="E3" s="4" t="s">
        <v>114</v>
      </c>
    </row>
    <row r="4" spans="1:17" x14ac:dyDescent="0.15">
      <c r="A4" s="333"/>
      <c r="B4" s="315" t="s">
        <v>0</v>
      </c>
      <c r="C4" s="315" t="s">
        <v>1</v>
      </c>
      <c r="E4" s="333"/>
      <c r="F4" s="315" t="s">
        <v>115</v>
      </c>
      <c r="G4" s="334" t="s">
        <v>117</v>
      </c>
      <c r="H4" s="315" t="s">
        <v>12</v>
      </c>
      <c r="I4" s="315" t="s">
        <v>1</v>
      </c>
      <c r="L4" s="142"/>
      <c r="M4" s="142"/>
      <c r="P4" s="142"/>
      <c r="Q4" s="142"/>
    </row>
    <row r="5" spans="1:17" ht="37.5" x14ac:dyDescent="0.15">
      <c r="A5" s="308" t="s">
        <v>232</v>
      </c>
      <c r="B5" s="329">
        <v>1601</v>
      </c>
      <c r="C5" s="301">
        <f>IFERROR(B5/B$8,"-")</f>
        <v>0.17512579304309778</v>
      </c>
      <c r="E5" s="308" t="s">
        <v>232</v>
      </c>
      <c r="F5" s="330">
        <v>55</v>
      </c>
      <c r="G5" s="329">
        <v>362</v>
      </c>
      <c r="H5" s="259">
        <f>SUM(F5:G5)</f>
        <v>417</v>
      </c>
      <c r="I5" s="301">
        <f>IFERROR(H5/H$8,"-")</f>
        <v>0.72774869109947649</v>
      </c>
      <c r="L5" s="38"/>
      <c r="M5" s="23"/>
      <c r="P5" s="38"/>
      <c r="Q5" s="23"/>
    </row>
    <row r="6" spans="1:17" x14ac:dyDescent="0.15">
      <c r="A6" s="303" t="s">
        <v>233</v>
      </c>
      <c r="B6" s="305">
        <v>7298</v>
      </c>
      <c r="C6" s="301">
        <f t="shared" ref="C6:C7" si="0">IFERROR(B6/B$8,"-")</f>
        <v>0.79829359002406475</v>
      </c>
      <c r="E6" s="303" t="s">
        <v>233</v>
      </c>
      <c r="F6" s="305">
        <v>1</v>
      </c>
      <c r="G6" s="305">
        <v>59</v>
      </c>
      <c r="H6" s="259">
        <f t="shared" ref="H6:H7" si="1">SUM(F6:G6)</f>
        <v>60</v>
      </c>
      <c r="I6" s="301">
        <f t="shared" ref="I6:I7" si="2">IFERROR(H6/H$8,"-")</f>
        <v>0.10471204188481675</v>
      </c>
      <c r="L6" s="38"/>
      <c r="M6" s="23"/>
      <c r="P6" s="38"/>
      <c r="Q6" s="23"/>
    </row>
    <row r="7" spans="1:17" x14ac:dyDescent="0.15">
      <c r="A7" s="303" t="s">
        <v>234</v>
      </c>
      <c r="B7" s="305">
        <v>243</v>
      </c>
      <c r="C7" s="301">
        <f t="shared" si="0"/>
        <v>2.6580616932837454E-2</v>
      </c>
      <c r="E7" s="303" t="s">
        <v>234</v>
      </c>
      <c r="F7" s="305">
        <v>31</v>
      </c>
      <c r="G7" s="305">
        <v>65</v>
      </c>
      <c r="H7" s="259">
        <f t="shared" si="1"/>
        <v>96</v>
      </c>
      <c r="I7" s="301">
        <f t="shared" si="2"/>
        <v>0.16753926701570682</v>
      </c>
      <c r="L7" s="38"/>
      <c r="M7" s="23"/>
      <c r="P7" s="38"/>
      <c r="Q7" s="23"/>
    </row>
    <row r="8" spans="1:17" x14ac:dyDescent="0.15">
      <c r="A8" s="317" t="s">
        <v>11</v>
      </c>
      <c r="B8" s="318">
        <f>SUM(B5:B7)</f>
        <v>9142</v>
      </c>
      <c r="C8" s="319">
        <f>SUM(C5:C7)</f>
        <v>0.99999999999999989</v>
      </c>
      <c r="E8" s="317" t="s">
        <v>11</v>
      </c>
      <c r="F8" s="318">
        <f>SUM(F5:F7)</f>
        <v>87</v>
      </c>
      <c r="G8" s="318">
        <f>SUM(G5:G7)</f>
        <v>486</v>
      </c>
      <c r="H8" s="318">
        <f>SUM(H5:H7)</f>
        <v>573</v>
      </c>
      <c r="I8" s="319">
        <f>SUM(I5:I7)</f>
        <v>1</v>
      </c>
      <c r="L8" s="38"/>
      <c r="M8" s="23"/>
      <c r="P8" s="38"/>
      <c r="Q8" s="23"/>
    </row>
    <row r="9" spans="1:17" s="139" customFormat="1" ht="11.25" customHeight="1" x14ac:dyDescent="0.15">
      <c r="A9" s="58"/>
      <c r="B9" s="180"/>
      <c r="C9" s="181"/>
      <c r="E9" s="58"/>
      <c r="F9" s="180"/>
      <c r="G9" s="180"/>
      <c r="H9" s="180"/>
      <c r="I9" s="181"/>
      <c r="L9" s="182"/>
      <c r="M9" s="183"/>
      <c r="P9" s="182"/>
      <c r="Q9" s="183"/>
    </row>
    <row r="10" spans="1:17" s="3" customFormat="1" ht="19.5" x14ac:dyDescent="0.15">
      <c r="A10" s="2" t="s">
        <v>85</v>
      </c>
    </row>
    <row r="11" spans="1:17" x14ac:dyDescent="0.15">
      <c r="A11" s="4"/>
    </row>
    <row r="12" spans="1:17" x14ac:dyDescent="0.15">
      <c r="A12" s="4" t="s">
        <v>13</v>
      </c>
      <c r="E12" s="4" t="s">
        <v>114</v>
      </c>
    </row>
    <row r="13" spans="1:17" x14ac:dyDescent="0.15">
      <c r="A13" s="333"/>
      <c r="B13" s="315" t="s">
        <v>0</v>
      </c>
      <c r="C13" s="315" t="s">
        <v>1</v>
      </c>
      <c r="E13" s="333"/>
      <c r="F13" s="315" t="s">
        <v>115</v>
      </c>
      <c r="G13" s="334" t="s">
        <v>117</v>
      </c>
      <c r="H13" s="315" t="s">
        <v>12</v>
      </c>
      <c r="I13" s="315" t="s">
        <v>1</v>
      </c>
      <c r="L13" s="142"/>
      <c r="M13" s="142"/>
      <c r="P13" s="142"/>
      <c r="Q13" s="142"/>
    </row>
    <row r="14" spans="1:17" x14ac:dyDescent="0.45">
      <c r="A14" s="303" t="s">
        <v>34</v>
      </c>
      <c r="B14" s="331">
        <v>1551</v>
      </c>
      <c r="C14" s="301">
        <f>IFERROR(B14/B$16,"-")</f>
        <v>0.96876951905059339</v>
      </c>
      <c r="E14" s="303" t="s">
        <v>34</v>
      </c>
      <c r="F14" s="330">
        <v>54</v>
      </c>
      <c r="G14" s="331">
        <v>349</v>
      </c>
      <c r="H14" s="259">
        <f>SUM(F14:G14)</f>
        <v>403</v>
      </c>
      <c r="I14" s="301">
        <f>IFERROR(H14/H$16,"-")</f>
        <v>0.96642685851318944</v>
      </c>
      <c r="L14" s="38"/>
      <c r="M14" s="23"/>
      <c r="P14" s="38"/>
      <c r="Q14" s="23"/>
    </row>
    <row r="15" spans="1:17" x14ac:dyDescent="0.15">
      <c r="A15" s="303" t="s">
        <v>35</v>
      </c>
      <c r="B15" s="305">
        <v>50</v>
      </c>
      <c r="C15" s="301">
        <f>IFERROR(B15/B$16,"-")</f>
        <v>3.1230480949406621E-2</v>
      </c>
      <c r="E15" s="303" t="s">
        <v>35</v>
      </c>
      <c r="F15" s="305">
        <v>1</v>
      </c>
      <c r="G15" s="305">
        <v>13</v>
      </c>
      <c r="H15" s="259">
        <f t="shared" ref="H15" si="3">SUM(F15:G15)</f>
        <v>14</v>
      </c>
      <c r="I15" s="301">
        <f>IFERROR(H15/H$16,"-")</f>
        <v>3.3573141486810551E-2</v>
      </c>
      <c r="L15" s="38"/>
      <c r="M15" s="23"/>
      <c r="P15" s="38"/>
      <c r="Q15" s="23"/>
    </row>
    <row r="16" spans="1:17" x14ac:dyDescent="0.15">
      <c r="A16" s="317" t="s">
        <v>11</v>
      </c>
      <c r="B16" s="318">
        <f>SUM(B14:B15)</f>
        <v>1601</v>
      </c>
      <c r="C16" s="319">
        <f>SUM(C14:C15)</f>
        <v>1</v>
      </c>
      <c r="E16" s="317" t="s">
        <v>11</v>
      </c>
      <c r="F16" s="318">
        <f>SUM(F14:F15)</f>
        <v>55</v>
      </c>
      <c r="G16" s="318">
        <f>SUM(G14:G15)</f>
        <v>362</v>
      </c>
      <c r="H16" s="318">
        <f>SUM(H14:H15)</f>
        <v>417</v>
      </c>
      <c r="I16" s="319">
        <f>SUM(I14:I15)</f>
        <v>1</v>
      </c>
      <c r="L16" s="38"/>
      <c r="M16" s="23"/>
      <c r="P16" s="38"/>
      <c r="Q16" s="23"/>
    </row>
    <row r="17" spans="1:36" x14ac:dyDescent="0.15">
      <c r="A17" s="4"/>
      <c r="L17" s="38"/>
      <c r="M17" s="23"/>
      <c r="P17" s="38"/>
      <c r="Q17" s="23"/>
    </row>
    <row r="18" spans="1:36" s="3" customFormat="1" ht="19.5" x14ac:dyDescent="0.15">
      <c r="A18" s="2" t="s">
        <v>86</v>
      </c>
      <c r="K18" s="1"/>
      <c r="L18" s="38"/>
      <c r="M18" s="23"/>
      <c r="O18" s="1"/>
      <c r="P18" s="38"/>
      <c r="Q18" s="23"/>
    </row>
    <row r="19" spans="1:36" x14ac:dyDescent="0.15">
      <c r="A19" s="4"/>
      <c r="L19" s="38"/>
      <c r="M19" s="23"/>
      <c r="P19" s="38"/>
      <c r="Q19" s="23"/>
    </row>
    <row r="20" spans="1:36" x14ac:dyDescent="0.15">
      <c r="A20" s="4" t="s">
        <v>13</v>
      </c>
      <c r="E20" s="4" t="s">
        <v>114</v>
      </c>
      <c r="L20" s="38"/>
      <c r="M20" s="23"/>
      <c r="P20" s="38"/>
      <c r="Q20" s="23"/>
    </row>
    <row r="21" spans="1:36" x14ac:dyDescent="0.15">
      <c r="A21" s="617">
        <f>B14</f>
        <v>1551</v>
      </c>
      <c r="B21" s="617"/>
      <c r="C21" s="617"/>
      <c r="E21" s="618">
        <f>H14</f>
        <v>403</v>
      </c>
      <c r="F21" s="618"/>
      <c r="G21" s="618"/>
      <c r="H21" s="618"/>
      <c r="I21" s="618"/>
      <c r="L21" s="38"/>
      <c r="M21" s="23"/>
      <c r="P21" s="38"/>
      <c r="Q21" s="23"/>
    </row>
    <row r="22" spans="1:36" x14ac:dyDescent="0.15">
      <c r="A22" s="333"/>
      <c r="B22" s="315" t="s">
        <v>37</v>
      </c>
      <c r="C22" s="315" t="s">
        <v>1</v>
      </c>
      <c r="E22" s="333"/>
      <c r="F22" s="315" t="s">
        <v>115</v>
      </c>
      <c r="G22" s="334" t="s">
        <v>117</v>
      </c>
      <c r="H22" s="315" t="s">
        <v>12</v>
      </c>
      <c r="I22" s="315" t="s">
        <v>1</v>
      </c>
      <c r="L22" s="38"/>
      <c r="M22" s="23"/>
      <c r="P22" s="38"/>
      <c r="Q22" s="23"/>
    </row>
    <row r="23" spans="1:36" ht="37.5" customHeight="1" x14ac:dyDescent="0.15">
      <c r="A23" s="308" t="s">
        <v>251</v>
      </c>
      <c r="B23" s="305">
        <v>567</v>
      </c>
      <c r="C23" s="301">
        <f>IFERROR(B23/B$14,"-")</f>
        <v>0.3655705996131528</v>
      </c>
      <c r="E23" s="332" t="s">
        <v>236</v>
      </c>
      <c r="F23" s="305">
        <v>9</v>
      </c>
      <c r="G23" s="305">
        <v>115</v>
      </c>
      <c r="H23" s="259">
        <f>SUM(F23:G23)</f>
        <v>124</v>
      </c>
      <c r="I23" s="301">
        <f>IFERROR(H23/H$14,"-")</f>
        <v>0.30769230769230771</v>
      </c>
      <c r="L23" s="38"/>
      <c r="M23" s="23"/>
      <c r="P23" s="38"/>
      <c r="Q23" s="23"/>
    </row>
    <row r="24" spans="1:36" x14ac:dyDescent="0.15">
      <c r="A24" s="303" t="s">
        <v>160</v>
      </c>
      <c r="B24" s="305">
        <v>498</v>
      </c>
      <c r="C24" s="301">
        <f t="shared" ref="C24:C40" si="4">IFERROR(B24/B$14,"-")</f>
        <v>0.32108317214700194</v>
      </c>
      <c r="E24" s="303" t="s">
        <v>160</v>
      </c>
      <c r="F24" s="305">
        <v>11</v>
      </c>
      <c r="G24" s="305">
        <v>81</v>
      </c>
      <c r="H24" s="259">
        <f t="shared" ref="H24:H40" si="5">SUM(F24:G24)</f>
        <v>92</v>
      </c>
      <c r="I24" s="301">
        <f t="shared" ref="I24:I40" si="6">IFERROR(H24/H$14,"-")</f>
        <v>0.22828784119106699</v>
      </c>
      <c r="L24" s="38"/>
      <c r="M24" s="23"/>
      <c r="P24" s="38"/>
      <c r="Q24" s="23"/>
    </row>
    <row r="25" spans="1:36" x14ac:dyDescent="0.15">
      <c r="A25" s="303" t="s">
        <v>38</v>
      </c>
      <c r="B25" s="305">
        <v>97</v>
      </c>
      <c r="C25" s="301">
        <f t="shared" si="4"/>
        <v>6.2540296582849778E-2</v>
      </c>
      <c r="E25" s="303" t="s">
        <v>38</v>
      </c>
      <c r="F25" s="305">
        <v>2</v>
      </c>
      <c r="G25" s="305">
        <v>16</v>
      </c>
      <c r="H25" s="259">
        <f t="shared" si="5"/>
        <v>18</v>
      </c>
      <c r="I25" s="301">
        <f t="shared" si="6"/>
        <v>4.4665012406947889E-2</v>
      </c>
      <c r="L25" s="38"/>
      <c r="M25" s="23"/>
      <c r="P25" s="38"/>
      <c r="Q25" s="23"/>
    </row>
    <row r="26" spans="1:36" x14ac:dyDescent="0.15">
      <c r="A26" s="303" t="s">
        <v>39</v>
      </c>
      <c r="B26" s="305">
        <v>660</v>
      </c>
      <c r="C26" s="301">
        <f t="shared" si="4"/>
        <v>0.42553191489361702</v>
      </c>
      <c r="E26" s="303" t="s">
        <v>39</v>
      </c>
      <c r="F26" s="305">
        <v>21</v>
      </c>
      <c r="G26" s="305">
        <v>162</v>
      </c>
      <c r="H26" s="259">
        <f t="shared" si="5"/>
        <v>183</v>
      </c>
      <c r="I26" s="301">
        <f t="shared" si="6"/>
        <v>0.45409429280397023</v>
      </c>
      <c r="L26" s="38"/>
      <c r="M26" s="23"/>
      <c r="P26" s="38"/>
      <c r="Q26" s="23"/>
    </row>
    <row r="27" spans="1:36" x14ac:dyDescent="0.15">
      <c r="A27" s="303" t="s">
        <v>40</v>
      </c>
      <c r="B27" s="305">
        <v>713</v>
      </c>
      <c r="C27" s="301">
        <f t="shared" si="4"/>
        <v>0.45970341715022567</v>
      </c>
      <c r="E27" s="303" t="s">
        <v>40</v>
      </c>
      <c r="F27" s="305">
        <v>9</v>
      </c>
      <c r="G27" s="305">
        <v>116</v>
      </c>
      <c r="H27" s="259">
        <f t="shared" si="5"/>
        <v>125</v>
      </c>
      <c r="I27" s="301">
        <f t="shared" si="6"/>
        <v>0.31017369727047145</v>
      </c>
      <c r="L27" s="38"/>
      <c r="M27" s="23"/>
      <c r="P27" s="38"/>
      <c r="Q27" s="23"/>
    </row>
    <row r="28" spans="1:36" x14ac:dyDescent="0.15">
      <c r="A28" s="303" t="s">
        <v>41</v>
      </c>
      <c r="B28" s="305">
        <v>531</v>
      </c>
      <c r="C28" s="301">
        <f t="shared" si="4"/>
        <v>0.34235976789168276</v>
      </c>
      <c r="E28" s="303" t="s">
        <v>41</v>
      </c>
      <c r="F28" s="305">
        <v>15</v>
      </c>
      <c r="G28" s="305">
        <v>135</v>
      </c>
      <c r="H28" s="259">
        <f t="shared" si="5"/>
        <v>150</v>
      </c>
      <c r="I28" s="301">
        <f t="shared" si="6"/>
        <v>0.37220843672456577</v>
      </c>
      <c r="L28" s="38"/>
      <c r="M28" s="23"/>
      <c r="P28" s="38"/>
      <c r="Q28" s="23"/>
    </row>
    <row r="29" spans="1:36" x14ac:dyDescent="0.15">
      <c r="A29" s="303" t="s">
        <v>42</v>
      </c>
      <c r="B29" s="305">
        <v>157</v>
      </c>
      <c r="C29" s="301">
        <f t="shared" si="4"/>
        <v>0.10122501611863315</v>
      </c>
      <c r="E29" s="303" t="s">
        <v>42</v>
      </c>
      <c r="F29" s="305">
        <v>1</v>
      </c>
      <c r="G29" s="305">
        <v>32</v>
      </c>
      <c r="H29" s="259">
        <f t="shared" si="5"/>
        <v>33</v>
      </c>
      <c r="I29" s="301">
        <f t="shared" si="6"/>
        <v>8.1885856079404462E-2</v>
      </c>
      <c r="L29" s="38"/>
      <c r="M29" s="23"/>
      <c r="P29" s="38"/>
      <c r="Q29" s="23"/>
    </row>
    <row r="30" spans="1:36" x14ac:dyDescent="0.15">
      <c r="A30" s="303" t="s">
        <v>43</v>
      </c>
      <c r="B30" s="305">
        <v>599</v>
      </c>
      <c r="C30" s="301">
        <f t="shared" si="4"/>
        <v>0.38620245003223724</v>
      </c>
      <c r="E30" s="303" t="s">
        <v>43</v>
      </c>
      <c r="F30" s="305">
        <v>15</v>
      </c>
      <c r="G30" s="305">
        <v>112</v>
      </c>
      <c r="H30" s="259">
        <f t="shared" si="5"/>
        <v>127</v>
      </c>
      <c r="I30" s="301">
        <f t="shared" si="6"/>
        <v>0.31513647642679898</v>
      </c>
      <c r="L30" s="38"/>
      <c r="M30" s="23"/>
      <c r="P30" s="38"/>
      <c r="Q30" s="23"/>
    </row>
    <row r="31" spans="1:36" x14ac:dyDescent="0.15">
      <c r="A31" s="303" t="s">
        <v>44</v>
      </c>
      <c r="B31" s="305">
        <v>316</v>
      </c>
      <c r="C31" s="301">
        <f t="shared" si="4"/>
        <v>0.20373952288845906</v>
      </c>
      <c r="E31" s="303" t="s">
        <v>44</v>
      </c>
      <c r="F31" s="305">
        <v>7</v>
      </c>
      <c r="G31" s="305">
        <v>58</v>
      </c>
      <c r="H31" s="259">
        <f t="shared" si="5"/>
        <v>65</v>
      </c>
      <c r="I31" s="301">
        <f t="shared" si="6"/>
        <v>0.16129032258064516</v>
      </c>
      <c r="K31" s="22"/>
      <c r="L31" s="7"/>
      <c r="M31" s="86"/>
      <c r="N31" s="22"/>
      <c r="O31" s="22"/>
      <c r="P31" s="7"/>
      <c r="Q31" s="86"/>
      <c r="R31" s="22"/>
      <c r="S31" s="22"/>
      <c r="T31" s="22"/>
      <c r="U31" s="22"/>
      <c r="V31" s="22"/>
      <c r="W31" s="22"/>
      <c r="X31" s="22"/>
      <c r="Y31" s="22"/>
      <c r="Z31" s="22"/>
      <c r="AA31" s="22"/>
      <c r="AB31" s="22"/>
      <c r="AC31" s="22"/>
      <c r="AD31" s="22"/>
      <c r="AE31" s="22"/>
      <c r="AF31" s="22"/>
      <c r="AG31" s="22"/>
      <c r="AH31" s="22"/>
      <c r="AI31" s="22"/>
      <c r="AJ31" s="22"/>
    </row>
    <row r="32" spans="1:36" x14ac:dyDescent="0.15">
      <c r="A32" s="303" t="s">
        <v>247</v>
      </c>
      <c r="B32" s="305">
        <v>396</v>
      </c>
      <c r="C32" s="301">
        <f t="shared" si="4"/>
        <v>0.25531914893617019</v>
      </c>
      <c r="E32" s="303" t="s">
        <v>247</v>
      </c>
      <c r="F32" s="305">
        <v>18</v>
      </c>
      <c r="G32" s="305">
        <v>89</v>
      </c>
      <c r="H32" s="259">
        <f t="shared" si="5"/>
        <v>107</v>
      </c>
      <c r="I32" s="301">
        <f t="shared" si="6"/>
        <v>0.26550868486352358</v>
      </c>
      <c r="K32" s="22"/>
      <c r="L32" s="7"/>
      <c r="M32" s="86"/>
      <c r="N32" s="22"/>
      <c r="O32" s="22"/>
      <c r="P32" s="7"/>
      <c r="Q32" s="86"/>
      <c r="R32" s="22"/>
      <c r="S32" s="22"/>
      <c r="T32" s="22"/>
      <c r="U32" s="22"/>
      <c r="V32" s="22"/>
      <c r="W32" s="22"/>
      <c r="X32" s="22"/>
      <c r="Y32" s="22"/>
      <c r="Z32" s="22"/>
      <c r="AA32" s="22"/>
      <c r="AB32" s="22"/>
      <c r="AC32" s="22"/>
      <c r="AD32" s="22"/>
      <c r="AE32" s="22"/>
      <c r="AF32" s="22"/>
      <c r="AG32" s="22"/>
      <c r="AH32" s="22"/>
      <c r="AI32" s="22"/>
      <c r="AJ32" s="22"/>
    </row>
    <row r="33" spans="1:36" x14ac:dyDescent="0.15">
      <c r="A33" s="303" t="s">
        <v>46</v>
      </c>
      <c r="B33" s="305">
        <v>525</v>
      </c>
      <c r="C33" s="301">
        <f t="shared" si="4"/>
        <v>0.33849129593810445</v>
      </c>
      <c r="E33" s="303" t="s">
        <v>46</v>
      </c>
      <c r="F33" s="305">
        <v>16</v>
      </c>
      <c r="G33" s="305">
        <v>101</v>
      </c>
      <c r="H33" s="259">
        <f t="shared" si="5"/>
        <v>117</v>
      </c>
      <c r="I33" s="301">
        <f t="shared" si="6"/>
        <v>0.29032258064516131</v>
      </c>
      <c r="K33" s="22"/>
      <c r="L33" s="7"/>
      <c r="M33" s="86"/>
      <c r="N33" s="22"/>
      <c r="O33" s="22"/>
      <c r="P33" s="7"/>
      <c r="Q33" s="86"/>
      <c r="R33" s="22"/>
      <c r="S33" s="22"/>
      <c r="T33" s="22"/>
      <c r="U33" s="22"/>
      <c r="V33" s="22"/>
      <c r="W33" s="22"/>
      <c r="X33" s="22"/>
      <c r="Y33" s="22"/>
      <c r="Z33" s="22"/>
      <c r="AA33" s="22"/>
      <c r="AB33" s="22"/>
      <c r="AC33" s="22"/>
      <c r="AD33" s="22"/>
      <c r="AE33" s="22"/>
      <c r="AF33" s="22"/>
      <c r="AG33" s="22"/>
      <c r="AH33" s="22"/>
      <c r="AI33" s="22"/>
      <c r="AJ33" s="22"/>
    </row>
    <row r="34" spans="1:36" x14ac:dyDescent="0.15">
      <c r="A34" s="303" t="s">
        <v>47</v>
      </c>
      <c r="B34" s="305">
        <v>74</v>
      </c>
      <c r="C34" s="301">
        <f t="shared" si="4"/>
        <v>4.7711154094132818E-2</v>
      </c>
      <c r="E34" s="303" t="s">
        <v>47</v>
      </c>
      <c r="F34" s="305">
        <v>7</v>
      </c>
      <c r="G34" s="305">
        <v>26</v>
      </c>
      <c r="H34" s="259">
        <f t="shared" si="5"/>
        <v>33</v>
      </c>
      <c r="I34" s="301">
        <f t="shared" si="6"/>
        <v>8.1885856079404462E-2</v>
      </c>
      <c r="K34" s="22"/>
      <c r="L34" s="7"/>
      <c r="M34" s="86"/>
      <c r="N34" s="22"/>
      <c r="O34" s="22"/>
      <c r="P34" s="7"/>
      <c r="Q34" s="86"/>
      <c r="R34" s="22"/>
      <c r="S34" s="22"/>
      <c r="T34" s="22"/>
      <c r="U34" s="22"/>
      <c r="V34" s="22"/>
      <c r="W34" s="22"/>
      <c r="X34" s="22"/>
      <c r="Y34" s="22"/>
      <c r="Z34" s="22"/>
      <c r="AA34" s="22"/>
      <c r="AB34" s="22"/>
      <c r="AC34" s="22"/>
      <c r="AD34" s="22"/>
      <c r="AE34" s="22"/>
      <c r="AF34" s="22"/>
      <c r="AG34" s="22"/>
      <c r="AH34" s="22"/>
      <c r="AI34" s="22"/>
      <c r="AJ34" s="22"/>
    </row>
    <row r="35" spans="1:36" x14ac:dyDescent="0.15">
      <c r="A35" s="303" t="s">
        <v>48</v>
      </c>
      <c r="B35" s="305">
        <v>95</v>
      </c>
      <c r="C35" s="301">
        <f t="shared" si="4"/>
        <v>6.1250805931656993E-2</v>
      </c>
      <c r="E35" s="303" t="s">
        <v>48</v>
      </c>
      <c r="F35" s="305">
        <v>4</v>
      </c>
      <c r="G35" s="305">
        <v>19</v>
      </c>
      <c r="H35" s="259">
        <f t="shared" si="5"/>
        <v>23</v>
      </c>
      <c r="I35" s="301">
        <f t="shared" si="6"/>
        <v>5.7071960297766747E-2</v>
      </c>
      <c r="K35" s="22"/>
      <c r="L35" s="22"/>
      <c r="M35" s="22"/>
      <c r="N35" s="22"/>
      <c r="O35" s="22"/>
      <c r="P35" s="22"/>
      <c r="Q35" s="22"/>
      <c r="R35" s="22"/>
      <c r="S35" s="22"/>
      <c r="T35" s="22"/>
      <c r="U35" s="22"/>
      <c r="V35" s="22"/>
      <c r="W35" s="22"/>
      <c r="X35" s="22"/>
      <c r="Y35" s="22"/>
      <c r="Z35" s="22"/>
      <c r="AA35" s="22"/>
      <c r="AB35" s="22"/>
      <c r="AC35" s="22"/>
      <c r="AD35" s="22"/>
      <c r="AE35" s="22"/>
      <c r="AF35" s="22"/>
      <c r="AG35" s="22"/>
      <c r="AH35" s="22"/>
      <c r="AI35" s="22"/>
      <c r="AJ35" s="22"/>
    </row>
    <row r="36" spans="1:36" x14ac:dyDescent="0.15">
      <c r="A36" s="303" t="s">
        <v>49</v>
      </c>
      <c r="B36" s="305">
        <v>7</v>
      </c>
      <c r="C36" s="301">
        <f t="shared" si="4"/>
        <v>4.5132172791747258E-3</v>
      </c>
      <c r="E36" s="303" t="s">
        <v>49</v>
      </c>
      <c r="F36" s="305">
        <v>0</v>
      </c>
      <c r="G36" s="305">
        <v>0</v>
      </c>
      <c r="H36" s="259">
        <f t="shared" si="5"/>
        <v>0</v>
      </c>
      <c r="I36" s="301">
        <f t="shared" si="6"/>
        <v>0</v>
      </c>
      <c r="K36" s="22"/>
      <c r="L36" s="22"/>
      <c r="M36" s="22"/>
      <c r="N36" s="22"/>
      <c r="O36" s="22"/>
      <c r="P36" s="22"/>
      <c r="Q36" s="22"/>
      <c r="R36" s="22"/>
      <c r="S36" s="22"/>
      <c r="T36" s="22"/>
      <c r="U36" s="22"/>
      <c r="V36" s="22"/>
      <c r="W36" s="22"/>
      <c r="X36" s="22"/>
      <c r="Y36" s="22"/>
      <c r="Z36" s="22"/>
      <c r="AA36" s="22"/>
      <c r="AB36" s="22"/>
      <c r="AC36" s="22"/>
      <c r="AD36" s="22"/>
      <c r="AE36" s="22"/>
      <c r="AF36" s="22"/>
      <c r="AG36" s="22"/>
      <c r="AH36" s="22"/>
      <c r="AI36" s="22"/>
      <c r="AJ36" s="22"/>
    </row>
    <row r="37" spans="1:36" x14ac:dyDescent="0.15">
      <c r="A37" s="303" t="s">
        <v>50</v>
      </c>
      <c r="B37" s="305">
        <v>159</v>
      </c>
      <c r="C37" s="301">
        <f t="shared" si="4"/>
        <v>0.10251450676982592</v>
      </c>
      <c r="E37" s="303" t="s">
        <v>50</v>
      </c>
      <c r="F37" s="305">
        <v>3</v>
      </c>
      <c r="G37" s="305">
        <v>36</v>
      </c>
      <c r="H37" s="259">
        <f t="shared" si="5"/>
        <v>39</v>
      </c>
      <c r="I37" s="301">
        <f t="shared" si="6"/>
        <v>9.6774193548387094E-2</v>
      </c>
      <c r="K37" s="22"/>
      <c r="L37" s="184"/>
      <c r="M37" s="184"/>
      <c r="N37" s="22"/>
      <c r="O37" s="22"/>
      <c r="P37" s="22"/>
      <c r="Q37" s="22"/>
      <c r="R37" s="22"/>
      <c r="S37" s="22"/>
      <c r="T37" s="22"/>
      <c r="U37" s="22"/>
      <c r="V37" s="22"/>
      <c r="W37" s="22"/>
      <c r="X37" s="22"/>
      <c r="Y37" s="22"/>
      <c r="Z37" s="22"/>
      <c r="AA37" s="22"/>
      <c r="AB37" s="22"/>
      <c r="AC37" s="22"/>
      <c r="AD37" s="22"/>
      <c r="AE37" s="22"/>
      <c r="AF37" s="22"/>
      <c r="AG37" s="22"/>
      <c r="AH37" s="22"/>
      <c r="AI37" s="22"/>
      <c r="AJ37" s="22"/>
    </row>
    <row r="38" spans="1:36" x14ac:dyDescent="0.15">
      <c r="A38" s="303" t="s">
        <v>51</v>
      </c>
      <c r="B38" s="305">
        <v>172</v>
      </c>
      <c r="C38" s="301">
        <f t="shared" si="4"/>
        <v>0.11089619600257898</v>
      </c>
      <c r="E38" s="303" t="s">
        <v>51</v>
      </c>
      <c r="F38" s="305">
        <v>7</v>
      </c>
      <c r="G38" s="305">
        <v>40</v>
      </c>
      <c r="H38" s="259">
        <f t="shared" si="5"/>
        <v>47</v>
      </c>
      <c r="I38" s="301">
        <f t="shared" si="6"/>
        <v>0.11662531017369727</v>
      </c>
      <c r="K38" s="22"/>
      <c r="L38" s="7"/>
      <c r="M38" s="86"/>
      <c r="N38" s="22"/>
      <c r="O38" s="22"/>
      <c r="P38" s="22"/>
      <c r="Q38" s="22"/>
      <c r="R38" s="22"/>
      <c r="S38" s="22"/>
      <c r="T38" s="22"/>
      <c r="U38" s="22"/>
      <c r="V38" s="22"/>
      <c r="W38" s="22"/>
      <c r="X38" s="22"/>
      <c r="Y38" s="22"/>
      <c r="Z38" s="22"/>
      <c r="AA38" s="22"/>
      <c r="AB38" s="22"/>
      <c r="AC38" s="22"/>
      <c r="AD38" s="22"/>
      <c r="AE38" s="22"/>
      <c r="AF38" s="22"/>
      <c r="AG38" s="22"/>
      <c r="AH38" s="22"/>
      <c r="AI38" s="22"/>
      <c r="AJ38" s="22"/>
    </row>
    <row r="39" spans="1:36" x14ac:dyDescent="0.15">
      <c r="A39" s="303" t="s">
        <v>248</v>
      </c>
      <c r="B39" s="305">
        <v>35</v>
      </c>
      <c r="C39" s="301">
        <f t="shared" si="4"/>
        <v>2.2566086395873632E-2</v>
      </c>
      <c r="E39" s="303" t="s">
        <v>248</v>
      </c>
      <c r="F39" s="305">
        <v>2</v>
      </c>
      <c r="G39" s="305">
        <v>15</v>
      </c>
      <c r="H39" s="259">
        <f t="shared" si="5"/>
        <v>17</v>
      </c>
      <c r="I39" s="301">
        <f t="shared" si="6"/>
        <v>4.2183622828784122E-2</v>
      </c>
      <c r="K39" s="22"/>
      <c r="L39" s="7"/>
      <c r="M39" s="86"/>
      <c r="N39" s="22"/>
      <c r="O39" s="22"/>
      <c r="P39" s="22"/>
      <c r="Q39" s="22"/>
      <c r="R39" s="22"/>
      <c r="S39" s="22"/>
      <c r="T39" s="22"/>
      <c r="U39" s="22"/>
      <c r="V39" s="22"/>
      <c r="W39" s="22"/>
      <c r="X39" s="22"/>
      <c r="Y39" s="22"/>
      <c r="Z39" s="22"/>
      <c r="AA39" s="22"/>
      <c r="AB39" s="22"/>
      <c r="AC39" s="22"/>
      <c r="AD39" s="22"/>
      <c r="AE39" s="22"/>
      <c r="AF39" s="22"/>
      <c r="AG39" s="22"/>
      <c r="AH39" s="22"/>
      <c r="AI39" s="22"/>
      <c r="AJ39" s="22"/>
    </row>
    <row r="40" spans="1:36" x14ac:dyDescent="0.15">
      <c r="A40" s="303" t="s">
        <v>53</v>
      </c>
      <c r="B40" s="305">
        <v>112</v>
      </c>
      <c r="C40" s="301">
        <f t="shared" si="4"/>
        <v>7.2211476466795613E-2</v>
      </c>
      <c r="E40" s="303" t="s">
        <v>53</v>
      </c>
      <c r="F40" s="305">
        <v>2</v>
      </c>
      <c r="G40" s="305">
        <v>14</v>
      </c>
      <c r="H40" s="259">
        <f t="shared" si="5"/>
        <v>16</v>
      </c>
      <c r="I40" s="301">
        <f t="shared" si="6"/>
        <v>3.9702233250620347E-2</v>
      </c>
      <c r="K40" s="22"/>
      <c r="L40" s="7"/>
      <c r="M40" s="86"/>
      <c r="N40" s="22"/>
      <c r="O40" s="22"/>
      <c r="P40" s="22"/>
      <c r="Q40" s="22"/>
      <c r="R40" s="22"/>
      <c r="S40" s="22"/>
      <c r="T40" s="22"/>
      <c r="U40" s="22"/>
      <c r="V40" s="22"/>
      <c r="W40" s="22"/>
      <c r="X40" s="22"/>
      <c r="Y40" s="22"/>
      <c r="Z40" s="22"/>
      <c r="AA40" s="22"/>
      <c r="AB40" s="22"/>
      <c r="AC40" s="22"/>
      <c r="AD40" s="22"/>
      <c r="AE40" s="22"/>
      <c r="AF40" s="22"/>
      <c r="AG40" s="22"/>
      <c r="AH40" s="22"/>
      <c r="AI40" s="22"/>
      <c r="AJ40" s="22"/>
    </row>
    <row r="41" spans="1:36" x14ac:dyDescent="0.15">
      <c r="B41" s="146"/>
      <c r="H41" s="185"/>
      <c r="I41" s="186"/>
      <c r="K41" s="22"/>
      <c r="L41" s="7"/>
      <c r="M41" s="86"/>
      <c r="N41" s="22"/>
      <c r="O41" s="22"/>
      <c r="P41" s="22"/>
      <c r="Q41" s="22"/>
      <c r="R41" s="22"/>
      <c r="S41" s="22"/>
      <c r="T41" s="22"/>
      <c r="U41" s="22"/>
      <c r="V41" s="22"/>
      <c r="W41" s="22"/>
      <c r="X41" s="22"/>
      <c r="Y41" s="22"/>
      <c r="Z41" s="22"/>
      <c r="AA41" s="22"/>
      <c r="AB41" s="22"/>
      <c r="AC41" s="22"/>
      <c r="AD41" s="22"/>
      <c r="AE41" s="22"/>
      <c r="AF41" s="22"/>
      <c r="AG41" s="22"/>
      <c r="AH41" s="22"/>
      <c r="AI41" s="22"/>
      <c r="AJ41" s="22"/>
    </row>
    <row r="42" spans="1:36" x14ac:dyDescent="0.15">
      <c r="K42" s="22"/>
      <c r="L42" s="7"/>
      <c r="M42" s="86"/>
      <c r="N42" s="22"/>
      <c r="O42" s="22"/>
      <c r="P42" s="22"/>
      <c r="Q42" s="22"/>
      <c r="R42" s="22"/>
      <c r="S42" s="22"/>
      <c r="T42" s="22"/>
      <c r="U42" s="22"/>
      <c r="V42" s="22"/>
      <c r="W42" s="22"/>
      <c r="X42" s="22"/>
      <c r="Y42" s="22"/>
      <c r="Z42" s="22"/>
      <c r="AA42" s="22"/>
      <c r="AB42" s="22"/>
      <c r="AC42" s="22"/>
      <c r="AD42" s="22"/>
      <c r="AE42" s="22"/>
      <c r="AF42" s="22"/>
      <c r="AG42" s="22"/>
      <c r="AH42" s="22"/>
      <c r="AI42" s="22"/>
      <c r="AJ42" s="22"/>
    </row>
    <row r="43" spans="1:36" x14ac:dyDescent="0.15">
      <c r="K43" s="22"/>
      <c r="L43" s="7"/>
      <c r="M43" s="86"/>
      <c r="N43" s="22"/>
      <c r="O43" s="22"/>
      <c r="P43" s="22"/>
      <c r="Q43" s="22"/>
      <c r="R43" s="22"/>
      <c r="S43" s="22"/>
      <c r="T43" s="22"/>
      <c r="U43" s="22"/>
      <c r="V43" s="22"/>
      <c r="W43" s="22"/>
      <c r="X43" s="22"/>
      <c r="Y43" s="22"/>
      <c r="Z43" s="22"/>
      <c r="AA43" s="22"/>
      <c r="AB43" s="22"/>
      <c r="AC43" s="22"/>
      <c r="AD43" s="22"/>
      <c r="AE43" s="22"/>
      <c r="AF43" s="22"/>
      <c r="AG43" s="22"/>
      <c r="AH43" s="22"/>
      <c r="AI43" s="22"/>
      <c r="AJ43" s="22"/>
    </row>
    <row r="44" spans="1:36" x14ac:dyDescent="0.15">
      <c r="K44" s="22"/>
      <c r="L44" s="7"/>
      <c r="M44" s="86"/>
      <c r="N44" s="22"/>
      <c r="O44" s="22"/>
      <c r="P44" s="22"/>
      <c r="Q44" s="22"/>
      <c r="R44" s="22"/>
      <c r="S44" s="22"/>
      <c r="T44" s="22"/>
      <c r="U44" s="22"/>
      <c r="V44" s="22"/>
      <c r="W44" s="22"/>
      <c r="X44" s="22"/>
      <c r="Y44" s="22"/>
      <c r="Z44" s="22"/>
      <c r="AA44" s="22"/>
      <c r="AB44" s="22"/>
      <c r="AC44" s="22"/>
      <c r="AD44" s="22"/>
      <c r="AE44" s="22"/>
      <c r="AF44" s="22"/>
      <c r="AG44" s="22"/>
      <c r="AH44" s="22"/>
      <c r="AI44" s="22"/>
      <c r="AJ44" s="22"/>
    </row>
    <row r="45" spans="1:36" x14ac:dyDescent="0.15">
      <c r="K45" s="22"/>
      <c r="L45" s="7"/>
      <c r="M45" s="86"/>
      <c r="N45" s="22"/>
      <c r="O45" s="22"/>
      <c r="P45" s="22"/>
      <c r="Q45" s="22"/>
      <c r="R45" s="22"/>
      <c r="S45" s="22"/>
      <c r="T45" s="22"/>
      <c r="U45" s="22"/>
      <c r="V45" s="22"/>
      <c r="W45" s="22"/>
      <c r="X45" s="22"/>
      <c r="Y45" s="22"/>
      <c r="Z45" s="22"/>
      <c r="AA45" s="22"/>
      <c r="AB45" s="22"/>
      <c r="AC45" s="22"/>
      <c r="AD45" s="22"/>
      <c r="AE45" s="22"/>
      <c r="AF45" s="22"/>
      <c r="AG45" s="22"/>
      <c r="AH45" s="22"/>
      <c r="AI45" s="22"/>
      <c r="AJ45" s="22"/>
    </row>
    <row r="46" spans="1:36" x14ac:dyDescent="0.15">
      <c r="K46" s="22"/>
      <c r="L46" s="7"/>
      <c r="M46" s="86"/>
      <c r="N46" s="22"/>
      <c r="O46" s="22"/>
      <c r="P46" s="22"/>
      <c r="Q46" s="22"/>
      <c r="R46" s="22"/>
      <c r="S46" s="22"/>
      <c r="T46" s="22"/>
      <c r="U46" s="22"/>
      <c r="V46" s="22"/>
      <c r="W46" s="22"/>
      <c r="X46" s="22"/>
      <c r="Y46" s="22"/>
      <c r="Z46" s="22"/>
      <c r="AA46" s="22"/>
      <c r="AB46" s="22"/>
      <c r="AC46" s="22"/>
      <c r="AD46" s="22"/>
      <c r="AE46" s="22"/>
      <c r="AF46" s="22"/>
      <c r="AG46" s="22"/>
      <c r="AH46" s="22"/>
      <c r="AI46" s="22"/>
      <c r="AJ46" s="22"/>
    </row>
    <row r="47" spans="1:36" x14ac:dyDescent="0.15">
      <c r="K47" s="22"/>
      <c r="L47" s="7"/>
      <c r="M47" s="86"/>
      <c r="N47" s="22"/>
      <c r="O47" s="22"/>
      <c r="P47" s="22"/>
      <c r="Q47" s="22"/>
      <c r="R47" s="22"/>
      <c r="S47" s="22"/>
      <c r="T47" s="22"/>
      <c r="U47" s="22"/>
      <c r="V47" s="22"/>
      <c r="W47" s="22"/>
      <c r="X47" s="22"/>
      <c r="Y47" s="22"/>
      <c r="Z47" s="22"/>
      <c r="AA47" s="22"/>
      <c r="AB47" s="22"/>
      <c r="AC47" s="22"/>
      <c r="AD47" s="22"/>
      <c r="AE47" s="22"/>
      <c r="AF47" s="22"/>
      <c r="AG47" s="22"/>
      <c r="AH47" s="22"/>
      <c r="AI47" s="22"/>
      <c r="AJ47" s="22"/>
    </row>
    <row r="48" spans="1:36" x14ac:dyDescent="0.15">
      <c r="K48" s="22"/>
      <c r="L48" s="7"/>
      <c r="M48" s="86"/>
      <c r="N48" s="22"/>
      <c r="O48" s="22"/>
      <c r="P48" s="22"/>
      <c r="Q48" s="22"/>
      <c r="R48" s="22"/>
      <c r="S48" s="22"/>
      <c r="T48" s="22"/>
      <c r="U48" s="22"/>
      <c r="V48" s="22"/>
      <c r="W48" s="22"/>
      <c r="X48" s="22"/>
      <c r="Y48" s="22"/>
      <c r="Z48" s="22"/>
      <c r="AA48" s="22"/>
      <c r="AB48" s="22"/>
      <c r="AC48" s="22"/>
      <c r="AD48" s="22"/>
      <c r="AE48" s="22"/>
      <c r="AF48" s="22"/>
      <c r="AG48" s="22"/>
      <c r="AH48" s="22"/>
      <c r="AI48" s="22"/>
      <c r="AJ48" s="22"/>
    </row>
    <row r="49" spans="11:36" x14ac:dyDescent="0.15">
      <c r="K49" s="22"/>
      <c r="L49" s="7"/>
      <c r="M49" s="86"/>
      <c r="N49" s="22"/>
      <c r="O49" s="22"/>
      <c r="P49" s="22"/>
      <c r="Q49" s="22"/>
      <c r="R49" s="22"/>
      <c r="S49" s="22"/>
      <c r="T49" s="22"/>
      <c r="U49" s="22"/>
      <c r="V49" s="22"/>
      <c r="W49" s="22"/>
      <c r="X49" s="22"/>
      <c r="Y49" s="22"/>
      <c r="Z49" s="22"/>
      <c r="AA49" s="22"/>
      <c r="AB49" s="22"/>
      <c r="AC49" s="22"/>
      <c r="AD49" s="22"/>
      <c r="AE49" s="22"/>
      <c r="AF49" s="22"/>
      <c r="AG49" s="22"/>
      <c r="AH49" s="22"/>
      <c r="AI49" s="22"/>
      <c r="AJ49" s="22"/>
    </row>
    <row r="50" spans="11:36" x14ac:dyDescent="0.15">
      <c r="K50" s="22"/>
      <c r="L50" s="7"/>
      <c r="M50" s="86"/>
      <c r="N50" s="22"/>
      <c r="O50" s="22"/>
      <c r="P50" s="22"/>
      <c r="Q50" s="22"/>
      <c r="R50" s="22"/>
      <c r="S50" s="22"/>
      <c r="T50" s="22"/>
      <c r="U50" s="22"/>
      <c r="V50" s="22"/>
      <c r="W50" s="22"/>
      <c r="X50" s="22"/>
      <c r="Y50" s="22"/>
      <c r="Z50" s="22"/>
      <c r="AA50" s="22"/>
      <c r="AB50" s="22"/>
      <c r="AC50" s="22"/>
      <c r="AD50" s="22"/>
      <c r="AE50" s="22"/>
      <c r="AF50" s="22"/>
      <c r="AG50" s="22"/>
      <c r="AH50" s="22"/>
      <c r="AI50" s="22"/>
      <c r="AJ50" s="22"/>
    </row>
    <row r="51" spans="11:36" x14ac:dyDescent="0.15">
      <c r="K51" s="22"/>
      <c r="L51" s="7"/>
      <c r="M51" s="86"/>
      <c r="N51" s="22"/>
      <c r="O51" s="22"/>
      <c r="P51" s="22"/>
      <c r="Q51" s="22"/>
      <c r="R51" s="22"/>
      <c r="S51" s="22"/>
      <c r="T51" s="22"/>
      <c r="U51" s="22"/>
      <c r="V51" s="22"/>
      <c r="W51" s="22"/>
      <c r="X51" s="22"/>
      <c r="Y51" s="22"/>
      <c r="Z51" s="22"/>
      <c r="AA51" s="22"/>
      <c r="AB51" s="22"/>
      <c r="AC51" s="22"/>
      <c r="AD51" s="22"/>
      <c r="AE51" s="22"/>
      <c r="AF51" s="22"/>
      <c r="AG51" s="22"/>
      <c r="AH51" s="22"/>
      <c r="AI51" s="22"/>
      <c r="AJ51" s="22"/>
    </row>
    <row r="52" spans="11:36" x14ac:dyDescent="0.15">
      <c r="K52" s="22"/>
      <c r="L52" s="7"/>
      <c r="M52" s="86"/>
      <c r="N52" s="22"/>
      <c r="O52" s="22"/>
      <c r="P52" s="22"/>
      <c r="Q52" s="22"/>
      <c r="R52" s="22"/>
      <c r="S52" s="22"/>
      <c r="T52" s="22"/>
      <c r="U52" s="22"/>
      <c r="V52" s="22"/>
      <c r="W52" s="22"/>
      <c r="X52" s="22"/>
      <c r="Y52" s="22"/>
      <c r="Z52" s="22"/>
      <c r="AA52" s="22"/>
      <c r="AB52" s="22"/>
      <c r="AC52" s="22"/>
      <c r="AD52" s="22"/>
      <c r="AE52" s="22"/>
      <c r="AF52" s="22"/>
      <c r="AG52" s="22"/>
      <c r="AH52" s="22"/>
      <c r="AI52" s="22"/>
      <c r="AJ52" s="22"/>
    </row>
    <row r="53" spans="11:36" x14ac:dyDescent="0.15">
      <c r="K53" s="22"/>
      <c r="L53" s="7"/>
      <c r="M53" s="86"/>
      <c r="N53" s="22"/>
      <c r="O53" s="22"/>
      <c r="P53" s="22"/>
      <c r="Q53" s="22"/>
      <c r="R53" s="22"/>
      <c r="S53" s="22"/>
      <c r="T53" s="22"/>
      <c r="U53" s="22"/>
      <c r="V53" s="22"/>
      <c r="W53" s="22"/>
      <c r="X53" s="22"/>
      <c r="Y53" s="22"/>
      <c r="Z53" s="22"/>
      <c r="AA53" s="22"/>
      <c r="AB53" s="22"/>
      <c r="AC53" s="22"/>
      <c r="AD53" s="22"/>
      <c r="AE53" s="22"/>
      <c r="AF53" s="22"/>
      <c r="AG53" s="22"/>
      <c r="AH53" s="22"/>
      <c r="AI53" s="22"/>
      <c r="AJ53" s="22"/>
    </row>
    <row r="54" spans="11:36" x14ac:dyDescent="0.15">
      <c r="K54" s="22"/>
      <c r="L54" s="7"/>
      <c r="M54" s="86"/>
      <c r="N54" s="22"/>
      <c r="O54" s="22"/>
      <c r="P54" s="22"/>
      <c r="Q54" s="22"/>
      <c r="R54" s="22"/>
      <c r="S54" s="22"/>
      <c r="T54" s="22"/>
      <c r="U54" s="22"/>
      <c r="V54" s="22"/>
      <c r="W54" s="22"/>
      <c r="X54" s="22"/>
      <c r="Y54" s="22"/>
      <c r="Z54" s="22"/>
      <c r="AA54" s="22"/>
      <c r="AB54" s="22"/>
      <c r="AC54" s="22"/>
      <c r="AD54" s="22"/>
      <c r="AE54" s="22"/>
      <c r="AF54" s="22"/>
      <c r="AG54" s="22"/>
      <c r="AH54" s="22"/>
      <c r="AI54" s="22"/>
      <c r="AJ54" s="22"/>
    </row>
    <row r="55" spans="11:36" x14ac:dyDescent="0.15">
      <c r="K55" s="22"/>
      <c r="L55" s="7"/>
      <c r="M55" s="86"/>
      <c r="N55" s="22"/>
      <c r="O55" s="22"/>
      <c r="P55" s="22"/>
      <c r="Q55" s="22"/>
      <c r="R55" s="22"/>
      <c r="S55" s="22"/>
      <c r="T55" s="22"/>
      <c r="U55" s="22"/>
      <c r="V55" s="22"/>
      <c r="W55" s="22"/>
      <c r="X55" s="22"/>
      <c r="Y55" s="22"/>
      <c r="Z55" s="22"/>
      <c r="AA55" s="22"/>
      <c r="AB55" s="22"/>
      <c r="AC55" s="22"/>
      <c r="AD55" s="22"/>
      <c r="AE55" s="22"/>
      <c r="AF55" s="22"/>
      <c r="AG55" s="22"/>
      <c r="AH55" s="22"/>
      <c r="AI55" s="22"/>
      <c r="AJ55" s="22"/>
    </row>
    <row r="56" spans="11:36" x14ac:dyDescent="0.15">
      <c r="K56" s="22"/>
      <c r="L56" s="7"/>
      <c r="M56" s="86"/>
      <c r="N56" s="22"/>
      <c r="O56" s="22"/>
      <c r="P56" s="22"/>
      <c r="Q56" s="22"/>
      <c r="R56" s="22"/>
      <c r="S56" s="22"/>
      <c r="T56" s="22"/>
      <c r="U56" s="22"/>
      <c r="V56" s="22"/>
      <c r="W56" s="22"/>
      <c r="X56" s="22"/>
      <c r="Y56" s="22"/>
      <c r="Z56" s="22"/>
      <c r="AA56" s="22"/>
      <c r="AB56" s="22"/>
      <c r="AC56" s="22"/>
      <c r="AD56" s="22"/>
      <c r="AE56" s="22"/>
      <c r="AF56" s="22"/>
      <c r="AG56" s="22"/>
      <c r="AH56" s="22"/>
      <c r="AI56" s="22"/>
      <c r="AJ56" s="22"/>
    </row>
    <row r="57" spans="11:36" x14ac:dyDescent="0.15">
      <c r="K57" s="22"/>
      <c r="L57" s="7"/>
      <c r="M57" s="86"/>
      <c r="N57" s="22"/>
      <c r="O57" s="22"/>
      <c r="P57" s="22"/>
      <c r="Q57" s="22"/>
      <c r="R57" s="22"/>
      <c r="S57" s="22"/>
      <c r="T57" s="22"/>
      <c r="U57" s="22"/>
      <c r="V57" s="22"/>
      <c r="W57" s="22"/>
      <c r="X57" s="22"/>
      <c r="Y57" s="22"/>
      <c r="Z57" s="22"/>
      <c r="AA57" s="22"/>
      <c r="AB57" s="22"/>
      <c r="AC57" s="22"/>
      <c r="AD57" s="22"/>
      <c r="AE57" s="22"/>
      <c r="AF57" s="22"/>
      <c r="AG57" s="22"/>
      <c r="AH57" s="22"/>
      <c r="AI57" s="22"/>
      <c r="AJ57" s="22"/>
    </row>
    <row r="58" spans="11:36" x14ac:dyDescent="0.15">
      <c r="K58" s="22"/>
      <c r="L58" s="7"/>
      <c r="M58" s="86"/>
      <c r="N58" s="22"/>
      <c r="O58" s="22"/>
      <c r="P58" s="22"/>
      <c r="Q58" s="22"/>
      <c r="R58" s="22"/>
      <c r="S58" s="22"/>
      <c r="T58" s="22"/>
      <c r="U58" s="22"/>
      <c r="V58" s="22"/>
      <c r="W58" s="22"/>
      <c r="X58" s="22"/>
      <c r="Y58" s="22"/>
      <c r="Z58" s="22"/>
      <c r="AA58" s="22"/>
      <c r="AB58" s="22"/>
      <c r="AC58" s="22"/>
      <c r="AD58" s="22"/>
      <c r="AE58" s="22"/>
      <c r="AF58" s="22"/>
      <c r="AG58" s="22"/>
      <c r="AH58" s="22"/>
      <c r="AI58" s="22"/>
      <c r="AJ58" s="22"/>
    </row>
    <row r="59" spans="11:36" x14ac:dyDescent="0.15">
      <c r="K59" s="22"/>
      <c r="L59" s="7"/>
      <c r="M59" s="86"/>
      <c r="N59" s="22"/>
      <c r="O59" s="22"/>
      <c r="P59" s="22"/>
      <c r="Q59" s="22"/>
      <c r="R59" s="22"/>
      <c r="S59" s="22"/>
      <c r="T59" s="22"/>
      <c r="U59" s="22"/>
      <c r="V59" s="22"/>
      <c r="W59" s="22"/>
      <c r="X59" s="22"/>
      <c r="Y59" s="22"/>
      <c r="Z59" s="22"/>
      <c r="AA59" s="22"/>
      <c r="AB59" s="22"/>
      <c r="AC59" s="22"/>
      <c r="AD59" s="22"/>
      <c r="AE59" s="22"/>
      <c r="AF59" s="22"/>
      <c r="AG59" s="22"/>
      <c r="AH59" s="22"/>
      <c r="AI59" s="22"/>
      <c r="AJ59" s="22"/>
    </row>
    <row r="60" spans="11:36" x14ac:dyDescent="0.15">
      <c r="K60" s="22"/>
      <c r="L60" s="22"/>
      <c r="M60" s="22"/>
      <c r="N60" s="22"/>
      <c r="O60" s="22"/>
      <c r="P60" s="22"/>
      <c r="Q60" s="22"/>
      <c r="R60" s="22"/>
      <c r="S60" s="22"/>
      <c r="T60" s="22"/>
      <c r="U60" s="22"/>
      <c r="V60" s="22"/>
      <c r="W60" s="22"/>
      <c r="X60" s="22"/>
      <c r="Y60" s="22"/>
      <c r="Z60" s="22"/>
      <c r="AA60" s="22"/>
      <c r="AB60" s="22"/>
      <c r="AC60" s="22"/>
      <c r="AD60" s="22"/>
      <c r="AE60" s="22"/>
      <c r="AF60" s="22"/>
      <c r="AG60" s="22"/>
      <c r="AH60" s="22"/>
      <c r="AI60" s="22"/>
      <c r="AJ60" s="22"/>
    </row>
    <row r="61" spans="11:36" x14ac:dyDescent="0.15">
      <c r="K61" s="22"/>
      <c r="L61" s="22"/>
      <c r="M61" s="22"/>
      <c r="N61" s="22"/>
      <c r="O61" s="22"/>
      <c r="P61" s="22"/>
      <c r="Q61" s="22"/>
      <c r="R61" s="22"/>
      <c r="S61" s="22"/>
      <c r="T61" s="22"/>
      <c r="U61" s="22"/>
      <c r="V61" s="22"/>
      <c r="W61" s="22"/>
      <c r="X61" s="22"/>
      <c r="Y61" s="22"/>
      <c r="Z61" s="22"/>
      <c r="AA61" s="22"/>
      <c r="AB61" s="22"/>
      <c r="AC61" s="22"/>
      <c r="AD61" s="22"/>
      <c r="AE61" s="22"/>
      <c r="AF61" s="22"/>
      <c r="AG61" s="22"/>
      <c r="AH61" s="22"/>
      <c r="AI61" s="22"/>
      <c r="AJ61" s="22"/>
    </row>
    <row r="62" spans="11:36" x14ac:dyDescent="0.15">
      <c r="K62" s="22"/>
      <c r="L62" s="22"/>
      <c r="M62" s="22"/>
      <c r="N62" s="22"/>
      <c r="O62" s="22"/>
      <c r="P62" s="22"/>
      <c r="Q62" s="22"/>
      <c r="R62" s="22"/>
      <c r="S62" s="22"/>
      <c r="T62" s="22"/>
      <c r="U62" s="22"/>
      <c r="V62" s="22"/>
      <c r="W62" s="22"/>
      <c r="X62" s="22"/>
      <c r="Y62" s="22"/>
      <c r="Z62" s="22"/>
      <c r="AA62" s="22"/>
      <c r="AB62" s="22"/>
      <c r="AC62" s="22"/>
      <c r="AD62" s="22"/>
      <c r="AE62" s="22"/>
      <c r="AF62" s="22"/>
      <c r="AG62" s="22"/>
      <c r="AH62" s="22"/>
      <c r="AI62" s="22"/>
      <c r="AJ62" s="22"/>
    </row>
    <row r="63" spans="11:36" x14ac:dyDescent="0.15">
      <c r="K63" s="22"/>
      <c r="L63" s="22"/>
      <c r="M63" s="22"/>
      <c r="N63" s="22"/>
      <c r="O63" s="22"/>
      <c r="P63" s="22"/>
      <c r="Q63" s="22"/>
      <c r="R63" s="22"/>
      <c r="S63" s="22"/>
      <c r="T63" s="22"/>
      <c r="U63" s="22"/>
      <c r="V63" s="22"/>
      <c r="W63" s="22"/>
      <c r="X63" s="22"/>
      <c r="Y63" s="22"/>
      <c r="Z63" s="22"/>
      <c r="AA63" s="22"/>
      <c r="AB63" s="22"/>
      <c r="AC63" s="22"/>
      <c r="AD63" s="22"/>
      <c r="AE63" s="22"/>
      <c r="AF63" s="22"/>
      <c r="AG63" s="22"/>
      <c r="AH63" s="22"/>
      <c r="AI63" s="22"/>
      <c r="AJ63" s="22"/>
    </row>
  </sheetData>
  <mergeCells count="2">
    <mergeCell ref="A21:C21"/>
    <mergeCell ref="E21:I21"/>
  </mergeCells>
  <phoneticPr fontId="2"/>
  <pageMargins left="0.70866141732283472" right="0.70866141732283472" top="0.74803149606299213" bottom="0.74803149606299213" header="0.31496062992125984" footer="0.31496062992125984"/>
  <pageSetup paperSize="11" scale="41"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6385" r:id="rId4" name="Button 1">
              <controlPr defaultSize="0" print="0" autoFill="0" autoPict="0" macro="[0]!データ削除11">
                <anchor moveWithCells="1" sizeWithCells="1">
                  <from>
                    <xdr:col>11</xdr:col>
                    <xdr:colOff>0</xdr:colOff>
                    <xdr:row>3</xdr:row>
                    <xdr:rowOff>190500</xdr:rowOff>
                  </from>
                  <to>
                    <xdr:col>11</xdr:col>
                    <xdr:colOff>2105025</xdr:colOff>
                    <xdr:row>5</xdr:row>
                    <xdr:rowOff>200025</xdr:rowOff>
                  </to>
                </anchor>
              </controlPr>
            </control>
          </mc:Choice>
        </mc:AlternateContent>
      </controls>
    </mc:Choice>
  </mc:AlternateConten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tabColor rgb="FFFFC000"/>
  </sheetPr>
  <dimension ref="A1:O101"/>
  <sheetViews>
    <sheetView view="pageBreakPreview" zoomScaleNormal="100" zoomScaleSheetLayoutView="100" workbookViewId="0">
      <selection activeCell="F9" sqref="F9"/>
    </sheetView>
  </sheetViews>
  <sheetFormatPr defaultRowHeight="18.75" x14ac:dyDescent="0.15"/>
  <cols>
    <col min="1" max="1" width="18.25" style="1" customWidth="1"/>
    <col min="2" max="3" width="9.375" style="1" customWidth="1"/>
    <col min="4" max="4" width="3.375" style="1" customWidth="1"/>
    <col min="5" max="5" width="18.25" style="1" customWidth="1"/>
    <col min="6" max="7" width="9.375" style="1" customWidth="1"/>
    <col min="8" max="8" width="9" style="1"/>
    <col min="9" max="13" width="12" style="1" hidden="1" customWidth="1"/>
    <col min="14" max="17" width="0" style="1" hidden="1" customWidth="1"/>
    <col min="18" max="16384" width="9" style="1"/>
  </cols>
  <sheetData>
    <row r="1" spans="1:15" s="3" customFormat="1" ht="19.5" x14ac:dyDescent="0.15">
      <c r="A1" s="2" t="s">
        <v>205</v>
      </c>
    </row>
    <row r="2" spans="1:15" s="3" customFormat="1" ht="19.5" x14ac:dyDescent="0.15">
      <c r="A2" s="2"/>
      <c r="I2" s="56" t="s">
        <v>63</v>
      </c>
    </row>
    <row r="3" spans="1:15" ht="20.25" thickBot="1" x14ac:dyDescent="0.2">
      <c r="A3" s="4" t="s">
        <v>13</v>
      </c>
      <c r="E3" s="4" t="s">
        <v>114</v>
      </c>
      <c r="I3" s="388" t="s">
        <v>299</v>
      </c>
      <c r="J3" s="495" t="s">
        <v>279</v>
      </c>
      <c r="K3" s="3"/>
      <c r="L3" s="388" t="s">
        <v>299</v>
      </c>
      <c r="M3" s="502" t="s">
        <v>276</v>
      </c>
    </row>
    <row r="4" spans="1:15" ht="20.25" thickTop="1" thickBot="1" x14ac:dyDescent="0.2">
      <c r="A4" s="336"/>
      <c r="B4" s="337" t="s">
        <v>0</v>
      </c>
      <c r="C4" s="337" t="s">
        <v>1</v>
      </c>
      <c r="E4" s="336"/>
      <c r="F4" s="337" t="s">
        <v>0</v>
      </c>
      <c r="G4" s="337" t="s">
        <v>1</v>
      </c>
      <c r="I4" s="421" t="s">
        <v>371</v>
      </c>
      <c r="J4" s="35" t="s">
        <v>372</v>
      </c>
      <c r="L4" s="421" t="s">
        <v>371</v>
      </c>
      <c r="M4" s="35" t="s">
        <v>372</v>
      </c>
    </row>
    <row r="5" spans="1:15" ht="19.5" thickTop="1" x14ac:dyDescent="0.15">
      <c r="A5" s="303" t="s">
        <v>94</v>
      </c>
      <c r="B5" s="335">
        <f>IFERROR(VLOOKUP($O5,年齢区分＿65歳以上[#All],2,FALSE),0)</f>
        <v>1560</v>
      </c>
      <c r="C5" s="472">
        <f>IFERROR(B5/B$11,"-")</f>
        <v>0.1672922252010724</v>
      </c>
      <c r="E5" s="303" t="s">
        <v>94</v>
      </c>
      <c r="F5" s="335">
        <f>IFERROR(VLOOKUP($O5,年齢区分＿65歳以上＿寛解・院内寛解[#All],2,FALSE),0)</f>
        <v>157</v>
      </c>
      <c r="G5" s="472">
        <f>IFERROR(F5/F$11,"-")</f>
        <v>0.20657894736842106</v>
      </c>
      <c r="I5" s="56" t="s">
        <v>301</v>
      </c>
      <c r="J5" s="381">
        <v>1560</v>
      </c>
      <c r="K5" s="11"/>
      <c r="L5" s="56" t="s">
        <v>301</v>
      </c>
      <c r="M5" s="381">
        <v>157</v>
      </c>
      <c r="O5" s="426" t="s">
        <v>301</v>
      </c>
    </row>
    <row r="6" spans="1:15" x14ac:dyDescent="0.15">
      <c r="A6" s="303" t="s">
        <v>95</v>
      </c>
      <c r="B6" s="335">
        <f>IFERROR(VLOOKUP($O6,年齢区分＿65歳以上[#All],2,FALSE),0)</f>
        <v>2041</v>
      </c>
      <c r="C6" s="472">
        <f t="shared" ref="C6:C10" si="0">IFERROR(B6/B$11,"-")</f>
        <v>0.2188739946380697</v>
      </c>
      <c r="E6" s="303" t="s">
        <v>95</v>
      </c>
      <c r="F6" s="261">
        <f>IFERROR(VLOOKUP($O6,年齢区分＿65歳以上＿寛解・院内寛解[#All],2,FALSE),0)</f>
        <v>179</v>
      </c>
      <c r="G6" s="472">
        <f t="shared" ref="G6:G10" si="1">IFERROR(F6/F$11,"-")</f>
        <v>0.23552631578947369</v>
      </c>
      <c r="I6" s="56" t="s">
        <v>302</v>
      </c>
      <c r="J6" s="381">
        <v>2041</v>
      </c>
      <c r="K6" s="14"/>
      <c r="L6" s="56" t="s">
        <v>302</v>
      </c>
      <c r="M6" s="381">
        <v>179</v>
      </c>
      <c r="O6" s="384" t="s">
        <v>302</v>
      </c>
    </row>
    <row r="7" spans="1:15" x14ac:dyDescent="0.15">
      <c r="A7" s="303" t="s">
        <v>96</v>
      </c>
      <c r="B7" s="335">
        <f>IFERROR(VLOOKUP($O7,年齢区分＿65歳以上[#All],2,FALSE),0)</f>
        <v>1984</v>
      </c>
      <c r="C7" s="472">
        <f t="shared" si="0"/>
        <v>0.21276139410187667</v>
      </c>
      <c r="E7" s="303" t="s">
        <v>96</v>
      </c>
      <c r="F7" s="261">
        <f>IFERROR(VLOOKUP($O7,年齢区分＿65歳以上＿寛解・院内寛解[#All],2,FALSE),0)</f>
        <v>178</v>
      </c>
      <c r="G7" s="472">
        <f t="shared" si="1"/>
        <v>0.23421052631578948</v>
      </c>
      <c r="I7" s="56" t="s">
        <v>303</v>
      </c>
      <c r="J7" s="381">
        <v>1984</v>
      </c>
      <c r="K7" s="14"/>
      <c r="L7" s="56" t="s">
        <v>303</v>
      </c>
      <c r="M7" s="381">
        <v>178</v>
      </c>
      <c r="O7" s="384" t="s">
        <v>303</v>
      </c>
    </row>
    <row r="8" spans="1:15" x14ac:dyDescent="0.15">
      <c r="A8" s="303" t="s">
        <v>97</v>
      </c>
      <c r="B8" s="335">
        <f>IFERROR(VLOOKUP($O8,年齢区分＿65歳以上[#All],2,FALSE),0)</f>
        <v>1802</v>
      </c>
      <c r="C8" s="472">
        <f t="shared" si="0"/>
        <v>0.19324396782841824</v>
      </c>
      <c r="E8" s="303" t="s">
        <v>97</v>
      </c>
      <c r="F8" s="261">
        <f>IFERROR(VLOOKUP($O8,年齢区分＿65歳以上＿寛解・院内寛解[#All],2,FALSE),0)</f>
        <v>143</v>
      </c>
      <c r="G8" s="472">
        <f t="shared" si="1"/>
        <v>0.18815789473684211</v>
      </c>
      <c r="I8" s="56" t="s">
        <v>304</v>
      </c>
      <c r="J8" s="381">
        <v>1802</v>
      </c>
      <c r="K8" s="17"/>
      <c r="L8" s="56" t="s">
        <v>304</v>
      </c>
      <c r="M8" s="381">
        <v>143</v>
      </c>
      <c r="O8" s="384" t="s">
        <v>304</v>
      </c>
    </row>
    <row r="9" spans="1:15" x14ac:dyDescent="0.15">
      <c r="A9" s="303" t="s">
        <v>98</v>
      </c>
      <c r="B9" s="335">
        <f>IFERROR(VLOOKUP($O9,年齢区分＿65歳以上[#All],2,FALSE),0)</f>
        <v>1273</v>
      </c>
      <c r="C9" s="472">
        <f t="shared" si="0"/>
        <v>0.13651474530831098</v>
      </c>
      <c r="E9" s="303" t="s">
        <v>98</v>
      </c>
      <c r="F9" s="261">
        <f>IFERROR(VLOOKUP($O9,年齢区分＿65歳以上＿寛解・院内寛解[#All],2,FALSE),0)</f>
        <v>74</v>
      </c>
      <c r="G9" s="472">
        <f t="shared" si="1"/>
        <v>9.7368421052631576E-2</v>
      </c>
      <c r="I9" s="56" t="s">
        <v>305</v>
      </c>
      <c r="J9" s="381">
        <v>1273</v>
      </c>
      <c r="K9" s="17"/>
      <c r="L9" s="56" t="s">
        <v>305</v>
      </c>
      <c r="M9" s="381">
        <v>74</v>
      </c>
      <c r="O9" s="384" t="s">
        <v>305</v>
      </c>
    </row>
    <row r="10" spans="1:15" x14ac:dyDescent="0.15">
      <c r="A10" s="303" t="s">
        <v>163</v>
      </c>
      <c r="B10" s="335">
        <f>IFERROR(VLOOKUP($O10,年齢区分＿65歳以上[#All],2,FALSE),0)</f>
        <v>665</v>
      </c>
      <c r="C10" s="472">
        <f t="shared" si="0"/>
        <v>7.1313672922252005E-2</v>
      </c>
      <c r="E10" s="303" t="s">
        <v>163</v>
      </c>
      <c r="F10" s="261">
        <f>IFERROR(VLOOKUP($O10,年齢区分＿65歳以上＿寛解・院内寛解[#All],2,FALSE),0)</f>
        <v>29</v>
      </c>
      <c r="G10" s="472">
        <f t="shared" si="1"/>
        <v>3.8157894736842106E-2</v>
      </c>
      <c r="I10" s="56" t="s">
        <v>10</v>
      </c>
      <c r="J10" s="381">
        <v>665</v>
      </c>
      <c r="K10" s="17"/>
      <c r="L10" s="56" t="s">
        <v>10</v>
      </c>
      <c r="M10" s="381">
        <v>29</v>
      </c>
      <c r="O10" s="384" t="s">
        <v>10</v>
      </c>
    </row>
    <row r="11" spans="1:15" x14ac:dyDescent="0.15">
      <c r="A11" s="336" t="s">
        <v>161</v>
      </c>
      <c r="B11" s="338">
        <f>SUM(B5:B10)</f>
        <v>9325</v>
      </c>
      <c r="C11" s="339">
        <f>SUM(C5:C10)</f>
        <v>1</v>
      </c>
      <c r="E11" s="336" t="s">
        <v>161</v>
      </c>
      <c r="F11" s="338">
        <f>SUM(F5:F10)</f>
        <v>760</v>
      </c>
      <c r="G11" s="339">
        <f>SUM(G5:G10)</f>
        <v>0.99999999999999989</v>
      </c>
      <c r="I11" s="56"/>
      <c r="J11" s="381"/>
      <c r="K11" s="17"/>
      <c r="L11" s="56"/>
      <c r="M11" s="381"/>
    </row>
    <row r="12" spans="1:15" x14ac:dyDescent="0.15">
      <c r="A12" s="303" t="s">
        <v>203</v>
      </c>
      <c r="B12" s="304">
        <f>B5+B6</f>
        <v>3601</v>
      </c>
      <c r="C12" s="472">
        <f>IFERROR(B12/B$11,"-")</f>
        <v>0.38616621983914207</v>
      </c>
      <c r="E12" s="303" t="s">
        <v>203</v>
      </c>
      <c r="F12" s="304">
        <f>F5+F6</f>
        <v>336</v>
      </c>
      <c r="G12" s="472">
        <f>IFERROR(F12/F$11,"-")</f>
        <v>0.44210526315789472</v>
      </c>
      <c r="I12" s="56"/>
      <c r="J12" s="381"/>
      <c r="K12" s="17"/>
      <c r="L12" s="56"/>
      <c r="M12" s="381"/>
    </row>
    <row r="13" spans="1:15" x14ac:dyDescent="0.15">
      <c r="A13" s="303" t="s">
        <v>204</v>
      </c>
      <c r="B13" s="304">
        <f>B7+B8+B9+B10</f>
        <v>5724</v>
      </c>
      <c r="C13" s="472">
        <f>IFERROR(B13/B$11,"-")</f>
        <v>0.61383378016085788</v>
      </c>
      <c r="E13" s="303" t="s">
        <v>204</v>
      </c>
      <c r="F13" s="304">
        <f>F7+F8+F9+F10</f>
        <v>424</v>
      </c>
      <c r="G13" s="472">
        <f>IFERROR(F13/F$11,"-")</f>
        <v>0.55789473684210522</v>
      </c>
      <c r="I13" s="56"/>
      <c r="J13" s="381"/>
      <c r="K13" s="17"/>
      <c r="L13" s="56"/>
      <c r="M13" s="381"/>
    </row>
    <row r="14" spans="1:15" ht="19.5" customHeight="1" x14ac:dyDescent="0.15">
      <c r="I14" s="15"/>
      <c r="J14" s="61"/>
      <c r="K14" s="17"/>
      <c r="L14" s="15"/>
      <c r="M14" s="61"/>
    </row>
    <row r="15" spans="1:15" ht="19.5" customHeight="1" x14ac:dyDescent="0.15">
      <c r="K15" s="144"/>
    </row>
    <row r="16" spans="1:15" ht="19.5" customHeight="1" x14ac:dyDescent="0.15">
      <c r="K16" s="144"/>
    </row>
    <row r="17" spans="1:11" ht="19.5" customHeight="1" x14ac:dyDescent="0.15">
      <c r="K17" s="144"/>
    </row>
    <row r="18" spans="1:11" ht="19.5" customHeight="1" x14ac:dyDescent="0.15">
      <c r="K18" s="144"/>
    </row>
    <row r="19" spans="1:11" ht="19.5" customHeight="1" x14ac:dyDescent="0.15">
      <c r="K19" s="144"/>
    </row>
    <row r="20" spans="1:11" ht="19.5" customHeight="1" x14ac:dyDescent="0.15">
      <c r="K20" s="144"/>
    </row>
    <row r="21" spans="1:11" ht="19.5" customHeight="1" x14ac:dyDescent="0.15">
      <c r="K21" s="144"/>
    </row>
    <row r="22" spans="1:11" ht="19.5" customHeight="1" x14ac:dyDescent="0.15">
      <c r="K22" s="144"/>
    </row>
    <row r="23" spans="1:11" x14ac:dyDescent="0.15">
      <c r="A23" s="139"/>
      <c r="B23" s="175"/>
      <c r="C23" s="176"/>
      <c r="K23" s="144"/>
    </row>
    <row r="24" spans="1:11" x14ac:dyDescent="0.15">
      <c r="A24" s="150"/>
      <c r="B24" s="177"/>
      <c r="C24" s="178"/>
    </row>
    <row r="25" spans="1:11" x14ac:dyDescent="0.15">
      <c r="A25" s="150"/>
      <c r="B25" s="177"/>
      <c r="C25" s="178"/>
    </row>
    <row r="26" spans="1:11" x14ac:dyDescent="0.15">
      <c r="A26" s="150"/>
      <c r="B26" s="177"/>
      <c r="C26" s="178"/>
    </row>
    <row r="28" spans="1:11" x14ac:dyDescent="0.15">
      <c r="D28" s="4"/>
    </row>
    <row r="29" spans="1:11" x14ac:dyDescent="0.15">
      <c r="D29" s="4"/>
    </row>
    <row r="32" spans="1:11" x14ac:dyDescent="0.15">
      <c r="B32" s="142"/>
      <c r="C32" s="33"/>
      <c r="D32" s="33"/>
    </row>
    <row r="33" spans="1:8" x14ac:dyDescent="0.15">
      <c r="B33" s="38"/>
      <c r="C33" s="39"/>
      <c r="D33" s="36"/>
      <c r="G33" s="39"/>
      <c r="H33" s="39"/>
    </row>
    <row r="34" spans="1:8" x14ac:dyDescent="0.15">
      <c r="B34" s="38"/>
      <c r="C34" s="39"/>
      <c r="D34" s="36"/>
      <c r="G34" s="39"/>
      <c r="H34" s="39"/>
    </row>
    <row r="35" spans="1:8" x14ac:dyDescent="0.15">
      <c r="B35" s="38"/>
      <c r="C35" s="39"/>
      <c r="D35" s="36"/>
      <c r="G35" s="39"/>
      <c r="H35" s="39"/>
    </row>
    <row r="36" spans="1:8" x14ac:dyDescent="0.15">
      <c r="B36" s="38"/>
      <c r="C36" s="39"/>
      <c r="D36" s="36"/>
      <c r="G36" s="39"/>
      <c r="H36" s="39"/>
    </row>
    <row r="37" spans="1:8" x14ac:dyDescent="0.15">
      <c r="A37" s="22"/>
      <c r="B37" s="7"/>
      <c r="C37" s="8"/>
      <c r="D37" s="49"/>
      <c r="E37" s="22"/>
      <c r="G37" s="8"/>
      <c r="H37" s="8"/>
    </row>
    <row r="38" spans="1:8" x14ac:dyDescent="0.15">
      <c r="A38" s="22"/>
      <c r="B38" s="7"/>
      <c r="C38" s="8"/>
      <c r="D38" s="49"/>
      <c r="E38" s="22"/>
      <c r="F38" s="22"/>
      <c r="G38" s="8"/>
      <c r="H38" s="8"/>
    </row>
    <row r="39" spans="1:8" x14ac:dyDescent="0.15">
      <c r="A39" s="22"/>
      <c r="B39" s="7"/>
      <c r="C39" s="8"/>
      <c r="D39" s="49"/>
      <c r="E39" s="22"/>
      <c r="F39" s="22"/>
      <c r="G39" s="8"/>
      <c r="H39" s="8"/>
    </row>
    <row r="40" spans="1:8" x14ac:dyDescent="0.15">
      <c r="A40" s="22"/>
      <c r="B40" s="7"/>
      <c r="C40" s="8"/>
      <c r="D40" s="49"/>
      <c r="E40" s="22"/>
      <c r="F40" s="22"/>
      <c r="G40" s="8"/>
      <c r="H40" s="8"/>
    </row>
    <row r="41" spans="1:8" x14ac:dyDescent="0.15">
      <c r="A41" s="22"/>
      <c r="B41" s="7"/>
      <c r="C41" s="8"/>
      <c r="D41" s="49"/>
      <c r="E41" s="22"/>
      <c r="F41" s="22"/>
      <c r="G41" s="8"/>
      <c r="H41" s="8"/>
    </row>
    <row r="42" spans="1:8" x14ac:dyDescent="0.15">
      <c r="A42" s="22"/>
      <c r="B42" s="7"/>
      <c r="C42" s="8"/>
      <c r="D42" s="49"/>
      <c r="E42" s="22"/>
      <c r="F42" s="22"/>
      <c r="G42" s="8"/>
      <c r="H42" s="8"/>
    </row>
    <row r="43" spans="1:8" x14ac:dyDescent="0.15">
      <c r="A43" s="22"/>
      <c r="B43" s="7"/>
      <c r="C43" s="8"/>
      <c r="D43" s="49"/>
      <c r="E43" s="22"/>
      <c r="F43" s="22"/>
      <c r="G43" s="8"/>
      <c r="H43" s="8"/>
    </row>
    <row r="44" spans="1:8" x14ac:dyDescent="0.15">
      <c r="A44" s="22"/>
      <c r="B44" s="7"/>
      <c r="C44" s="8"/>
      <c r="D44" s="49"/>
      <c r="E44" s="22"/>
      <c r="F44" s="22"/>
      <c r="G44" s="8"/>
      <c r="H44" s="8"/>
    </row>
    <row r="45" spans="1:8" x14ac:dyDescent="0.15">
      <c r="A45" s="22"/>
      <c r="B45" s="7"/>
      <c r="C45" s="8"/>
      <c r="D45" s="49"/>
      <c r="E45" s="22"/>
      <c r="F45" s="22"/>
      <c r="G45" s="8"/>
      <c r="H45" s="8"/>
    </row>
    <row r="46" spans="1:8" x14ac:dyDescent="0.15">
      <c r="A46" s="22"/>
      <c r="B46" s="7"/>
      <c r="C46" s="8"/>
      <c r="D46" s="49"/>
      <c r="E46" s="22"/>
      <c r="F46" s="22"/>
      <c r="G46" s="8"/>
      <c r="H46" s="8"/>
    </row>
    <row r="47" spans="1:8" x14ac:dyDescent="0.15">
      <c r="A47" s="22"/>
      <c r="B47" s="7"/>
      <c r="C47" s="8"/>
      <c r="D47" s="49"/>
      <c r="E47" s="22"/>
      <c r="F47" s="22"/>
      <c r="G47" s="8"/>
      <c r="H47" s="8"/>
    </row>
    <row r="48" spans="1:8" x14ac:dyDescent="0.15">
      <c r="A48" s="22"/>
      <c r="B48" s="7"/>
      <c r="C48" s="8"/>
      <c r="D48" s="49"/>
      <c r="E48" s="22"/>
      <c r="F48" s="22"/>
      <c r="G48" s="8"/>
      <c r="H48" s="8"/>
    </row>
    <row r="49" spans="1:8" x14ac:dyDescent="0.15">
      <c r="A49" s="22"/>
      <c r="B49" s="7"/>
      <c r="C49" s="8"/>
      <c r="D49" s="49"/>
      <c r="E49" s="22"/>
      <c r="F49" s="22"/>
      <c r="G49" s="8"/>
      <c r="H49" s="8"/>
    </row>
    <row r="50" spans="1:8" x14ac:dyDescent="0.15">
      <c r="A50" s="22"/>
      <c r="B50" s="7"/>
      <c r="C50" s="8"/>
      <c r="D50" s="49"/>
      <c r="E50" s="22"/>
      <c r="F50" s="22"/>
      <c r="G50" s="8"/>
      <c r="H50" s="8"/>
    </row>
    <row r="51" spans="1:8" x14ac:dyDescent="0.15">
      <c r="A51" s="22"/>
      <c r="B51" s="7"/>
      <c r="C51" s="8"/>
      <c r="D51" s="49"/>
      <c r="E51" s="22"/>
      <c r="F51" s="22"/>
      <c r="G51" s="8"/>
      <c r="H51" s="8"/>
    </row>
    <row r="52" spans="1:8" x14ac:dyDescent="0.15">
      <c r="A52" s="22"/>
      <c r="B52" s="7"/>
      <c r="C52" s="8"/>
      <c r="D52" s="49"/>
      <c r="E52" s="22"/>
      <c r="F52" s="22"/>
      <c r="G52" s="8"/>
      <c r="H52" s="8"/>
    </row>
    <row r="53" spans="1:8" x14ac:dyDescent="0.15">
      <c r="A53" s="22"/>
      <c r="B53" s="7"/>
      <c r="C53" s="8"/>
      <c r="D53" s="49"/>
      <c r="E53" s="22"/>
      <c r="F53" s="22"/>
      <c r="G53" s="8"/>
      <c r="H53" s="8"/>
    </row>
    <row r="54" spans="1:8" x14ac:dyDescent="0.15">
      <c r="A54" s="22"/>
      <c r="B54" s="7"/>
      <c r="C54" s="8"/>
      <c r="D54" s="49"/>
      <c r="E54" s="22"/>
      <c r="F54" s="22"/>
      <c r="G54" s="8"/>
      <c r="H54" s="8"/>
    </row>
    <row r="55" spans="1:8" x14ac:dyDescent="0.15">
      <c r="A55" s="22"/>
      <c r="B55" s="7"/>
      <c r="C55" s="8"/>
      <c r="D55" s="49"/>
      <c r="E55" s="22"/>
      <c r="F55" s="22"/>
      <c r="G55" s="8"/>
      <c r="H55" s="8"/>
    </row>
    <row r="56" spans="1:8" x14ac:dyDescent="0.15">
      <c r="A56" s="22"/>
      <c r="B56" s="7"/>
      <c r="C56" s="8"/>
      <c r="D56" s="49"/>
      <c r="E56" s="22"/>
      <c r="F56" s="22"/>
      <c r="G56" s="8"/>
      <c r="H56" s="8"/>
    </row>
    <row r="57" spans="1:8" x14ac:dyDescent="0.15">
      <c r="A57" s="22"/>
      <c r="B57" s="7"/>
      <c r="C57" s="8"/>
      <c r="D57" s="49"/>
      <c r="E57" s="22"/>
      <c r="F57" s="22"/>
      <c r="G57" s="8"/>
      <c r="H57" s="8"/>
    </row>
    <row r="58" spans="1:8" x14ac:dyDescent="0.15">
      <c r="A58" s="22"/>
      <c r="B58" s="7"/>
      <c r="C58" s="8"/>
      <c r="D58" s="49"/>
      <c r="E58" s="22"/>
      <c r="F58" s="22"/>
      <c r="G58" s="8"/>
      <c r="H58" s="8"/>
    </row>
    <row r="59" spans="1:8" x14ac:dyDescent="0.15">
      <c r="A59" s="22"/>
      <c r="B59" s="7"/>
      <c r="C59" s="8"/>
      <c r="D59" s="49"/>
      <c r="E59" s="22"/>
      <c r="F59" s="22"/>
      <c r="G59" s="8"/>
      <c r="H59" s="8"/>
    </row>
    <row r="60" spans="1:8" x14ac:dyDescent="0.15">
      <c r="A60" s="22"/>
      <c r="B60" s="7"/>
      <c r="C60" s="8"/>
      <c r="D60" s="49"/>
      <c r="E60" s="22"/>
      <c r="F60" s="22"/>
      <c r="G60" s="8"/>
      <c r="H60" s="8"/>
    </row>
    <row r="61" spans="1:8" x14ac:dyDescent="0.15">
      <c r="A61" s="22"/>
      <c r="B61" s="7"/>
      <c r="C61" s="8"/>
      <c r="D61" s="49"/>
      <c r="E61" s="22"/>
      <c r="F61" s="22"/>
      <c r="G61" s="8"/>
      <c r="H61" s="8"/>
    </row>
    <row r="62" spans="1:8" x14ac:dyDescent="0.15">
      <c r="A62" s="22"/>
      <c r="B62" s="7"/>
      <c r="C62" s="8"/>
      <c r="D62" s="49"/>
      <c r="E62" s="22"/>
      <c r="F62" s="22"/>
      <c r="G62" s="8"/>
      <c r="H62" s="8"/>
    </row>
    <row r="63" spans="1:8" x14ac:dyDescent="0.15">
      <c r="A63" s="22"/>
      <c r="B63" s="7"/>
      <c r="C63" s="8"/>
      <c r="D63" s="49"/>
      <c r="E63" s="22"/>
      <c r="F63" s="22"/>
      <c r="G63" s="8"/>
      <c r="H63" s="179"/>
    </row>
    <row r="64" spans="1:8" x14ac:dyDescent="0.15">
      <c r="A64" s="22"/>
      <c r="B64" s="7"/>
      <c r="C64" s="8"/>
      <c r="D64" s="49"/>
      <c r="E64" s="22"/>
      <c r="F64" s="22"/>
      <c r="G64" s="8"/>
      <c r="H64" s="22"/>
    </row>
    <row r="65" spans="1:8" x14ac:dyDescent="0.15">
      <c r="A65" s="22"/>
      <c r="B65" s="7"/>
      <c r="C65" s="8"/>
      <c r="D65" s="49"/>
      <c r="E65" s="22"/>
      <c r="F65" s="22"/>
      <c r="G65" s="8"/>
      <c r="H65" s="179"/>
    </row>
    <row r="66" spans="1:8" x14ac:dyDescent="0.15">
      <c r="A66" s="22"/>
      <c r="B66" s="7"/>
      <c r="C66" s="8"/>
      <c r="D66" s="49"/>
      <c r="E66" s="22"/>
      <c r="F66" s="22"/>
      <c r="G66" s="8"/>
      <c r="H66" s="179"/>
    </row>
    <row r="67" spans="1:8" x14ac:dyDescent="0.15">
      <c r="A67" s="22"/>
      <c r="B67" s="7"/>
      <c r="C67" s="8"/>
      <c r="D67" s="49"/>
      <c r="E67" s="22"/>
      <c r="F67" s="22"/>
      <c r="G67" s="8"/>
      <c r="H67" s="22"/>
    </row>
    <row r="68" spans="1:8" x14ac:dyDescent="0.15">
      <c r="A68" s="22"/>
      <c r="B68" s="7"/>
      <c r="C68" s="8"/>
      <c r="D68" s="49"/>
      <c r="E68" s="22"/>
      <c r="F68" s="22"/>
      <c r="G68" s="8"/>
      <c r="H68" s="179"/>
    </row>
    <row r="69" spans="1:8" x14ac:dyDescent="0.15">
      <c r="A69" s="22"/>
      <c r="B69" s="22"/>
      <c r="C69" s="22"/>
      <c r="D69" s="22"/>
      <c r="E69" s="22"/>
      <c r="F69" s="22"/>
      <c r="G69" s="8"/>
      <c r="H69" s="179"/>
    </row>
    <row r="70" spans="1:8" x14ac:dyDescent="0.15">
      <c r="A70" s="22"/>
      <c r="B70" s="22"/>
      <c r="C70" s="22"/>
      <c r="D70" s="22"/>
      <c r="E70" s="22"/>
      <c r="F70" s="22"/>
      <c r="G70" s="8"/>
      <c r="H70" s="22"/>
    </row>
    <row r="71" spans="1:8" x14ac:dyDescent="0.15">
      <c r="A71" s="22"/>
      <c r="B71" s="22"/>
      <c r="C71" s="22"/>
      <c r="D71" s="22"/>
      <c r="E71" s="22"/>
      <c r="F71" s="22"/>
      <c r="G71" s="8"/>
      <c r="H71" s="98"/>
    </row>
    <row r="72" spans="1:8" x14ac:dyDescent="0.15">
      <c r="A72" s="22"/>
      <c r="B72" s="22"/>
      <c r="C72" s="22"/>
      <c r="D72" s="22"/>
      <c r="E72" s="22"/>
      <c r="F72" s="22"/>
      <c r="G72" s="51"/>
      <c r="H72" s="22"/>
    </row>
    <row r="73" spans="1:8" x14ac:dyDescent="0.15">
      <c r="A73" s="22"/>
      <c r="B73" s="22"/>
      <c r="C73" s="22"/>
      <c r="D73" s="22"/>
      <c r="E73" s="22"/>
      <c r="F73" s="22"/>
      <c r="G73" s="22"/>
      <c r="H73" s="22"/>
    </row>
    <row r="74" spans="1:8" x14ac:dyDescent="0.15">
      <c r="A74" s="22"/>
      <c r="B74" s="22"/>
      <c r="C74" s="22"/>
      <c r="D74" s="22"/>
      <c r="E74" s="22"/>
      <c r="F74" s="22"/>
      <c r="G74" s="22"/>
      <c r="H74" s="22"/>
    </row>
    <row r="75" spans="1:8" x14ac:dyDescent="0.15">
      <c r="A75" s="22"/>
      <c r="B75" s="22"/>
      <c r="C75" s="22"/>
      <c r="D75" s="22"/>
      <c r="E75" s="22"/>
      <c r="F75" s="22"/>
      <c r="G75" s="22"/>
      <c r="H75" s="22"/>
    </row>
    <row r="76" spans="1:8" x14ac:dyDescent="0.15">
      <c r="A76" s="22"/>
      <c r="B76" s="22"/>
      <c r="C76" s="22"/>
      <c r="D76" s="22"/>
      <c r="E76" s="22"/>
      <c r="F76" s="22"/>
      <c r="G76" s="22"/>
      <c r="H76" s="22"/>
    </row>
    <row r="77" spans="1:8" x14ac:dyDescent="0.15">
      <c r="A77" s="22"/>
      <c r="B77" s="22"/>
      <c r="C77" s="22"/>
      <c r="D77" s="22"/>
      <c r="E77" s="22"/>
      <c r="F77" s="22"/>
      <c r="G77" s="22"/>
      <c r="H77" s="22"/>
    </row>
    <row r="78" spans="1:8" x14ac:dyDescent="0.15">
      <c r="A78" s="22"/>
      <c r="B78" s="22"/>
      <c r="C78" s="22"/>
      <c r="D78" s="22"/>
      <c r="E78" s="22"/>
      <c r="F78" s="22"/>
      <c r="G78" s="22"/>
      <c r="H78" s="22"/>
    </row>
    <row r="79" spans="1:8" x14ac:dyDescent="0.15">
      <c r="A79" s="22"/>
      <c r="B79" s="22"/>
      <c r="C79" s="22"/>
      <c r="D79" s="22"/>
      <c r="E79" s="22"/>
      <c r="F79" s="22"/>
      <c r="G79" s="22"/>
      <c r="H79" s="22"/>
    </row>
    <row r="80" spans="1:8" x14ac:dyDescent="0.15">
      <c r="A80" s="22"/>
      <c r="B80" s="22"/>
      <c r="C80" s="22"/>
      <c r="D80" s="22"/>
      <c r="E80" s="22"/>
      <c r="F80" s="22"/>
      <c r="G80" s="22"/>
      <c r="H80" s="22"/>
    </row>
    <row r="81" spans="1:8" x14ac:dyDescent="0.15">
      <c r="A81" s="22"/>
      <c r="B81" s="22"/>
      <c r="C81" s="22"/>
      <c r="D81" s="22"/>
      <c r="E81" s="22"/>
      <c r="F81" s="22"/>
      <c r="G81" s="22"/>
      <c r="H81" s="22"/>
    </row>
    <row r="82" spans="1:8" x14ac:dyDescent="0.15">
      <c r="A82" s="22"/>
      <c r="B82" s="22"/>
      <c r="C82" s="22"/>
      <c r="D82" s="22"/>
      <c r="E82" s="22"/>
      <c r="F82" s="22"/>
      <c r="G82" s="22"/>
      <c r="H82" s="22"/>
    </row>
    <row r="83" spans="1:8" x14ac:dyDescent="0.15">
      <c r="A83" s="22"/>
      <c r="B83" s="22"/>
      <c r="C83" s="22"/>
      <c r="D83" s="22"/>
      <c r="E83" s="22"/>
      <c r="F83" s="22"/>
      <c r="G83" s="22"/>
      <c r="H83" s="22"/>
    </row>
    <row r="84" spans="1:8" x14ac:dyDescent="0.15">
      <c r="A84" s="22"/>
      <c r="B84" s="22"/>
      <c r="C84" s="22"/>
      <c r="D84" s="22"/>
      <c r="E84" s="22"/>
      <c r="F84" s="22"/>
      <c r="G84" s="22"/>
      <c r="H84" s="22"/>
    </row>
    <row r="85" spans="1:8" x14ac:dyDescent="0.15">
      <c r="A85" s="22"/>
      <c r="B85" s="22"/>
      <c r="C85" s="22"/>
      <c r="D85" s="22"/>
      <c r="E85" s="22"/>
      <c r="F85" s="22"/>
      <c r="G85" s="22"/>
      <c r="H85" s="22"/>
    </row>
    <row r="86" spans="1:8" x14ac:dyDescent="0.15">
      <c r="A86" s="22"/>
      <c r="B86" s="22"/>
      <c r="C86" s="22"/>
      <c r="D86" s="22"/>
      <c r="E86" s="22"/>
      <c r="F86" s="22"/>
      <c r="G86" s="22"/>
      <c r="H86" s="22"/>
    </row>
    <row r="87" spans="1:8" x14ac:dyDescent="0.15">
      <c r="A87" s="22"/>
      <c r="B87" s="22"/>
      <c r="C87" s="22"/>
      <c r="D87" s="22"/>
      <c r="E87" s="22"/>
      <c r="F87" s="22"/>
      <c r="G87" s="22"/>
      <c r="H87" s="22"/>
    </row>
    <row r="88" spans="1:8" x14ac:dyDescent="0.15">
      <c r="A88" s="22"/>
      <c r="B88" s="22"/>
      <c r="C88" s="22"/>
      <c r="D88" s="22"/>
      <c r="E88" s="22"/>
      <c r="F88" s="22"/>
      <c r="G88" s="22"/>
      <c r="H88" s="22"/>
    </row>
    <row r="89" spans="1:8" x14ac:dyDescent="0.15">
      <c r="A89" s="22"/>
      <c r="B89" s="22"/>
      <c r="C89" s="22"/>
      <c r="D89" s="22"/>
      <c r="E89" s="22"/>
      <c r="F89" s="22"/>
      <c r="G89" s="22"/>
      <c r="H89" s="22"/>
    </row>
    <row r="90" spans="1:8" x14ac:dyDescent="0.15">
      <c r="A90" s="22"/>
      <c r="B90" s="22"/>
      <c r="C90" s="22"/>
      <c r="D90" s="22"/>
      <c r="E90" s="22"/>
      <c r="F90" s="22"/>
      <c r="G90" s="22"/>
      <c r="H90" s="22"/>
    </row>
    <row r="91" spans="1:8" x14ac:dyDescent="0.15">
      <c r="A91" s="22"/>
      <c r="B91" s="22"/>
      <c r="C91" s="22"/>
      <c r="D91" s="22"/>
      <c r="E91" s="22"/>
      <c r="F91" s="22"/>
      <c r="G91" s="22"/>
      <c r="H91" s="22"/>
    </row>
    <row r="92" spans="1:8" x14ac:dyDescent="0.15">
      <c r="A92" s="22"/>
      <c r="B92" s="22"/>
      <c r="C92" s="22"/>
      <c r="D92" s="22"/>
      <c r="E92" s="22"/>
      <c r="F92" s="22"/>
      <c r="G92" s="22"/>
      <c r="H92" s="22"/>
    </row>
    <row r="93" spans="1:8" x14ac:dyDescent="0.15">
      <c r="A93" s="22"/>
      <c r="B93" s="22"/>
      <c r="C93" s="22"/>
      <c r="D93" s="22"/>
      <c r="E93" s="22"/>
      <c r="F93" s="22"/>
      <c r="G93" s="22"/>
      <c r="H93" s="22"/>
    </row>
    <row r="94" spans="1:8" x14ac:dyDescent="0.15">
      <c r="A94" s="22"/>
      <c r="B94" s="22"/>
      <c r="C94" s="22"/>
      <c r="D94" s="22"/>
      <c r="E94" s="22"/>
      <c r="F94" s="22"/>
      <c r="G94" s="22"/>
      <c r="H94" s="22"/>
    </row>
    <row r="95" spans="1:8" x14ac:dyDescent="0.15">
      <c r="A95" s="22"/>
      <c r="B95" s="22"/>
      <c r="C95" s="22"/>
      <c r="D95" s="22"/>
      <c r="E95" s="22"/>
      <c r="F95" s="22"/>
      <c r="G95" s="22"/>
      <c r="H95" s="22"/>
    </row>
    <row r="96" spans="1:8" x14ac:dyDescent="0.15">
      <c r="A96" s="22"/>
      <c r="B96" s="22"/>
      <c r="C96" s="22"/>
      <c r="D96" s="22"/>
      <c r="E96" s="22"/>
      <c r="F96" s="22"/>
      <c r="G96" s="22"/>
      <c r="H96" s="22"/>
    </row>
    <row r="97" spans="1:8" x14ac:dyDescent="0.15">
      <c r="A97" s="22"/>
      <c r="B97" s="22"/>
      <c r="C97" s="22"/>
      <c r="D97" s="22"/>
      <c r="E97" s="22"/>
      <c r="F97" s="22"/>
      <c r="G97" s="22"/>
      <c r="H97" s="22"/>
    </row>
    <row r="98" spans="1:8" x14ac:dyDescent="0.15">
      <c r="A98" s="22"/>
      <c r="B98" s="22"/>
      <c r="C98" s="22"/>
      <c r="D98" s="22"/>
      <c r="E98" s="22"/>
      <c r="F98" s="22"/>
      <c r="G98" s="22"/>
      <c r="H98" s="22"/>
    </row>
    <row r="99" spans="1:8" x14ac:dyDescent="0.15">
      <c r="A99" s="22"/>
      <c r="B99" s="22"/>
      <c r="C99" s="22"/>
      <c r="D99" s="22"/>
      <c r="E99" s="22"/>
      <c r="F99" s="22"/>
      <c r="G99" s="22"/>
      <c r="H99" s="22"/>
    </row>
    <row r="100" spans="1:8" x14ac:dyDescent="0.15">
      <c r="A100" s="22"/>
      <c r="B100" s="22"/>
      <c r="C100" s="22"/>
      <c r="D100" s="22"/>
      <c r="E100" s="22"/>
      <c r="F100" s="22"/>
      <c r="G100" s="22"/>
      <c r="H100" s="22"/>
    </row>
    <row r="101" spans="1:8" x14ac:dyDescent="0.15">
      <c r="A101" s="22"/>
      <c r="B101" s="22"/>
      <c r="C101" s="22"/>
      <c r="D101" s="22"/>
      <c r="E101" s="22"/>
      <c r="F101" s="22"/>
      <c r="G101" s="22"/>
      <c r="H101" s="22"/>
    </row>
  </sheetData>
  <phoneticPr fontId="2"/>
  <pageMargins left="0.70866141732283472" right="0.70866141732283472" top="0.74803149606299213" bottom="0.74803149606299213" header="0.31496062992125984" footer="0.31496062992125984"/>
  <pageSetup paperSize="11" scale="94"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7409" r:id="rId4" name="Button 1">
              <controlPr defaultSize="0" print="0" autoFill="0" autoPict="0" macro="[0]!データ削除12">
                <anchor moveWithCells="1" sizeWithCells="1">
                  <from>
                    <xdr:col>13</xdr:col>
                    <xdr:colOff>533400</xdr:colOff>
                    <xdr:row>2</xdr:row>
                    <xdr:rowOff>76200</xdr:rowOff>
                  </from>
                  <to>
                    <xdr:col>16</xdr:col>
                    <xdr:colOff>561975</xdr:colOff>
                    <xdr:row>4</xdr:row>
                    <xdr:rowOff>47625</xdr:rowOff>
                  </to>
                </anchor>
              </controlPr>
            </control>
          </mc:Choice>
        </mc:AlternateContent>
      </controls>
    </mc:Choice>
  </mc:AlternateContent>
  <tableParts count="2">
    <tablePart r:id="rId5"/>
    <tablePart r:id="rId6"/>
  </tableParts>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tabColor rgb="FFFFC000"/>
    <pageSetUpPr fitToPage="1"/>
  </sheetPr>
  <dimension ref="A1:J34"/>
  <sheetViews>
    <sheetView view="pageBreakPreview" zoomScale="80" zoomScaleNormal="100" zoomScaleSheetLayoutView="80" workbookViewId="0">
      <selection activeCell="E1" sqref="E1:J1048576"/>
    </sheetView>
  </sheetViews>
  <sheetFormatPr defaultRowHeight="18.75" x14ac:dyDescent="0.15"/>
  <cols>
    <col min="1" max="1" width="21.75" style="1" customWidth="1"/>
    <col min="2" max="3" width="9.375" style="1" customWidth="1"/>
    <col min="4" max="4" width="9" style="1" customWidth="1"/>
    <col min="5" max="5" width="20.625" style="1" hidden="1" customWidth="1"/>
    <col min="6" max="6" width="0" style="1" hidden="1" customWidth="1"/>
    <col min="7" max="7" width="8.75" style="1" hidden="1" customWidth="1"/>
    <col min="8" max="9" width="0" style="1" hidden="1" customWidth="1"/>
    <col min="10" max="10" width="9" style="1" hidden="1" customWidth="1"/>
    <col min="11" max="16384" width="9" style="1"/>
  </cols>
  <sheetData>
    <row r="1" spans="1:6" ht="19.5" x14ac:dyDescent="0.15">
      <c r="A1" s="2" t="s">
        <v>206</v>
      </c>
    </row>
    <row r="2" spans="1:6" ht="19.5" x14ac:dyDescent="0.15">
      <c r="A2" s="2"/>
      <c r="E2" s="56" t="s">
        <v>63</v>
      </c>
    </row>
    <row r="3" spans="1:6" ht="20.25" thickBot="1" x14ac:dyDescent="0.2">
      <c r="A3" s="4" t="s">
        <v>13</v>
      </c>
      <c r="B3" s="2"/>
      <c r="E3" s="388" t="s">
        <v>282</v>
      </c>
      <c r="F3" s="495" t="s">
        <v>0</v>
      </c>
    </row>
    <row r="4" spans="1:6" ht="20.25" thickTop="1" thickBot="1" x14ac:dyDescent="0.2">
      <c r="A4" s="336"/>
      <c r="B4" s="337" t="s">
        <v>226</v>
      </c>
      <c r="C4" s="337" t="s">
        <v>227</v>
      </c>
      <c r="E4" s="427" t="s">
        <v>371</v>
      </c>
      <c r="F4" s="385" t="s">
        <v>373</v>
      </c>
    </row>
    <row r="5" spans="1:6" ht="19.5" thickTop="1" x14ac:dyDescent="0.15">
      <c r="A5" s="303" t="s">
        <v>99</v>
      </c>
      <c r="B5" s="261">
        <f>IFERROR(VLOOKUP("措置入院",入院形態＿65歳以上[#All],2,FALSE),0)+IFERROR(VLOOKUP("緊急措置入院",入院形態＿65歳以上[#All],2,FALSE),0)</f>
        <v>14</v>
      </c>
      <c r="C5" s="472">
        <f>IFERROR(B5/B$10,"-")</f>
        <v>1.5013404825737265E-3</v>
      </c>
      <c r="E5" s="40" t="s">
        <v>15</v>
      </c>
      <c r="F5" s="48">
        <v>5143</v>
      </c>
    </row>
    <row r="6" spans="1:6" x14ac:dyDescent="0.15">
      <c r="A6" s="303" t="s">
        <v>100</v>
      </c>
      <c r="B6" s="261">
        <f>IFERROR(VLOOKUP(A6,入院形態＿65歳以上[#All],2,FALSE),0)</f>
        <v>5143</v>
      </c>
      <c r="C6" s="472">
        <f t="shared" ref="C6:C9" si="0">IFERROR(B6/B$10,"-")</f>
        <v>0.55152815013404821</v>
      </c>
      <c r="E6" s="40" t="s">
        <v>16</v>
      </c>
      <c r="F6" s="41">
        <v>4164</v>
      </c>
    </row>
    <row r="7" spans="1:6" x14ac:dyDescent="0.15">
      <c r="A7" s="303" t="s">
        <v>101</v>
      </c>
      <c r="B7" s="261">
        <f>IFERROR(VLOOKUP(A7,入院形態＿65歳以上[#All],2,FALSE),0)</f>
        <v>4164</v>
      </c>
      <c r="C7" s="472">
        <f t="shared" si="0"/>
        <v>0.44654155495978554</v>
      </c>
      <c r="E7" s="40" t="s">
        <v>374</v>
      </c>
      <c r="F7" s="41">
        <v>14</v>
      </c>
    </row>
    <row r="8" spans="1:6" x14ac:dyDescent="0.15">
      <c r="A8" s="303" t="s">
        <v>102</v>
      </c>
      <c r="B8" s="261">
        <f>IFERROR(VLOOKUP(A8,入院形態＿65歳以上[#All],2,FALSE),0)</f>
        <v>1</v>
      </c>
      <c r="C8" s="472">
        <f t="shared" si="0"/>
        <v>1.0723860589812332E-4</v>
      </c>
      <c r="E8" s="40" t="s">
        <v>375</v>
      </c>
      <c r="F8" s="41">
        <v>1</v>
      </c>
    </row>
    <row r="9" spans="1:6" x14ac:dyDescent="0.15">
      <c r="A9" s="303" t="s">
        <v>103</v>
      </c>
      <c r="B9" s="261">
        <f>IFERROR(VLOOKUP("鑑定入院",入院形態＿65歳以上[#All],2,FALSE),0)+IFERROR(VLOOKUP("医療観察法による入院",入院形態＿65歳以上[#All],2,FALSE),0)</f>
        <v>3</v>
      </c>
      <c r="C9" s="472">
        <f t="shared" si="0"/>
        <v>3.2171581769436998E-4</v>
      </c>
      <c r="E9" s="40" t="s">
        <v>17</v>
      </c>
      <c r="F9" s="41">
        <v>1</v>
      </c>
    </row>
    <row r="10" spans="1:6" x14ac:dyDescent="0.15">
      <c r="A10" s="336" t="s">
        <v>161</v>
      </c>
      <c r="B10" s="338">
        <f>SUM(B5:B9)</f>
        <v>9325</v>
      </c>
      <c r="C10" s="339">
        <f>SUM(C5:C9)</f>
        <v>1</v>
      </c>
      <c r="E10" s="43" t="s">
        <v>376</v>
      </c>
      <c r="F10" s="41">
        <v>2</v>
      </c>
    </row>
    <row r="11" spans="1:6" x14ac:dyDescent="0.15">
      <c r="E11" s="43" t="s">
        <v>377</v>
      </c>
      <c r="F11" s="41">
        <v>0</v>
      </c>
    </row>
    <row r="12" spans="1:6" x14ac:dyDescent="0.15">
      <c r="E12" s="43"/>
      <c r="F12" s="387"/>
    </row>
    <row r="13" spans="1:6" x14ac:dyDescent="0.15">
      <c r="E13" s="56" t="s">
        <v>63</v>
      </c>
      <c r="F13" s="387"/>
    </row>
    <row r="14" spans="1:6" ht="19.5" thickBot="1" x14ac:dyDescent="0.2">
      <c r="A14" s="4" t="s">
        <v>228</v>
      </c>
      <c r="E14" s="497" t="s">
        <v>282</v>
      </c>
      <c r="F14" s="502" t="s">
        <v>306</v>
      </c>
    </row>
    <row r="15" spans="1:6" ht="20.25" thickTop="1" thickBot="1" x14ac:dyDescent="0.2">
      <c r="A15" s="336"/>
      <c r="B15" s="337" t="s">
        <v>226</v>
      </c>
      <c r="C15" s="337" t="s">
        <v>227</v>
      </c>
      <c r="E15" s="427" t="s">
        <v>371</v>
      </c>
      <c r="F15" s="385" t="s">
        <v>373</v>
      </c>
    </row>
    <row r="16" spans="1:6" ht="19.5" thickTop="1" x14ac:dyDescent="0.15">
      <c r="A16" s="303" t="s">
        <v>99</v>
      </c>
      <c r="B16" s="261">
        <f>IFERROR(VLOOKUP("措置入院",入院形態＿65歳以上＿寛解・院内寛解[#All],2,FALSE),0)+IFERROR(VLOOKUP("緊急措置入院",入院形態＿65歳以上＿寛解・院内寛解[#All],2,FALSE),0)</f>
        <v>3</v>
      </c>
      <c r="C16" s="472">
        <f>IFERROR(B16/B$21,"-")</f>
        <v>3.9473684210526317E-3</v>
      </c>
      <c r="E16" s="40" t="s">
        <v>15</v>
      </c>
      <c r="F16" s="48">
        <v>265</v>
      </c>
    </row>
    <row r="17" spans="1:7" x14ac:dyDescent="0.15">
      <c r="A17" s="303" t="s">
        <v>100</v>
      </c>
      <c r="B17" s="261">
        <f>IFERROR(VLOOKUP(A17,入院形態＿65歳以上＿寛解・院内寛解[#All],2,FALSE),0)</f>
        <v>265</v>
      </c>
      <c r="C17" s="472">
        <f t="shared" ref="C17:C20" si="1">IFERROR(B17/B$21,"-")</f>
        <v>0.34868421052631576</v>
      </c>
      <c r="E17" s="40" t="s">
        <v>16</v>
      </c>
      <c r="F17" s="48">
        <v>491</v>
      </c>
    </row>
    <row r="18" spans="1:7" ht="19.5" x14ac:dyDescent="0.15">
      <c r="A18" s="303" t="s">
        <v>101</v>
      </c>
      <c r="B18" s="261">
        <f>IFERROR(VLOOKUP(A18,入院形態＿65歳以上＿寛解・院内寛解[#All],2,FALSE),0)</f>
        <v>491</v>
      </c>
      <c r="C18" s="472">
        <f t="shared" si="1"/>
        <v>0.64605263157894732</v>
      </c>
      <c r="E18" s="40" t="s">
        <v>374</v>
      </c>
      <c r="F18" s="48">
        <v>3</v>
      </c>
      <c r="G18" s="3"/>
    </row>
    <row r="19" spans="1:7" x14ac:dyDescent="0.15">
      <c r="A19" s="303" t="s">
        <v>102</v>
      </c>
      <c r="B19" s="261">
        <f>IFERROR(VLOOKUP(A19,入院形態＿65歳以上＿寛解・院内寛解[#All],2,FALSE),0)</f>
        <v>0</v>
      </c>
      <c r="C19" s="472">
        <f t="shared" si="1"/>
        <v>0</v>
      </c>
      <c r="E19" s="40" t="s">
        <v>375</v>
      </c>
      <c r="F19" s="48">
        <v>1</v>
      </c>
    </row>
    <row r="20" spans="1:7" x14ac:dyDescent="0.15">
      <c r="A20" s="303" t="s">
        <v>103</v>
      </c>
      <c r="B20" s="261">
        <f>IFERROR(VLOOKUP("鑑定入院",入院形態＿65歳以上＿寛解・院内寛解[#All],2,FALSE),0)+IFERROR(VLOOKUP("医療観察法による入院",入院形態＿65歳以上＿寛解・院内寛解[#All],2,FALSE),0)</f>
        <v>1</v>
      </c>
      <c r="C20" s="472">
        <f t="shared" si="1"/>
        <v>1.3157894736842105E-3</v>
      </c>
      <c r="E20" s="40" t="s">
        <v>17</v>
      </c>
      <c r="F20" s="48">
        <v>0</v>
      </c>
      <c r="G20" s="22"/>
    </row>
    <row r="21" spans="1:7" x14ac:dyDescent="0.15">
      <c r="A21" s="336" t="s">
        <v>161</v>
      </c>
      <c r="B21" s="338">
        <f>SUM(B16:B20)</f>
        <v>760</v>
      </c>
      <c r="C21" s="339">
        <f>SUM(C16:C20)</f>
        <v>0.99999999999999989</v>
      </c>
      <c r="E21" s="43" t="s">
        <v>376</v>
      </c>
      <c r="F21" s="48">
        <v>0</v>
      </c>
      <c r="G21" s="22"/>
    </row>
    <row r="22" spans="1:7" x14ac:dyDescent="0.15">
      <c r="E22" s="43" t="s">
        <v>377</v>
      </c>
      <c r="F22" s="48">
        <v>0</v>
      </c>
      <c r="G22" s="22"/>
    </row>
    <row r="23" spans="1:7" x14ac:dyDescent="0.15">
      <c r="G23" s="22"/>
    </row>
    <row r="26" spans="1:7" x14ac:dyDescent="0.15">
      <c r="C26" s="4"/>
    </row>
    <row r="27" spans="1:7" x14ac:dyDescent="0.15">
      <c r="C27" s="4"/>
    </row>
    <row r="30" spans="1:7" x14ac:dyDescent="0.15">
      <c r="A30" s="142"/>
      <c r="B30" s="33"/>
      <c r="C30" s="33"/>
    </row>
    <row r="31" spans="1:7" x14ac:dyDescent="0.15">
      <c r="A31" s="38"/>
      <c r="B31" s="39"/>
      <c r="C31" s="174"/>
    </row>
    <row r="32" spans="1:7" x14ac:dyDescent="0.15">
      <c r="A32" s="38"/>
      <c r="B32" s="39"/>
      <c r="C32" s="174"/>
    </row>
    <row r="33" spans="1:3" x14ac:dyDescent="0.15">
      <c r="A33" s="38"/>
      <c r="B33" s="39"/>
      <c r="C33" s="36"/>
    </row>
    <row r="34" spans="1:3" x14ac:dyDescent="0.15">
      <c r="A34" s="38"/>
      <c r="B34" s="39"/>
      <c r="C34" s="36"/>
    </row>
  </sheetData>
  <phoneticPr fontId="2"/>
  <printOptions horizontalCentered="1"/>
  <pageMargins left="0.70866141732283472" right="0.70866141732283472" top="1.1417322834645669" bottom="0.74803149606299213" header="0.70866141732283472" footer="0.31496062992125984"/>
  <pageSetup paperSize="11" scale="77"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8433" r:id="rId4" name="Button 1">
              <controlPr defaultSize="0" print="0" autoFill="0" autoPict="0" macro="[0]!データ削除13">
                <anchor moveWithCells="1" sizeWithCells="1">
                  <from>
                    <xdr:col>6</xdr:col>
                    <xdr:colOff>628650</xdr:colOff>
                    <xdr:row>3</xdr:row>
                    <xdr:rowOff>47625</xdr:rowOff>
                  </from>
                  <to>
                    <xdr:col>9</xdr:col>
                    <xdr:colOff>409575</xdr:colOff>
                    <xdr:row>5</xdr:row>
                    <xdr:rowOff>47625</xdr:rowOff>
                  </to>
                </anchor>
              </controlPr>
            </control>
          </mc:Choice>
        </mc:AlternateContent>
      </controls>
    </mc:Choice>
  </mc:AlternateContent>
  <tableParts count="2">
    <tablePart r:id="rId5"/>
    <tablePart r:id="rId6"/>
  </tableParts>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4">
    <tabColor rgb="FFFFC000"/>
    <pageSetUpPr fitToPage="1"/>
  </sheetPr>
  <dimension ref="A1:T63"/>
  <sheetViews>
    <sheetView showGridLines="0" view="pageBreakPreview" zoomScale="90" zoomScaleNormal="100" zoomScaleSheetLayoutView="90" workbookViewId="0">
      <selection activeCell="J1" sqref="J1:N1048576"/>
    </sheetView>
  </sheetViews>
  <sheetFormatPr defaultRowHeight="18.75" x14ac:dyDescent="0.15"/>
  <cols>
    <col min="1" max="1" width="3.375" style="1" customWidth="1"/>
    <col min="2" max="2" width="2.125" style="1" customWidth="1"/>
    <col min="3" max="3" width="43.75" style="1" customWidth="1"/>
    <col min="4" max="5" width="9.375" style="1" customWidth="1"/>
    <col min="6" max="6" width="0.875" style="1" customWidth="1"/>
    <col min="7" max="8" width="9.375" style="1" customWidth="1"/>
    <col min="9" max="9" width="6.875" style="38" customWidth="1"/>
    <col min="10" max="10" width="41.875" style="1" hidden="1" customWidth="1"/>
    <col min="11" max="11" width="10.625" style="1" hidden="1" customWidth="1"/>
    <col min="12" max="16" width="9" style="1" hidden="1" customWidth="1"/>
    <col min="17" max="19" width="0" style="1" hidden="1" customWidth="1"/>
    <col min="20" max="20" width="9" style="1" hidden="1" customWidth="1"/>
    <col min="21" max="16384" width="9" style="1"/>
  </cols>
  <sheetData>
    <row r="1" spans="1:20" ht="19.5" x14ac:dyDescent="0.15">
      <c r="B1" s="2" t="s">
        <v>229</v>
      </c>
    </row>
    <row r="3" spans="1:20" x14ac:dyDescent="0.15">
      <c r="B3" s="4" t="s">
        <v>13</v>
      </c>
      <c r="C3" s="151"/>
      <c r="J3" s="56" t="s">
        <v>63</v>
      </c>
    </row>
    <row r="4" spans="1:20" ht="18.75" customHeight="1" thickBot="1" x14ac:dyDescent="0.4">
      <c r="G4" s="625" t="s">
        <v>105</v>
      </c>
      <c r="H4" s="625"/>
      <c r="J4" s="499" t="s">
        <v>284</v>
      </c>
      <c r="K4" s="495" t="s">
        <v>0</v>
      </c>
    </row>
    <row r="5" spans="1:20" ht="18.75" customHeight="1" thickTop="1" thickBot="1" x14ac:dyDescent="0.2">
      <c r="B5" s="621"/>
      <c r="C5" s="621"/>
      <c r="D5" s="337" t="s">
        <v>0</v>
      </c>
      <c r="E5" s="337" t="s">
        <v>1</v>
      </c>
      <c r="F5" s="152"/>
      <c r="G5" s="337" t="s">
        <v>0</v>
      </c>
      <c r="H5" s="337" t="s">
        <v>1</v>
      </c>
      <c r="J5" s="424" t="s">
        <v>371</v>
      </c>
      <c r="K5" s="423" t="s">
        <v>378</v>
      </c>
      <c r="O5" s="55" t="s">
        <v>296</v>
      </c>
      <c r="T5" s="412" t="s">
        <v>326</v>
      </c>
    </row>
    <row r="6" spans="1:20" ht="18.75" customHeight="1" thickTop="1" x14ac:dyDescent="0.15">
      <c r="B6" s="622" t="s">
        <v>106</v>
      </c>
      <c r="C6" s="623"/>
      <c r="D6" s="153">
        <f>SUM(D7:D9)</f>
        <v>3929</v>
      </c>
      <c r="E6" s="154">
        <f>SUM(E7:E9)</f>
        <v>0.42134048257372653</v>
      </c>
      <c r="F6" s="155"/>
      <c r="G6" s="156">
        <f>'２-Ⅲ'!C5</f>
        <v>4284</v>
      </c>
      <c r="H6" s="157">
        <f>SUM(H7:H9)</f>
        <v>0.27365059086553817</v>
      </c>
      <c r="J6" s="43" t="s">
        <v>296</v>
      </c>
      <c r="K6" s="161">
        <v>1958</v>
      </c>
      <c r="O6" s="55" t="s">
        <v>285</v>
      </c>
      <c r="T6" s="412" t="s">
        <v>315</v>
      </c>
    </row>
    <row r="7" spans="1:20" ht="18.75" customHeight="1" x14ac:dyDescent="0.15">
      <c r="A7" s="158"/>
      <c r="B7" s="159"/>
      <c r="C7" s="160" t="s">
        <v>270</v>
      </c>
      <c r="D7" s="371">
        <f>IFERROR(VLOOKUP($O5,疾患別＿65歳以上[#All],2,FALSE),0)</f>
        <v>1958</v>
      </c>
      <c r="E7" s="474">
        <f>IFERROR(D7/D$21,"-")</f>
        <v>0.20997319034852546</v>
      </c>
      <c r="F7" s="24"/>
      <c r="G7" s="374">
        <f>'２-Ⅲ'!C6</f>
        <v>2020</v>
      </c>
      <c r="H7" s="474">
        <f>IFERROR(G7/G$21,"-")</f>
        <v>0.12903225806451613</v>
      </c>
      <c r="J7" s="43" t="s">
        <v>285</v>
      </c>
      <c r="K7" s="161">
        <v>318</v>
      </c>
      <c r="N7" s="9"/>
      <c r="O7" s="55" t="s">
        <v>286</v>
      </c>
      <c r="T7" s="412" t="s">
        <v>316</v>
      </c>
    </row>
    <row r="8" spans="1:20" ht="18.75" customHeight="1" x14ac:dyDescent="0.15">
      <c r="A8" s="158"/>
      <c r="B8" s="159"/>
      <c r="C8" s="162" t="s">
        <v>107</v>
      </c>
      <c r="D8" s="372">
        <f>IFERROR(VLOOKUP($O6,疾患別＿65歳以上[#All],2,FALSE),0)</f>
        <v>318</v>
      </c>
      <c r="E8" s="475">
        <f t="shared" ref="E8:E20" si="0">IFERROR(D8/D$21,"-")</f>
        <v>3.4101876675603215E-2</v>
      </c>
      <c r="F8" s="24"/>
      <c r="G8" s="375">
        <f>'２-Ⅲ'!C7</f>
        <v>332</v>
      </c>
      <c r="H8" s="267">
        <f t="shared" ref="H8:H20" si="1">IFERROR(G8/G$21,"-")</f>
        <v>2.1207282018524433E-2</v>
      </c>
      <c r="J8" s="43" t="s">
        <v>286</v>
      </c>
      <c r="K8" s="161">
        <v>1653</v>
      </c>
      <c r="N8" s="9"/>
      <c r="O8" s="55" t="s">
        <v>287</v>
      </c>
      <c r="T8" s="412" t="s">
        <v>317</v>
      </c>
    </row>
    <row r="9" spans="1:20" ht="37.5" customHeight="1" x14ac:dyDescent="0.15">
      <c r="A9" s="158"/>
      <c r="B9" s="163"/>
      <c r="C9" s="164" t="s">
        <v>68</v>
      </c>
      <c r="D9" s="373">
        <f>IFERROR(VLOOKUP($O7,疾患別＿65歳以上[#All],2,FALSE),0)</f>
        <v>1653</v>
      </c>
      <c r="E9" s="269">
        <f t="shared" si="0"/>
        <v>0.17726541554959785</v>
      </c>
      <c r="F9" s="24"/>
      <c r="G9" s="376">
        <f>'２-Ⅲ'!C8</f>
        <v>1932</v>
      </c>
      <c r="H9" s="477">
        <f t="shared" si="1"/>
        <v>0.1234110507824976</v>
      </c>
      <c r="J9" s="43" t="s">
        <v>287</v>
      </c>
      <c r="K9" s="161">
        <v>396</v>
      </c>
      <c r="N9" s="9"/>
      <c r="O9" s="55" t="s">
        <v>313</v>
      </c>
      <c r="T9" s="412" t="s">
        <v>318</v>
      </c>
    </row>
    <row r="10" spans="1:20" ht="18.75" customHeight="1" x14ac:dyDescent="0.15">
      <c r="A10" s="158"/>
      <c r="B10" s="619" t="s">
        <v>252</v>
      </c>
      <c r="C10" s="620"/>
      <c r="D10" s="165">
        <f>IFERROR(VLOOKUP($O8,疾患別＿65歳以上[#All],2,FALSE),0)+IFERROR(VLOOKUP($O9,疾患別＿65歳以上[#All],2,FALSE),0)+IFERROR(VLOOKUP($O10,疾患別＿65歳以上[#All],2,FALSE),0)</f>
        <v>418</v>
      </c>
      <c r="E10" s="476">
        <f t="shared" si="0"/>
        <v>4.4825737265415548E-2</v>
      </c>
      <c r="F10" s="166"/>
      <c r="G10" s="165">
        <f>'２-Ⅲ'!C9</f>
        <v>876</v>
      </c>
      <c r="H10" s="476">
        <f t="shared" si="1"/>
        <v>5.5956563398275309E-2</v>
      </c>
      <c r="J10" s="87" t="s">
        <v>201</v>
      </c>
      <c r="K10" s="161">
        <v>11</v>
      </c>
      <c r="N10" s="9"/>
      <c r="O10" s="55" t="s">
        <v>314</v>
      </c>
      <c r="T10" s="412" t="s">
        <v>319</v>
      </c>
    </row>
    <row r="11" spans="1:20" ht="18.75" customHeight="1" x14ac:dyDescent="0.15">
      <c r="A11" s="158"/>
      <c r="B11" s="619" t="s">
        <v>253</v>
      </c>
      <c r="C11" s="620"/>
      <c r="D11" s="165">
        <f>IFERROR(VLOOKUP($O11,疾患別＿65歳以上[#All],2,FALSE),0)</f>
        <v>3713</v>
      </c>
      <c r="E11" s="476">
        <f t="shared" si="0"/>
        <v>0.39817694369973189</v>
      </c>
      <c r="F11" s="166"/>
      <c r="G11" s="165">
        <f>'２-Ⅲ'!C10</f>
        <v>7949</v>
      </c>
      <c r="H11" s="476">
        <f t="shared" si="1"/>
        <v>0.50776109869051422</v>
      </c>
      <c r="J11" s="43" t="s">
        <v>202</v>
      </c>
      <c r="K11" s="161">
        <v>11</v>
      </c>
      <c r="O11" s="55" t="s">
        <v>288</v>
      </c>
      <c r="T11" s="412" t="s">
        <v>320</v>
      </c>
    </row>
    <row r="12" spans="1:20" ht="18.75" customHeight="1" x14ac:dyDescent="0.15">
      <c r="A12" s="158"/>
      <c r="B12" s="619" t="s">
        <v>22</v>
      </c>
      <c r="C12" s="620"/>
      <c r="D12" s="165">
        <f>IFERROR(VLOOKUP($O12,疾患別＿65歳以上[#All],2,FALSE),0)+IFERROR(VLOOKUP($O13,疾患別＿65歳以上[#All],2,FALSE),0)</f>
        <v>955</v>
      </c>
      <c r="E12" s="476">
        <f t="shared" si="0"/>
        <v>0.10241286863270778</v>
      </c>
      <c r="F12" s="166"/>
      <c r="G12" s="165">
        <f>'２-Ⅲ'!C11</f>
        <v>1534</v>
      </c>
      <c r="H12" s="476">
        <f t="shared" si="1"/>
        <v>9.7987863302459274E-2</v>
      </c>
      <c r="J12" s="43" t="s">
        <v>288</v>
      </c>
      <c r="K12" s="161">
        <v>3713</v>
      </c>
      <c r="O12" s="55" t="s">
        <v>289</v>
      </c>
      <c r="T12" s="412" t="s">
        <v>321</v>
      </c>
    </row>
    <row r="13" spans="1:20" ht="18.75" customHeight="1" x14ac:dyDescent="0.15">
      <c r="A13" s="158"/>
      <c r="B13" s="619" t="s">
        <v>24</v>
      </c>
      <c r="C13" s="620"/>
      <c r="D13" s="165">
        <f>IFERROR(VLOOKUP($O14,疾患別＿65歳以上[#All],2,FALSE),0)</f>
        <v>121</v>
      </c>
      <c r="E13" s="476">
        <f t="shared" si="0"/>
        <v>1.2975871313672923E-2</v>
      </c>
      <c r="F13" s="166"/>
      <c r="G13" s="165">
        <f>'２-Ⅲ'!C12</f>
        <v>286</v>
      </c>
      <c r="H13" s="476">
        <f t="shared" si="1"/>
        <v>1.8268923666560206E-2</v>
      </c>
      <c r="J13" s="43" t="s">
        <v>289</v>
      </c>
      <c r="K13" s="161">
        <v>450</v>
      </c>
      <c r="N13" s="9"/>
      <c r="O13" s="55" t="s">
        <v>290</v>
      </c>
      <c r="T13" s="412" t="s">
        <v>322</v>
      </c>
    </row>
    <row r="14" spans="1:20" ht="18.75" customHeight="1" x14ac:dyDescent="0.15">
      <c r="A14" s="158"/>
      <c r="B14" s="619" t="s">
        <v>25</v>
      </c>
      <c r="C14" s="620"/>
      <c r="D14" s="165">
        <f>IFERROR(VLOOKUP($O15,疾患別＿65歳以上[#All],2,FALSE),0)</f>
        <v>6</v>
      </c>
      <c r="E14" s="476">
        <f t="shared" si="0"/>
        <v>6.4343163538873997E-4</v>
      </c>
      <c r="F14" s="166"/>
      <c r="G14" s="165">
        <f>'２-Ⅲ'!C13</f>
        <v>43</v>
      </c>
      <c r="H14" s="476">
        <f t="shared" si="1"/>
        <v>2.7467262855317789E-3</v>
      </c>
      <c r="J14" s="43" t="s">
        <v>290</v>
      </c>
      <c r="K14" s="161">
        <v>505</v>
      </c>
      <c r="N14" s="9"/>
      <c r="O14" s="55" t="s">
        <v>291</v>
      </c>
      <c r="T14" s="412" t="s">
        <v>323</v>
      </c>
    </row>
    <row r="15" spans="1:20" ht="18.75" customHeight="1" x14ac:dyDescent="0.15">
      <c r="A15" s="158"/>
      <c r="B15" s="619" t="s">
        <v>262</v>
      </c>
      <c r="C15" s="620"/>
      <c r="D15" s="165">
        <f>IFERROR(VLOOKUP($O16,疾患別＿65歳以上[#All],2,FALSE),0)</f>
        <v>11</v>
      </c>
      <c r="E15" s="476">
        <f t="shared" si="0"/>
        <v>1.1796246648793566E-3</v>
      </c>
      <c r="F15" s="166"/>
      <c r="G15" s="165">
        <f>'２-Ⅲ'!C14</f>
        <v>40</v>
      </c>
      <c r="H15" s="476">
        <f t="shared" si="1"/>
        <v>2.5550942190993293E-3</v>
      </c>
      <c r="J15" s="43" t="s">
        <v>291</v>
      </c>
      <c r="K15" s="161">
        <v>121</v>
      </c>
      <c r="N15" s="9"/>
      <c r="O15" s="55" t="s">
        <v>292</v>
      </c>
      <c r="T15" s="412" t="s">
        <v>324</v>
      </c>
    </row>
    <row r="16" spans="1:20" ht="18.75" customHeight="1" x14ac:dyDescent="0.15">
      <c r="A16" s="158"/>
      <c r="B16" s="619" t="s">
        <v>250</v>
      </c>
      <c r="C16" s="620"/>
      <c r="D16" s="165">
        <f>IFERROR(VLOOKUP($O17,疾患別＿65歳以上[#All],2,FALSE),0)</f>
        <v>66</v>
      </c>
      <c r="E16" s="476">
        <f t="shared" si="0"/>
        <v>7.077747989276139E-3</v>
      </c>
      <c r="F16" s="166"/>
      <c r="G16" s="165">
        <f>'２-Ⅲ'!C15</f>
        <v>299</v>
      </c>
      <c r="H16" s="476">
        <f t="shared" si="1"/>
        <v>1.9099329287767485E-2</v>
      </c>
      <c r="J16" s="43" t="s">
        <v>292</v>
      </c>
      <c r="K16" s="161">
        <v>6</v>
      </c>
      <c r="N16" s="9"/>
      <c r="O16" s="55" t="s">
        <v>297</v>
      </c>
      <c r="T16" s="412" t="s">
        <v>325</v>
      </c>
    </row>
    <row r="17" spans="1:15" ht="18.75" customHeight="1" x14ac:dyDescent="0.15">
      <c r="A17" s="158"/>
      <c r="B17" s="619" t="s">
        <v>83</v>
      </c>
      <c r="C17" s="620"/>
      <c r="D17" s="165">
        <f>IFERROR(VLOOKUP($O18,疾患別＿65歳以上[#All],2,FALSE),0)</f>
        <v>4</v>
      </c>
      <c r="E17" s="476">
        <f t="shared" si="0"/>
        <v>4.2895442359249328E-4</v>
      </c>
      <c r="F17" s="166"/>
      <c r="G17" s="165">
        <f>'２-Ⅲ'!C16</f>
        <v>119</v>
      </c>
      <c r="H17" s="476">
        <f t="shared" si="1"/>
        <v>7.6014053018205047E-3</v>
      </c>
      <c r="J17" s="43" t="s">
        <v>297</v>
      </c>
      <c r="K17" s="161">
        <v>11</v>
      </c>
      <c r="N17" s="9"/>
      <c r="O17" s="55" t="s">
        <v>293</v>
      </c>
    </row>
    <row r="18" spans="1:15" ht="37.5" customHeight="1" x14ac:dyDescent="0.15">
      <c r="A18" s="158"/>
      <c r="B18" s="619" t="s">
        <v>259</v>
      </c>
      <c r="C18" s="620"/>
      <c r="D18" s="165">
        <f>IFERROR(VLOOKUP($O19,疾患別＿65歳以上[#All],2,FALSE),0)</f>
        <v>9</v>
      </c>
      <c r="E18" s="476">
        <f t="shared" si="0"/>
        <v>9.6514745308310995E-4</v>
      </c>
      <c r="F18" s="166"/>
      <c r="G18" s="165">
        <f>'２-Ⅲ'!C17</f>
        <v>39</v>
      </c>
      <c r="H18" s="476">
        <f t="shared" si="1"/>
        <v>2.491216863621846E-3</v>
      </c>
      <c r="J18" s="43" t="s">
        <v>293</v>
      </c>
      <c r="K18" s="161">
        <v>66</v>
      </c>
      <c r="N18" s="9"/>
      <c r="O18" s="55" t="s">
        <v>294</v>
      </c>
    </row>
    <row r="19" spans="1:15" ht="18.75" customHeight="1" x14ac:dyDescent="0.15">
      <c r="A19" s="158"/>
      <c r="B19" s="619" t="s">
        <v>67</v>
      </c>
      <c r="C19" s="620"/>
      <c r="D19" s="165">
        <f>IFERROR(VLOOKUP($O20,疾患別＿65歳以上[#All],2,FALSE),0)</f>
        <v>16</v>
      </c>
      <c r="E19" s="476">
        <f t="shared" si="0"/>
        <v>1.7158176943699731E-3</v>
      </c>
      <c r="F19" s="166"/>
      <c r="G19" s="165">
        <f>'２-Ⅲ'!C18</f>
        <v>48</v>
      </c>
      <c r="H19" s="476">
        <f t="shared" si="1"/>
        <v>3.0661130629191951E-3</v>
      </c>
      <c r="J19" s="43" t="s">
        <v>294</v>
      </c>
      <c r="K19" s="161">
        <v>4</v>
      </c>
      <c r="N19" s="9"/>
      <c r="O19" s="55" t="s">
        <v>298</v>
      </c>
    </row>
    <row r="20" spans="1:15" ht="18.75" customHeight="1" x14ac:dyDescent="0.15">
      <c r="A20" s="158"/>
      <c r="B20" s="626" t="s">
        <v>18</v>
      </c>
      <c r="C20" s="627"/>
      <c r="D20" s="165">
        <f>IFERROR(VLOOKUP($O21,疾患別＿65歳以上[#All],2,FALSE),0)</f>
        <v>77</v>
      </c>
      <c r="E20" s="476">
        <f t="shared" si="0"/>
        <v>8.2573726541554961E-3</v>
      </c>
      <c r="F20" s="166"/>
      <c r="G20" s="165">
        <f>'２-Ⅲ'!C19</f>
        <v>138</v>
      </c>
      <c r="H20" s="476">
        <f t="shared" si="1"/>
        <v>8.8150750558926867E-3</v>
      </c>
      <c r="J20" s="87" t="s">
        <v>298</v>
      </c>
      <c r="K20" s="161">
        <v>9</v>
      </c>
      <c r="N20" s="9"/>
      <c r="O20" s="55" t="s">
        <v>295</v>
      </c>
    </row>
    <row r="21" spans="1:15" ht="18.75" customHeight="1" x14ac:dyDescent="0.15">
      <c r="B21" s="624" t="s">
        <v>161</v>
      </c>
      <c r="C21" s="624"/>
      <c r="D21" s="340">
        <f>SUM(D7:D20)</f>
        <v>9325</v>
      </c>
      <c r="E21" s="339">
        <f>SUM(E7:E20)</f>
        <v>1</v>
      </c>
      <c r="F21" s="167"/>
      <c r="G21" s="340">
        <f>SUM(G7:G20)</f>
        <v>15655</v>
      </c>
      <c r="H21" s="339">
        <f>SUM(H7:H20)</f>
        <v>0.99999999999999989</v>
      </c>
      <c r="J21" s="43" t="s">
        <v>295</v>
      </c>
      <c r="K21" s="161">
        <v>16</v>
      </c>
      <c r="N21" s="9"/>
      <c r="O21" s="55" t="s">
        <v>18</v>
      </c>
    </row>
    <row r="22" spans="1:15" x14ac:dyDescent="0.15">
      <c r="G22" s="67"/>
      <c r="J22" s="43" t="s">
        <v>18</v>
      </c>
      <c r="K22" s="161">
        <v>77</v>
      </c>
    </row>
    <row r="23" spans="1:15" x14ac:dyDescent="0.15">
      <c r="B23" s="4" t="s">
        <v>114</v>
      </c>
      <c r="C23" s="151"/>
      <c r="G23" s="67"/>
    </row>
    <row r="24" spans="1:15" ht="20.25" thickBot="1" x14ac:dyDescent="0.4">
      <c r="G24" s="625" t="s">
        <v>105</v>
      </c>
      <c r="H24" s="625"/>
      <c r="J24" s="499" t="s">
        <v>284</v>
      </c>
      <c r="K24" s="502" t="s">
        <v>306</v>
      </c>
    </row>
    <row r="25" spans="1:15" ht="18.75" customHeight="1" thickTop="1" thickBot="1" x14ac:dyDescent="0.2">
      <c r="B25" s="621"/>
      <c r="C25" s="621"/>
      <c r="D25" s="337" t="s">
        <v>0</v>
      </c>
      <c r="E25" s="337" t="s">
        <v>1</v>
      </c>
      <c r="F25" s="152"/>
      <c r="G25" s="337" t="s">
        <v>0</v>
      </c>
      <c r="H25" s="337" t="s">
        <v>1</v>
      </c>
      <c r="J25" s="424" t="s">
        <v>371</v>
      </c>
      <c r="K25" s="423" t="s">
        <v>378</v>
      </c>
    </row>
    <row r="26" spans="1:15" ht="18.75" customHeight="1" thickTop="1" x14ac:dyDescent="0.15">
      <c r="B26" s="622" t="s">
        <v>106</v>
      </c>
      <c r="C26" s="623"/>
      <c r="D26" s="168">
        <f>SUM(D27:D29)</f>
        <v>214</v>
      </c>
      <c r="E26" s="169">
        <f>SUM(E27:E29)</f>
        <v>0.28157894736842104</v>
      </c>
      <c r="F26" s="138"/>
      <c r="G26" s="170">
        <f>'２-Ⅲ'!J5</f>
        <v>237</v>
      </c>
      <c r="H26" s="157">
        <f>SUM(H27:H29)</f>
        <v>0.14123957091775924</v>
      </c>
      <c r="J26" s="43" t="s">
        <v>296</v>
      </c>
      <c r="K26" s="161">
        <v>83</v>
      </c>
    </row>
    <row r="27" spans="1:15" ht="18.75" customHeight="1" x14ac:dyDescent="0.15">
      <c r="A27" s="158"/>
      <c r="B27" s="159"/>
      <c r="C27" s="160" t="s">
        <v>270</v>
      </c>
      <c r="D27" s="377">
        <f>IFERROR(VLOOKUP($O5,疾患別＿65歳以上＿寛解・院内寛解[#All],2,FALSE),0)</f>
        <v>83</v>
      </c>
      <c r="E27" s="265">
        <f>IFERROR(D27/D$41,"-")</f>
        <v>0.10921052631578948</v>
      </c>
      <c r="F27" s="24"/>
      <c r="G27" s="374">
        <f>'２-Ⅲ'!J6</f>
        <v>85</v>
      </c>
      <c r="H27" s="474">
        <f>IFERROR(G27/G$41,"-")</f>
        <v>5.0655542312276522E-2</v>
      </c>
      <c r="J27" s="425" t="s">
        <v>285</v>
      </c>
      <c r="K27" s="394">
        <v>8</v>
      </c>
      <c r="M27" s="9"/>
      <c r="N27" s="9"/>
    </row>
    <row r="28" spans="1:15" ht="18.75" customHeight="1" x14ac:dyDescent="0.15">
      <c r="A28" s="158"/>
      <c r="B28" s="159"/>
      <c r="C28" s="162" t="s">
        <v>107</v>
      </c>
      <c r="D28" s="377">
        <f>IFERROR(VLOOKUP($O6,疾患別＿65歳以上＿寛解・院内寛解[#All],2,FALSE),0)</f>
        <v>8</v>
      </c>
      <c r="E28" s="485">
        <f t="shared" ref="E28:E40" si="2">IFERROR(D28/D$41,"-")</f>
        <v>1.0526315789473684E-2</v>
      </c>
      <c r="F28" s="24"/>
      <c r="G28" s="375">
        <f>'２-Ⅲ'!J7</f>
        <v>8</v>
      </c>
      <c r="H28" s="267">
        <f t="shared" ref="H28:H40" si="3">IFERROR(G28/G$41,"-")</f>
        <v>4.7675804529201428E-3</v>
      </c>
      <c r="J28" s="391" t="s">
        <v>286</v>
      </c>
      <c r="K28" s="392">
        <v>123</v>
      </c>
      <c r="M28" s="9"/>
      <c r="N28" s="9"/>
    </row>
    <row r="29" spans="1:15" ht="37.5" customHeight="1" x14ac:dyDescent="0.15">
      <c r="A29" s="158"/>
      <c r="B29" s="163"/>
      <c r="C29" s="164" t="s">
        <v>68</v>
      </c>
      <c r="D29" s="377">
        <f>IFERROR(VLOOKUP($O7,疾患別＿65歳以上＿寛解・院内寛解[#All],2,FALSE),0)</f>
        <v>123</v>
      </c>
      <c r="E29" s="269">
        <f t="shared" si="2"/>
        <v>0.1618421052631579</v>
      </c>
      <c r="F29" s="24"/>
      <c r="G29" s="376">
        <f>'２-Ⅲ'!J8</f>
        <v>144</v>
      </c>
      <c r="H29" s="477">
        <f t="shared" si="3"/>
        <v>8.5816448152562577E-2</v>
      </c>
      <c r="J29" s="393" t="s">
        <v>287</v>
      </c>
      <c r="K29" s="394">
        <v>61</v>
      </c>
      <c r="M29" s="9"/>
      <c r="N29" s="9"/>
    </row>
    <row r="30" spans="1:15" ht="18.75" customHeight="1" x14ac:dyDescent="0.15">
      <c r="A30" s="158"/>
      <c r="B30" s="619" t="s">
        <v>20</v>
      </c>
      <c r="C30" s="620"/>
      <c r="D30" s="171">
        <f>IFERROR(VLOOKUP($O8,疾患別＿65歳以上＿寛解・院内寛解[#All],2,FALSE),0)+IFERROR(VLOOKUP($O9,疾患別＿65歳以上＿寛解・院内寛解[#All],2,FALSE),0)+IFERROR(VLOOKUP($O10,疾患別＿65歳以上＿寛解・院内寛解[#All],2,FALSE),0)</f>
        <v>66</v>
      </c>
      <c r="E30" s="476">
        <f t="shared" si="2"/>
        <v>8.6842105263157901E-2</v>
      </c>
      <c r="F30" s="166"/>
      <c r="G30" s="165">
        <f>'２-Ⅲ'!J9</f>
        <v>202</v>
      </c>
      <c r="H30" s="476">
        <f t="shared" si="3"/>
        <v>0.12038140643623362</v>
      </c>
      <c r="J30" s="391" t="s">
        <v>201</v>
      </c>
      <c r="K30" s="392">
        <v>2</v>
      </c>
      <c r="M30" s="9"/>
      <c r="N30" s="9"/>
    </row>
    <row r="31" spans="1:15" ht="18.75" customHeight="1" x14ac:dyDescent="0.15">
      <c r="A31" s="158"/>
      <c r="B31" s="619" t="s">
        <v>21</v>
      </c>
      <c r="C31" s="620"/>
      <c r="D31" s="171">
        <f>IFERROR(VLOOKUP($O11,疾患別＿65歳以上＿寛解・院内寛解[#All],2,FALSE),0)</f>
        <v>262</v>
      </c>
      <c r="E31" s="476">
        <f t="shared" si="2"/>
        <v>0.34473684210526317</v>
      </c>
      <c r="F31" s="166"/>
      <c r="G31" s="165">
        <f>'２-Ⅲ'!J10</f>
        <v>734</v>
      </c>
      <c r="H31" s="476">
        <f t="shared" si="3"/>
        <v>0.43742550655542312</v>
      </c>
      <c r="J31" s="393" t="s">
        <v>202</v>
      </c>
      <c r="K31" s="394">
        <v>3</v>
      </c>
    </row>
    <row r="32" spans="1:15" ht="18.75" customHeight="1" x14ac:dyDescent="0.15">
      <c r="A32" s="158"/>
      <c r="B32" s="619" t="s">
        <v>22</v>
      </c>
      <c r="C32" s="620"/>
      <c r="D32" s="171">
        <f>IFERROR(VLOOKUP($O12,疾患別＿65歳以上＿寛解・院内寛解[#All],2,FALSE),0)+IFERROR(VLOOKUP($O13,疾患別＿65歳以上＿寛解・院内寛解[#All],2,FALSE),0)</f>
        <v>181</v>
      </c>
      <c r="E32" s="476">
        <f t="shared" si="2"/>
        <v>0.2381578947368421</v>
      </c>
      <c r="F32" s="166"/>
      <c r="G32" s="165">
        <f>'２-Ⅲ'!J11</f>
        <v>328</v>
      </c>
      <c r="H32" s="476">
        <f t="shared" si="3"/>
        <v>0.19547079856972585</v>
      </c>
      <c r="J32" s="391" t="s">
        <v>288</v>
      </c>
      <c r="K32" s="392">
        <v>262</v>
      </c>
    </row>
    <row r="33" spans="1:14" ht="18.75" customHeight="1" x14ac:dyDescent="0.15">
      <c r="A33" s="158"/>
      <c r="B33" s="619" t="s">
        <v>254</v>
      </c>
      <c r="C33" s="620"/>
      <c r="D33" s="171">
        <f>IFERROR(VLOOKUP($O14,疾患別＿65歳以上＿寛解・院内寛解[#All],2,FALSE),0)</f>
        <v>21</v>
      </c>
      <c r="E33" s="476">
        <f t="shared" si="2"/>
        <v>2.763157894736842E-2</v>
      </c>
      <c r="F33" s="166"/>
      <c r="G33" s="165">
        <f>'２-Ⅲ'!J12</f>
        <v>65</v>
      </c>
      <c r="H33" s="476">
        <f t="shared" si="3"/>
        <v>3.873659117997616E-2</v>
      </c>
      <c r="J33" s="393" t="s">
        <v>289</v>
      </c>
      <c r="K33" s="394">
        <v>72</v>
      </c>
      <c r="M33" s="9"/>
      <c r="N33" s="9"/>
    </row>
    <row r="34" spans="1:14" ht="18.75" customHeight="1" x14ac:dyDescent="0.15">
      <c r="A34" s="158"/>
      <c r="B34" s="619" t="s">
        <v>255</v>
      </c>
      <c r="C34" s="620"/>
      <c r="D34" s="171">
        <f>IFERROR(VLOOKUP($O15,疾患別＿65歳以上＿寛解・院内寛解[#All],2,FALSE),0)</f>
        <v>1</v>
      </c>
      <c r="E34" s="476">
        <f t="shared" si="2"/>
        <v>1.3157894736842105E-3</v>
      </c>
      <c r="F34" s="166"/>
      <c r="G34" s="165">
        <f>'２-Ⅲ'!J13</f>
        <v>10</v>
      </c>
      <c r="H34" s="476">
        <f t="shared" si="3"/>
        <v>5.9594755661501785E-3</v>
      </c>
      <c r="J34" s="391" t="s">
        <v>290</v>
      </c>
      <c r="K34" s="392">
        <v>109</v>
      </c>
      <c r="M34" s="9"/>
      <c r="N34" s="9"/>
    </row>
    <row r="35" spans="1:14" ht="18.75" customHeight="1" x14ac:dyDescent="0.15">
      <c r="A35" s="158"/>
      <c r="B35" s="619" t="s">
        <v>260</v>
      </c>
      <c r="C35" s="620"/>
      <c r="D35" s="171">
        <f>IFERROR(VLOOKUP($O16,疾患別＿65歳以上＿寛解・院内寛解[#All],2,FALSE),0)</f>
        <v>1</v>
      </c>
      <c r="E35" s="476">
        <f t="shared" si="2"/>
        <v>1.3157894736842105E-3</v>
      </c>
      <c r="F35" s="166"/>
      <c r="G35" s="165">
        <f>'２-Ⅲ'!J14</f>
        <v>11</v>
      </c>
      <c r="H35" s="476">
        <f t="shared" si="3"/>
        <v>6.5554231227651968E-3</v>
      </c>
      <c r="J35" s="393" t="s">
        <v>291</v>
      </c>
      <c r="K35" s="394">
        <v>21</v>
      </c>
      <c r="M35" s="9"/>
      <c r="N35" s="9"/>
    </row>
    <row r="36" spans="1:14" ht="18.75" customHeight="1" x14ac:dyDescent="0.15">
      <c r="A36" s="158"/>
      <c r="B36" s="619" t="s">
        <v>256</v>
      </c>
      <c r="C36" s="620"/>
      <c r="D36" s="171">
        <f>IFERROR(VLOOKUP($O17,疾患別＿65歳以上＿寛解・院内寛解[#All],2,FALSE),0)</f>
        <v>5</v>
      </c>
      <c r="E36" s="476">
        <f t="shared" si="2"/>
        <v>6.5789473684210523E-3</v>
      </c>
      <c r="F36" s="166"/>
      <c r="G36" s="165">
        <f>'２-Ⅲ'!J15</f>
        <v>33</v>
      </c>
      <c r="H36" s="476">
        <f t="shared" si="3"/>
        <v>1.9666269368295589E-2</v>
      </c>
      <c r="J36" s="391" t="s">
        <v>292</v>
      </c>
      <c r="K36" s="392">
        <v>1</v>
      </c>
      <c r="M36" s="9"/>
      <c r="N36" s="9"/>
    </row>
    <row r="37" spans="1:14" ht="18.75" customHeight="1" x14ac:dyDescent="0.15">
      <c r="A37" s="158"/>
      <c r="B37" s="619" t="s">
        <v>23</v>
      </c>
      <c r="C37" s="620"/>
      <c r="D37" s="171">
        <f>IFERROR(VLOOKUP($O18,疾患別＿65歳以上＿寛解・院内寛解[#All],2,FALSE),0)</f>
        <v>0</v>
      </c>
      <c r="E37" s="476">
        <f t="shared" si="2"/>
        <v>0</v>
      </c>
      <c r="F37" s="166"/>
      <c r="G37" s="165">
        <f>'２-Ⅲ'!J16</f>
        <v>24</v>
      </c>
      <c r="H37" s="476">
        <f t="shared" si="3"/>
        <v>1.4302741358760428E-2</v>
      </c>
      <c r="J37" s="393" t="s">
        <v>297</v>
      </c>
      <c r="K37" s="394">
        <v>1</v>
      </c>
      <c r="M37" s="9"/>
      <c r="N37" s="9"/>
    </row>
    <row r="38" spans="1:14" ht="37.5" customHeight="1" x14ac:dyDescent="0.15">
      <c r="A38" s="158"/>
      <c r="B38" s="619" t="s">
        <v>261</v>
      </c>
      <c r="C38" s="620"/>
      <c r="D38" s="171">
        <f>IFERROR(VLOOKUP($O19,疾患別＿65歳以上＿寛解・院内寛解[#All],2,FALSE),0)</f>
        <v>0</v>
      </c>
      <c r="E38" s="476">
        <f t="shared" si="2"/>
        <v>0</v>
      </c>
      <c r="F38" s="166"/>
      <c r="G38" s="165">
        <f>'２-Ⅲ'!J17</f>
        <v>12</v>
      </c>
      <c r="H38" s="476">
        <f t="shared" si="3"/>
        <v>7.1513706793802142E-3</v>
      </c>
      <c r="J38" s="391" t="s">
        <v>293</v>
      </c>
      <c r="K38" s="392">
        <v>5</v>
      </c>
      <c r="M38" s="9"/>
      <c r="N38" s="9"/>
    </row>
    <row r="39" spans="1:14" ht="18.75" customHeight="1" x14ac:dyDescent="0.15">
      <c r="A39" s="158"/>
      <c r="B39" s="619" t="s">
        <v>67</v>
      </c>
      <c r="C39" s="620"/>
      <c r="D39" s="171">
        <f>IFERROR(VLOOKUP($O20,疾患別＿65歳以上＿寛解・院内寛解[#All],2,FALSE),0)</f>
        <v>1</v>
      </c>
      <c r="E39" s="476">
        <f t="shared" si="2"/>
        <v>1.3157894736842105E-3</v>
      </c>
      <c r="F39" s="166"/>
      <c r="G39" s="165">
        <f>'２-Ⅲ'!J18</f>
        <v>5</v>
      </c>
      <c r="H39" s="476">
        <f t="shared" si="3"/>
        <v>2.9797377830750892E-3</v>
      </c>
      <c r="J39" s="393" t="s">
        <v>294</v>
      </c>
      <c r="K39" s="394">
        <v>0</v>
      </c>
      <c r="M39" s="9"/>
      <c r="N39" s="9"/>
    </row>
    <row r="40" spans="1:14" ht="18.75" customHeight="1" x14ac:dyDescent="0.15">
      <c r="A40" s="158"/>
      <c r="B40" s="626" t="s">
        <v>18</v>
      </c>
      <c r="C40" s="627"/>
      <c r="D40" s="171">
        <f>IFERROR(VLOOKUP($O21,疾患別＿65歳以上＿寛解・院内寛解[#All],2,FALSE),0)</f>
        <v>8</v>
      </c>
      <c r="E40" s="476">
        <f t="shared" si="2"/>
        <v>1.0526315789473684E-2</v>
      </c>
      <c r="F40" s="166"/>
      <c r="G40" s="165">
        <f>'２-Ⅲ'!J19</f>
        <v>17</v>
      </c>
      <c r="H40" s="476">
        <f t="shared" si="3"/>
        <v>1.0131108462455305E-2</v>
      </c>
      <c r="J40" s="391" t="s">
        <v>298</v>
      </c>
      <c r="K40" s="392">
        <v>0</v>
      </c>
      <c r="M40" s="9"/>
      <c r="N40" s="9"/>
    </row>
    <row r="41" spans="1:14" ht="18.75" customHeight="1" x14ac:dyDescent="0.15">
      <c r="B41" s="624" t="s">
        <v>161</v>
      </c>
      <c r="C41" s="624"/>
      <c r="D41" s="340">
        <f>SUM(D27:D40)</f>
        <v>760</v>
      </c>
      <c r="E41" s="339">
        <f>SUM(E27:E40)</f>
        <v>0.99999999999999989</v>
      </c>
      <c r="F41" s="167"/>
      <c r="G41" s="340">
        <f>SUM(G27:G40)</f>
        <v>1678</v>
      </c>
      <c r="H41" s="339">
        <f t="shared" ref="H41" si="4">G41/$G$41</f>
        <v>1</v>
      </c>
      <c r="J41" s="395" t="s">
        <v>295</v>
      </c>
      <c r="K41" s="394">
        <v>1</v>
      </c>
      <c r="M41" s="9"/>
      <c r="N41" s="9"/>
    </row>
    <row r="42" spans="1:14" x14ac:dyDescent="0.15">
      <c r="J42" s="390" t="s">
        <v>18</v>
      </c>
      <c r="K42" s="389">
        <v>8</v>
      </c>
    </row>
    <row r="46" spans="1:14" x14ac:dyDescent="0.15">
      <c r="E46" s="4"/>
      <c r="F46" s="4"/>
      <c r="G46" s="4"/>
    </row>
    <row r="47" spans="1:14" x14ac:dyDescent="0.15">
      <c r="E47" s="4"/>
      <c r="F47" s="4"/>
      <c r="G47" s="4"/>
    </row>
    <row r="50" spans="3:9" x14ac:dyDescent="0.15">
      <c r="E50" s="33"/>
      <c r="F50" s="33"/>
      <c r="G50" s="33"/>
      <c r="I50" s="172"/>
    </row>
    <row r="51" spans="3:9" x14ac:dyDescent="0.15">
      <c r="E51" s="36"/>
      <c r="F51" s="36"/>
      <c r="G51" s="36"/>
      <c r="I51" s="172"/>
    </row>
    <row r="52" spans="3:9" x14ac:dyDescent="0.15">
      <c r="E52" s="36"/>
      <c r="F52" s="36"/>
      <c r="G52" s="36"/>
      <c r="I52" s="7"/>
    </row>
    <row r="53" spans="3:9" x14ac:dyDescent="0.15">
      <c r="E53" s="36"/>
      <c r="F53" s="36"/>
      <c r="G53" s="36"/>
      <c r="I53" s="172"/>
    </row>
    <row r="54" spans="3:9" x14ac:dyDescent="0.15">
      <c r="E54" s="36"/>
      <c r="F54" s="36"/>
      <c r="G54" s="36"/>
      <c r="I54" s="172"/>
    </row>
    <row r="55" spans="3:9" x14ac:dyDescent="0.15">
      <c r="E55" s="36"/>
      <c r="F55" s="36"/>
      <c r="G55" s="36"/>
      <c r="I55" s="172"/>
    </row>
    <row r="56" spans="3:9" x14ac:dyDescent="0.15">
      <c r="E56" s="36"/>
      <c r="F56" s="36"/>
      <c r="G56" s="36"/>
      <c r="I56" s="172"/>
    </row>
    <row r="57" spans="3:9" x14ac:dyDescent="0.15">
      <c r="E57" s="36"/>
      <c r="F57" s="36"/>
      <c r="G57" s="36"/>
      <c r="I57" s="172"/>
    </row>
    <row r="58" spans="3:9" x14ac:dyDescent="0.15">
      <c r="E58" s="36"/>
      <c r="F58" s="36"/>
      <c r="G58" s="36"/>
      <c r="I58" s="172"/>
    </row>
    <row r="59" spans="3:9" x14ac:dyDescent="0.15">
      <c r="E59" s="36"/>
      <c r="F59" s="36"/>
      <c r="G59" s="36"/>
      <c r="I59" s="173"/>
    </row>
    <row r="60" spans="3:9" x14ac:dyDescent="0.15">
      <c r="E60" s="36"/>
      <c r="F60" s="36"/>
      <c r="G60" s="36"/>
      <c r="I60" s="173"/>
    </row>
    <row r="61" spans="3:9" x14ac:dyDescent="0.15">
      <c r="E61" s="36"/>
      <c r="F61" s="36"/>
      <c r="G61" s="36"/>
      <c r="I61" s="173"/>
    </row>
    <row r="62" spans="3:9" x14ac:dyDescent="0.15">
      <c r="C62" s="38"/>
      <c r="D62" s="39"/>
      <c r="E62" s="36"/>
      <c r="F62" s="36"/>
      <c r="G62" s="36"/>
      <c r="I62" s="172"/>
    </row>
    <row r="63" spans="3:9" x14ac:dyDescent="0.15">
      <c r="C63" s="38"/>
      <c r="D63" s="39"/>
      <c r="E63" s="36"/>
      <c r="F63" s="36"/>
      <c r="G63" s="36"/>
      <c r="I63" s="7"/>
    </row>
  </sheetData>
  <mergeCells count="30">
    <mergeCell ref="G4:H4"/>
    <mergeCell ref="G24:H24"/>
    <mergeCell ref="B38:C38"/>
    <mergeCell ref="B39:C39"/>
    <mergeCell ref="B40:C40"/>
    <mergeCell ref="B31:C31"/>
    <mergeCell ref="B14:C14"/>
    <mergeCell ref="B15:C15"/>
    <mergeCell ref="B16:C16"/>
    <mergeCell ref="B17:C17"/>
    <mergeCell ref="B18:C18"/>
    <mergeCell ref="B19:C19"/>
    <mergeCell ref="B20:C20"/>
    <mergeCell ref="B21:C21"/>
    <mergeCell ref="B25:C25"/>
    <mergeCell ref="B26:C26"/>
    <mergeCell ref="B41:C41"/>
    <mergeCell ref="B32:C32"/>
    <mergeCell ref="B33:C33"/>
    <mergeCell ref="B34:C34"/>
    <mergeCell ref="B35:C35"/>
    <mergeCell ref="B36:C36"/>
    <mergeCell ref="B37:C37"/>
    <mergeCell ref="B30:C30"/>
    <mergeCell ref="B13:C13"/>
    <mergeCell ref="B5:C5"/>
    <mergeCell ref="B6:C6"/>
    <mergeCell ref="B10:C10"/>
    <mergeCell ref="B11:C11"/>
    <mergeCell ref="B12:C12"/>
  </mergeCells>
  <phoneticPr fontId="2"/>
  <printOptions horizontalCentered="1"/>
  <pageMargins left="0.70866141732283472" right="0.70866141732283472" top="1.1417322834645669" bottom="0.74803149606299213" header="0.70866141732283472" footer="0.31496062992125984"/>
  <pageSetup paperSize="9" scale="9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9457" r:id="rId4" name="Button 1">
              <controlPr defaultSize="0" print="0" autoFill="0" autoPict="0" macro="[0]!データ削除14">
                <anchor moveWithCells="1" sizeWithCells="1">
                  <from>
                    <xdr:col>11</xdr:col>
                    <xdr:colOff>552450</xdr:colOff>
                    <xdr:row>4</xdr:row>
                    <xdr:rowOff>19050</xdr:rowOff>
                  </from>
                  <to>
                    <xdr:col>13</xdr:col>
                    <xdr:colOff>533400</xdr:colOff>
                    <xdr:row>5</xdr:row>
                    <xdr:rowOff>228600</xdr:rowOff>
                  </to>
                </anchor>
              </controlPr>
            </control>
          </mc:Choice>
        </mc:AlternateContent>
      </controls>
    </mc:Choice>
  </mc:AlternateContent>
  <tableParts count="2">
    <tablePart r:id="rId5"/>
    <tablePart r:id="rId6"/>
  </tableParts>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rgb="FFFFC000"/>
    <pageSetUpPr fitToPage="1"/>
  </sheetPr>
  <dimension ref="A1:Q50"/>
  <sheetViews>
    <sheetView showGridLines="0" view="pageBreakPreview" zoomScale="80" zoomScaleNormal="100" zoomScaleSheetLayoutView="80" workbookViewId="0">
      <selection activeCell="J1" sqref="J1:R1048576"/>
    </sheetView>
  </sheetViews>
  <sheetFormatPr defaultRowHeight="18.75" x14ac:dyDescent="0.15"/>
  <cols>
    <col min="1" max="1" width="23.75" style="1" customWidth="1"/>
    <col min="2" max="4" width="9.375" style="1" customWidth="1"/>
    <col min="5" max="5" width="9.375" style="42" customWidth="1"/>
    <col min="6" max="6" width="0.625" style="1" customWidth="1"/>
    <col min="7" max="8" width="9.375" style="1" customWidth="1"/>
    <col min="9" max="9" width="9" style="1"/>
    <col min="10" max="14" width="13.625" style="1" hidden="1" customWidth="1"/>
    <col min="15" max="18" width="0" style="1" hidden="1" customWidth="1"/>
    <col min="19" max="16384" width="9" style="1"/>
  </cols>
  <sheetData>
    <row r="1" spans="1:17" ht="19.5" x14ac:dyDescent="0.15">
      <c r="A1" s="2" t="s">
        <v>207</v>
      </c>
    </row>
    <row r="3" spans="1:17" ht="18.75" customHeight="1" x14ac:dyDescent="0.15">
      <c r="A3" s="633"/>
      <c r="B3" s="628" t="s">
        <v>110</v>
      </c>
      <c r="C3" s="629"/>
      <c r="D3" s="629"/>
      <c r="E3" s="630"/>
      <c r="F3" s="139"/>
      <c r="G3" s="634" t="s">
        <v>105</v>
      </c>
      <c r="H3" s="635"/>
      <c r="J3" s="56" t="s">
        <v>63</v>
      </c>
    </row>
    <row r="4" spans="1:17" ht="18.75" customHeight="1" thickBot="1" x14ac:dyDescent="0.2">
      <c r="A4" s="633"/>
      <c r="B4" s="628"/>
      <c r="C4" s="630"/>
      <c r="D4" s="631" t="s">
        <v>104</v>
      </c>
      <c r="E4" s="632"/>
      <c r="F4" s="139"/>
      <c r="G4" s="636"/>
      <c r="H4" s="637"/>
      <c r="J4" s="388" t="s">
        <v>300</v>
      </c>
      <c r="K4" s="495" t="s">
        <v>279</v>
      </c>
      <c r="L4" s="3"/>
      <c r="M4" s="388" t="s">
        <v>300</v>
      </c>
      <c r="N4" s="502" t="s">
        <v>306</v>
      </c>
    </row>
    <row r="5" spans="1:17" ht="18.75" customHeight="1" thickTop="1" thickBot="1" x14ac:dyDescent="0.2">
      <c r="A5" s="633"/>
      <c r="B5" s="341" t="s">
        <v>0</v>
      </c>
      <c r="C5" s="342" t="s">
        <v>1</v>
      </c>
      <c r="D5" s="341" t="s">
        <v>0</v>
      </c>
      <c r="E5" s="342" t="s">
        <v>1</v>
      </c>
      <c r="F5" s="139"/>
      <c r="G5" s="341" t="s">
        <v>0</v>
      </c>
      <c r="H5" s="342" t="s">
        <v>1</v>
      </c>
      <c r="J5" s="428" t="s">
        <v>371</v>
      </c>
      <c r="K5" s="130" t="s">
        <v>379</v>
      </c>
      <c r="M5" s="428" t="s">
        <v>371</v>
      </c>
      <c r="N5" s="130" t="s">
        <v>379</v>
      </c>
    </row>
    <row r="6" spans="1:17" ht="18.75" customHeight="1" thickTop="1" x14ac:dyDescent="0.15">
      <c r="A6" s="286" t="s">
        <v>60</v>
      </c>
      <c r="B6" s="343">
        <f>IFERROR(VLOOKUP($Q6,在院期間＿65歳以上[#All],2,FALSE),0)</f>
        <v>778</v>
      </c>
      <c r="C6" s="478">
        <f>IFERROR(B6/B$22,"-")</f>
        <v>8.3431635388739947E-2</v>
      </c>
      <c r="D6" s="344">
        <f>IFERROR(VLOOKUP($Q6,在院期間＿65歳以上＿寛解・院内寛解[#All],2,FALSE),0)</f>
        <v>106</v>
      </c>
      <c r="E6" s="480">
        <f>IFERROR(D6/D$22,"-")</f>
        <v>0.13947368421052631</v>
      </c>
      <c r="G6" s="347">
        <f>'２-Ⅳ'!B5</f>
        <v>1745</v>
      </c>
      <c r="H6" s="348">
        <f>IFERROR(G6/G$22,"-")</f>
        <v>0.11146598530820824</v>
      </c>
      <c r="J6" s="43" t="s">
        <v>183</v>
      </c>
      <c r="K6" s="60">
        <v>778</v>
      </c>
      <c r="M6" s="43" t="s">
        <v>183</v>
      </c>
      <c r="N6" s="60">
        <v>106</v>
      </c>
      <c r="Q6" s="404" t="s">
        <v>183</v>
      </c>
    </row>
    <row r="7" spans="1:17" ht="18.75" customHeight="1" x14ac:dyDescent="0.15">
      <c r="A7" s="286" t="s">
        <v>208</v>
      </c>
      <c r="B7" s="343">
        <f>IFERROR(VLOOKUP($Q7,在院期間＿65歳以上[#All],2,FALSE),0)</f>
        <v>959</v>
      </c>
      <c r="C7" s="478">
        <f t="shared" ref="C7:C26" si="0">IFERROR(B7/B$22,"-")</f>
        <v>0.10284182305630027</v>
      </c>
      <c r="D7" s="344">
        <f>IFERROR(VLOOKUP($Q7,在院期間＿65歳以上＿寛解・院内寛解[#All],2,FALSE),0)</f>
        <v>154</v>
      </c>
      <c r="E7" s="480">
        <f t="shared" ref="E7:E21" si="1">IFERROR(D7/D$22,"-")</f>
        <v>0.20263157894736841</v>
      </c>
      <c r="G7" s="347">
        <f>'２-Ⅳ'!B6</f>
        <v>1789</v>
      </c>
      <c r="H7" s="348">
        <f t="shared" ref="H7:H26" si="2">IFERROR(G7/G$22,"-")</f>
        <v>0.11427658894921751</v>
      </c>
      <c r="J7" s="43" t="s">
        <v>184</v>
      </c>
      <c r="K7" s="60">
        <v>959</v>
      </c>
      <c r="M7" s="43" t="s">
        <v>184</v>
      </c>
      <c r="N7" s="400">
        <v>154</v>
      </c>
      <c r="Q7" s="404" t="s">
        <v>184</v>
      </c>
    </row>
    <row r="8" spans="1:17" ht="18.75" customHeight="1" x14ac:dyDescent="0.15">
      <c r="A8" s="286" t="s">
        <v>209</v>
      </c>
      <c r="B8" s="343">
        <f>IFERROR(VLOOKUP($Q8,在院期間＿65歳以上[#All],2,FALSE),0)</f>
        <v>893</v>
      </c>
      <c r="C8" s="478">
        <f t="shared" si="0"/>
        <v>9.5764075067024126E-2</v>
      </c>
      <c r="D8" s="344">
        <f>IFERROR(VLOOKUP($Q8,在院期間＿65歳以上＿寛解・院内寛解[#All],2,FALSE),0)</f>
        <v>82</v>
      </c>
      <c r="E8" s="480">
        <f t="shared" si="1"/>
        <v>0.10789473684210527</v>
      </c>
      <c r="G8" s="347">
        <f>'２-Ⅳ'!B7</f>
        <v>1375</v>
      </c>
      <c r="H8" s="348">
        <f t="shared" si="2"/>
        <v>8.783136378153944E-2</v>
      </c>
      <c r="J8" s="43" t="s">
        <v>185</v>
      </c>
      <c r="K8" s="60">
        <v>893</v>
      </c>
      <c r="M8" s="43" t="s">
        <v>185</v>
      </c>
      <c r="N8" s="400">
        <v>82</v>
      </c>
      <c r="Q8" s="405" t="s">
        <v>185</v>
      </c>
    </row>
    <row r="9" spans="1:17" ht="18.75" customHeight="1" x14ac:dyDescent="0.15">
      <c r="A9" s="286" t="s">
        <v>210</v>
      </c>
      <c r="B9" s="343">
        <f>IFERROR(VLOOKUP($Q9,在院期間＿65歳以上[#All],2,FALSE),0)</f>
        <v>1048</v>
      </c>
      <c r="C9" s="478">
        <f t="shared" si="0"/>
        <v>0.11238605898123324</v>
      </c>
      <c r="D9" s="344">
        <f>IFERROR(VLOOKUP($Q9,在院期間＿65歳以上＿寛解・院内寛解[#All],2,FALSE),0)</f>
        <v>97</v>
      </c>
      <c r="E9" s="480">
        <f t="shared" si="1"/>
        <v>0.12763157894736843</v>
      </c>
      <c r="G9" s="347">
        <f>'２-Ⅳ'!B8</f>
        <v>1604</v>
      </c>
      <c r="H9" s="348">
        <f t="shared" si="2"/>
        <v>0.1024592781858831</v>
      </c>
      <c r="J9" s="43" t="s">
        <v>186</v>
      </c>
      <c r="K9" s="60">
        <v>1048</v>
      </c>
      <c r="M9" s="43" t="s">
        <v>186</v>
      </c>
      <c r="N9" s="400">
        <v>97</v>
      </c>
      <c r="Q9" s="404" t="s">
        <v>186</v>
      </c>
    </row>
    <row r="10" spans="1:17" ht="18.75" customHeight="1" x14ac:dyDescent="0.15">
      <c r="A10" s="286" t="s">
        <v>211</v>
      </c>
      <c r="B10" s="343">
        <f>IFERROR(VLOOKUP($Q10,在院期間＿65歳以上[#All],2,FALSE),0)</f>
        <v>729</v>
      </c>
      <c r="C10" s="478">
        <f t="shared" si="0"/>
        <v>7.817694369973191E-2</v>
      </c>
      <c r="D10" s="344">
        <f>IFERROR(VLOOKUP($Q10,在院期間＿65歳以上＿寛解・院内寛解[#All],2,FALSE),0)</f>
        <v>51</v>
      </c>
      <c r="E10" s="480">
        <f t="shared" si="1"/>
        <v>6.7105263157894737E-2</v>
      </c>
      <c r="G10" s="347">
        <f>'２-Ⅳ'!B9</f>
        <v>1076</v>
      </c>
      <c r="H10" s="348">
        <f t="shared" si="2"/>
        <v>6.8732034493771951E-2</v>
      </c>
      <c r="J10" s="43" t="s">
        <v>187</v>
      </c>
      <c r="K10" s="60">
        <v>729</v>
      </c>
      <c r="M10" s="43" t="s">
        <v>187</v>
      </c>
      <c r="N10" s="400">
        <v>51</v>
      </c>
      <c r="Q10" s="405" t="s">
        <v>187</v>
      </c>
    </row>
    <row r="11" spans="1:17" ht="18.75" customHeight="1" x14ac:dyDescent="0.15">
      <c r="A11" s="286" t="s">
        <v>212</v>
      </c>
      <c r="B11" s="343">
        <f>IFERROR(VLOOKUP($Q11,在院期間＿65歳以上[#All],2,FALSE),0)</f>
        <v>557</v>
      </c>
      <c r="C11" s="478">
        <f t="shared" si="0"/>
        <v>5.9731903485254693E-2</v>
      </c>
      <c r="D11" s="344">
        <f>IFERROR(VLOOKUP($Q11,在院期間＿65歳以上＿寛解・院内寛解[#All],2,FALSE),0)</f>
        <v>40</v>
      </c>
      <c r="E11" s="480">
        <f t="shared" si="1"/>
        <v>5.2631578947368418E-2</v>
      </c>
      <c r="G11" s="347">
        <f>'２-Ⅳ'!B10</f>
        <v>843</v>
      </c>
      <c r="H11" s="348">
        <f t="shared" si="2"/>
        <v>5.3848610667518365E-2</v>
      </c>
      <c r="J11" s="43" t="s">
        <v>188</v>
      </c>
      <c r="K11" s="60">
        <v>557</v>
      </c>
      <c r="M11" s="43" t="s">
        <v>188</v>
      </c>
      <c r="N11" s="400">
        <v>40</v>
      </c>
      <c r="Q11" s="404" t="s">
        <v>188</v>
      </c>
    </row>
    <row r="12" spans="1:17" ht="18.75" customHeight="1" x14ac:dyDescent="0.15">
      <c r="A12" s="286" t="s">
        <v>213</v>
      </c>
      <c r="B12" s="343">
        <f>IFERROR(VLOOKUP($Q12,在院期間＿65歳以上[#All],2,FALSE),0)</f>
        <v>855</v>
      </c>
      <c r="C12" s="478">
        <f t="shared" si="0"/>
        <v>9.168900804289544E-2</v>
      </c>
      <c r="D12" s="344">
        <f>IFERROR(VLOOKUP($Q12,在院期間＿65歳以上＿寛解・院内寛解[#All],2,FALSE),0)</f>
        <v>45</v>
      </c>
      <c r="E12" s="480">
        <f t="shared" si="1"/>
        <v>5.921052631578947E-2</v>
      </c>
      <c r="G12" s="347">
        <f>'２-Ⅳ'!B11</f>
        <v>1340</v>
      </c>
      <c r="H12" s="348">
        <f t="shared" si="2"/>
        <v>8.5595656339827533E-2</v>
      </c>
      <c r="J12" s="43" t="s">
        <v>189</v>
      </c>
      <c r="K12" s="60">
        <v>855</v>
      </c>
      <c r="M12" s="43" t="s">
        <v>189</v>
      </c>
      <c r="N12" s="400">
        <v>45</v>
      </c>
      <c r="Q12" s="405" t="s">
        <v>189</v>
      </c>
    </row>
    <row r="13" spans="1:17" ht="18.75" customHeight="1" x14ac:dyDescent="0.15">
      <c r="A13" s="286" t="s">
        <v>214</v>
      </c>
      <c r="B13" s="343">
        <f>IFERROR(VLOOKUP($Q13,在院期間＿65歳以上[#All],2,FALSE),0)</f>
        <v>601</v>
      </c>
      <c r="C13" s="478">
        <f t="shared" si="0"/>
        <v>6.4450402144772115E-2</v>
      </c>
      <c r="D13" s="344">
        <f>IFERROR(VLOOKUP($Q13,在院期間＿65歳以上＿寛解・院内寛解[#All],2,FALSE),0)</f>
        <v>29</v>
      </c>
      <c r="E13" s="480">
        <f t="shared" si="1"/>
        <v>3.8157894736842106E-2</v>
      </c>
      <c r="G13" s="347">
        <f>'２-Ⅳ'!B12</f>
        <v>932</v>
      </c>
      <c r="H13" s="348">
        <f t="shared" si="2"/>
        <v>5.9533695305014372E-2</v>
      </c>
      <c r="J13" s="43" t="s">
        <v>190</v>
      </c>
      <c r="K13" s="60">
        <v>601</v>
      </c>
      <c r="M13" s="43" t="s">
        <v>190</v>
      </c>
      <c r="N13" s="400">
        <v>29</v>
      </c>
      <c r="Q13" s="404" t="s">
        <v>190</v>
      </c>
    </row>
    <row r="14" spans="1:17" ht="18.75" customHeight="1" x14ac:dyDescent="0.15">
      <c r="A14" s="286" t="s">
        <v>215</v>
      </c>
      <c r="B14" s="343">
        <f>IFERROR(VLOOKUP($Q14,在院期間＿65歳以上[#All],2,FALSE),0)</f>
        <v>391</v>
      </c>
      <c r="C14" s="478">
        <f t="shared" si="0"/>
        <v>4.1930294906166218E-2</v>
      </c>
      <c r="D14" s="344">
        <f>IFERROR(VLOOKUP($Q14,在院期間＿65歳以上＿寛解・院内寛解[#All],2,FALSE),0)</f>
        <v>13</v>
      </c>
      <c r="E14" s="480">
        <f t="shared" si="1"/>
        <v>1.7105263157894738E-2</v>
      </c>
      <c r="G14" s="347">
        <f>'２-Ⅳ'!B13</f>
        <v>634</v>
      </c>
      <c r="H14" s="348">
        <f t="shared" si="2"/>
        <v>4.0498243372724368E-2</v>
      </c>
      <c r="J14" s="43" t="s">
        <v>191</v>
      </c>
      <c r="K14" s="60">
        <v>391</v>
      </c>
      <c r="M14" s="43" t="s">
        <v>191</v>
      </c>
      <c r="N14" s="400">
        <v>13</v>
      </c>
      <c r="Q14" s="405" t="s">
        <v>191</v>
      </c>
    </row>
    <row r="15" spans="1:17" ht="18.75" customHeight="1" x14ac:dyDescent="0.15">
      <c r="A15" s="286" t="s">
        <v>216</v>
      </c>
      <c r="B15" s="343">
        <f>IFERROR(VLOOKUP($Q15,在院期間＿65歳以上[#All],2,FALSE),0)</f>
        <v>302</v>
      </c>
      <c r="C15" s="478">
        <f t="shared" si="0"/>
        <v>3.2386058981233243E-2</v>
      </c>
      <c r="D15" s="344">
        <f>IFERROR(VLOOKUP($Q15,在院期間＿65歳以上＿寛解・院内寛解[#All],2,FALSE),0)</f>
        <v>22</v>
      </c>
      <c r="E15" s="480">
        <f t="shared" si="1"/>
        <v>2.8947368421052631E-2</v>
      </c>
      <c r="G15" s="347">
        <f>'２-Ⅳ'!B14</f>
        <v>547</v>
      </c>
      <c r="H15" s="348">
        <f t="shared" si="2"/>
        <v>3.494091344618333E-2</v>
      </c>
      <c r="J15" s="43" t="s">
        <v>192</v>
      </c>
      <c r="K15" s="60">
        <v>302</v>
      </c>
      <c r="M15" s="43" t="s">
        <v>192</v>
      </c>
      <c r="N15" s="400">
        <v>22</v>
      </c>
      <c r="Q15" s="404" t="s">
        <v>192</v>
      </c>
    </row>
    <row r="16" spans="1:17" ht="18.75" customHeight="1" x14ac:dyDescent="0.15">
      <c r="A16" s="286" t="s">
        <v>217</v>
      </c>
      <c r="B16" s="343">
        <f>IFERROR(VLOOKUP($Q16,在院期間＿65歳以上[#All],2,FALSE),0)</f>
        <v>284</v>
      </c>
      <c r="C16" s="478">
        <f t="shared" si="0"/>
        <v>3.0455764075067025E-2</v>
      </c>
      <c r="D16" s="344">
        <f>IFERROR(VLOOKUP($Q16,在院期間＿65歳以上＿寛解・院内寛解[#All],2,FALSE),0)</f>
        <v>11</v>
      </c>
      <c r="E16" s="480">
        <f t="shared" si="1"/>
        <v>1.4473684210526316E-2</v>
      </c>
      <c r="G16" s="347">
        <f>'２-Ⅳ'!B15</f>
        <v>458</v>
      </c>
      <c r="H16" s="348">
        <f t="shared" si="2"/>
        <v>2.925582880868732E-2</v>
      </c>
      <c r="J16" s="43" t="s">
        <v>193</v>
      </c>
      <c r="K16" s="60">
        <v>284</v>
      </c>
      <c r="M16" s="43" t="s">
        <v>193</v>
      </c>
      <c r="N16" s="400">
        <v>11</v>
      </c>
      <c r="Q16" s="405" t="s">
        <v>193</v>
      </c>
    </row>
    <row r="17" spans="1:17" ht="18.75" customHeight="1" x14ac:dyDescent="0.15">
      <c r="A17" s="286" t="s">
        <v>218</v>
      </c>
      <c r="B17" s="343">
        <f>IFERROR(VLOOKUP($Q17,在院期間＿65歳以上[#All],2,FALSE),0)</f>
        <v>202</v>
      </c>
      <c r="C17" s="478">
        <f t="shared" si="0"/>
        <v>2.166219839142091E-2</v>
      </c>
      <c r="D17" s="344">
        <f>IFERROR(VLOOKUP($Q17,在院期間＿65歳以上＿寛解・院内寛解[#All],2,FALSE),0)</f>
        <v>8</v>
      </c>
      <c r="E17" s="480">
        <f t="shared" si="1"/>
        <v>1.0526315789473684E-2</v>
      </c>
      <c r="G17" s="347">
        <f>'２-Ⅳ'!B16</f>
        <v>375</v>
      </c>
      <c r="H17" s="348">
        <f t="shared" si="2"/>
        <v>2.3954008304056213E-2</v>
      </c>
      <c r="J17" s="43" t="s">
        <v>194</v>
      </c>
      <c r="K17" s="60">
        <v>202</v>
      </c>
      <c r="M17" s="43" t="s">
        <v>194</v>
      </c>
      <c r="N17" s="400">
        <v>8</v>
      </c>
      <c r="Q17" s="404" t="s">
        <v>194</v>
      </c>
    </row>
    <row r="18" spans="1:17" ht="18.75" customHeight="1" x14ac:dyDescent="0.15">
      <c r="A18" s="286" t="s">
        <v>219</v>
      </c>
      <c r="B18" s="343">
        <f>IFERROR(VLOOKUP($Q18,在院期間＿65歳以上[#All],2,FALSE),0)</f>
        <v>182</v>
      </c>
      <c r="C18" s="478">
        <f t="shared" si="0"/>
        <v>1.9517426273458444E-2</v>
      </c>
      <c r="D18" s="344">
        <f>IFERROR(VLOOKUP($Q18,在院期間＿65歳以上＿寛解・院内寛解[#All],2,FALSE),0)</f>
        <v>13</v>
      </c>
      <c r="E18" s="480">
        <f t="shared" si="1"/>
        <v>1.7105263157894738E-2</v>
      </c>
      <c r="G18" s="347">
        <f>'２-Ⅳ'!B17</f>
        <v>334</v>
      </c>
      <c r="H18" s="348">
        <f t="shared" si="2"/>
        <v>2.1335036729479399E-2</v>
      </c>
      <c r="J18" s="43" t="s">
        <v>195</v>
      </c>
      <c r="K18" s="60">
        <v>182</v>
      </c>
      <c r="M18" s="43" t="s">
        <v>195</v>
      </c>
      <c r="N18" s="400">
        <v>13</v>
      </c>
      <c r="Q18" s="405" t="s">
        <v>195</v>
      </c>
    </row>
    <row r="19" spans="1:17" ht="18.75" customHeight="1" x14ac:dyDescent="0.15">
      <c r="A19" s="286" t="s">
        <v>220</v>
      </c>
      <c r="B19" s="343">
        <f>IFERROR(VLOOKUP($Q19,在院期間＿65歳以上[#All],2,FALSE),0)</f>
        <v>169</v>
      </c>
      <c r="C19" s="478">
        <f t="shared" si="0"/>
        <v>1.8123324396782842E-2</v>
      </c>
      <c r="D19" s="344">
        <f>IFERROR(VLOOKUP($Q19,在院期間＿65歳以上＿寛解・院内寛解[#All],2,FALSE),0)</f>
        <v>9</v>
      </c>
      <c r="E19" s="480">
        <f t="shared" si="1"/>
        <v>1.1842105263157895E-2</v>
      </c>
      <c r="G19" s="347">
        <f>'２-Ⅳ'!B18</f>
        <v>299</v>
      </c>
      <c r="H19" s="348">
        <f t="shared" si="2"/>
        <v>1.9099329287767485E-2</v>
      </c>
      <c r="J19" s="43" t="s">
        <v>196</v>
      </c>
      <c r="K19" s="60">
        <v>169</v>
      </c>
      <c r="M19" s="43" t="s">
        <v>196</v>
      </c>
      <c r="N19" s="400">
        <v>9</v>
      </c>
      <c r="Q19" s="404" t="s">
        <v>196</v>
      </c>
    </row>
    <row r="20" spans="1:17" ht="18.75" customHeight="1" x14ac:dyDescent="0.15">
      <c r="A20" s="286" t="s">
        <v>221</v>
      </c>
      <c r="B20" s="343">
        <f>IFERROR(VLOOKUP($Q20,在院期間＿65歳以上[#All],2,FALSE),0)</f>
        <v>774</v>
      </c>
      <c r="C20" s="478">
        <f t="shared" si="0"/>
        <v>8.3002680965147457E-2</v>
      </c>
      <c r="D20" s="344">
        <f>IFERROR(VLOOKUP($Q20,在院期間＿65歳以上＿寛解・院内寛解[#All],2,FALSE),0)</f>
        <v>46</v>
      </c>
      <c r="E20" s="480">
        <f t="shared" si="1"/>
        <v>6.0526315789473685E-2</v>
      </c>
      <c r="G20" s="347">
        <f>'２-Ⅳ'!B19</f>
        <v>1411</v>
      </c>
      <c r="H20" s="348">
        <f t="shared" si="2"/>
        <v>9.0130948578728845E-2</v>
      </c>
      <c r="J20" s="43" t="s">
        <v>197</v>
      </c>
      <c r="K20" s="60">
        <v>774</v>
      </c>
      <c r="M20" s="43" t="s">
        <v>197</v>
      </c>
      <c r="N20" s="400">
        <v>46</v>
      </c>
      <c r="Q20" s="405" t="s">
        <v>197</v>
      </c>
    </row>
    <row r="21" spans="1:17" ht="18.75" customHeight="1" x14ac:dyDescent="0.15">
      <c r="A21" s="286" t="s">
        <v>61</v>
      </c>
      <c r="B21" s="343">
        <f>IFERROR(VLOOKUP($Q21,在院期間＿65歳以上[#All],2,FALSE),0)</f>
        <v>601</v>
      </c>
      <c r="C21" s="479">
        <f t="shared" si="0"/>
        <v>6.4450402144772115E-2</v>
      </c>
      <c r="D21" s="344">
        <f>IFERROR(VLOOKUP($Q21,在院期間＿65歳以上＿寛解・院内寛解[#All],2,FALSE),0)</f>
        <v>34</v>
      </c>
      <c r="E21" s="481">
        <f t="shared" si="1"/>
        <v>4.4736842105263158E-2</v>
      </c>
      <c r="G21" s="347">
        <f>'２-Ⅳ'!B20</f>
        <v>893</v>
      </c>
      <c r="H21" s="349">
        <f t="shared" si="2"/>
        <v>5.7042478441392527E-2</v>
      </c>
      <c r="I21" s="139"/>
      <c r="J21" s="43" t="s">
        <v>198</v>
      </c>
      <c r="K21" s="60">
        <v>601</v>
      </c>
      <c r="M21" s="43" t="s">
        <v>198</v>
      </c>
      <c r="N21" s="400">
        <v>34</v>
      </c>
      <c r="Q21" s="404" t="s">
        <v>198</v>
      </c>
    </row>
    <row r="22" spans="1:17" ht="18.75" customHeight="1" x14ac:dyDescent="0.15">
      <c r="A22" s="350" t="s">
        <v>161</v>
      </c>
      <c r="B22" s="351">
        <f>SUM(B6:B21)</f>
        <v>9325</v>
      </c>
      <c r="C22" s="352">
        <f t="shared" ref="C22:D22" si="3">SUM(C6:C21)</f>
        <v>1</v>
      </c>
      <c r="D22" s="351">
        <f t="shared" si="3"/>
        <v>760</v>
      </c>
      <c r="E22" s="353">
        <f t="shared" ref="E22" si="4">SUM(E6:E21)</f>
        <v>1</v>
      </c>
      <c r="G22" s="355">
        <f>SUM(G6:G21)</f>
        <v>15655</v>
      </c>
      <c r="H22" s="354">
        <f t="shared" ref="H22" si="5">SUM(H6:H21)</f>
        <v>1</v>
      </c>
      <c r="I22" s="150"/>
    </row>
    <row r="23" spans="1:17" ht="18.75" customHeight="1" x14ac:dyDescent="0.15">
      <c r="A23" s="298" t="s">
        <v>56</v>
      </c>
      <c r="B23" s="345">
        <f>SUM(B6:B9)</f>
        <v>3678</v>
      </c>
      <c r="C23" s="346">
        <f t="shared" si="0"/>
        <v>0.39442359249329761</v>
      </c>
      <c r="D23" s="345">
        <f>SUM(D6:D9)</f>
        <v>439</v>
      </c>
      <c r="E23" s="346">
        <f>IFERROR(D23/D$22,"-")</f>
        <v>0.57763157894736838</v>
      </c>
      <c r="F23" s="57"/>
      <c r="G23" s="345">
        <f>SUM(G6:G9)</f>
        <v>6513</v>
      </c>
      <c r="H23" s="346">
        <f t="shared" si="2"/>
        <v>0.41603321622484829</v>
      </c>
    </row>
    <row r="24" spans="1:17" ht="18.75" customHeight="1" x14ac:dyDescent="0.15">
      <c r="A24" s="298" t="s">
        <v>57</v>
      </c>
      <c r="B24" s="345">
        <f>SUM(B10:B14)</f>
        <v>3133</v>
      </c>
      <c r="C24" s="346">
        <f t="shared" si="0"/>
        <v>0.3359785522788204</v>
      </c>
      <c r="D24" s="345">
        <f>SUM(D10:D14)</f>
        <v>178</v>
      </c>
      <c r="E24" s="346">
        <f t="shared" ref="E24:E26" si="6">IFERROR(D24/D$22,"-")</f>
        <v>0.23421052631578948</v>
      </c>
      <c r="F24" s="57"/>
      <c r="G24" s="345">
        <f>SUM(G10:G14)</f>
        <v>4825</v>
      </c>
      <c r="H24" s="346">
        <f t="shared" si="2"/>
        <v>0.30820824017885662</v>
      </c>
    </row>
    <row r="25" spans="1:17" ht="18.75" customHeight="1" x14ac:dyDescent="0.15">
      <c r="A25" s="298" t="s">
        <v>58</v>
      </c>
      <c r="B25" s="345">
        <f>SUM(B15:B19)</f>
        <v>1139</v>
      </c>
      <c r="C25" s="346">
        <f t="shared" si="0"/>
        <v>0.12214477211796247</v>
      </c>
      <c r="D25" s="345">
        <f>SUM(D15:D19)</f>
        <v>63</v>
      </c>
      <c r="E25" s="346">
        <f t="shared" si="6"/>
        <v>8.2894736842105257E-2</v>
      </c>
      <c r="F25" s="57"/>
      <c r="G25" s="345">
        <f>SUM(G15:G19)</f>
        <v>2013</v>
      </c>
      <c r="H25" s="346">
        <f t="shared" si="2"/>
        <v>0.12858511657617375</v>
      </c>
    </row>
    <row r="26" spans="1:17" ht="18.75" customHeight="1" x14ac:dyDescent="0.15">
      <c r="A26" s="298" t="s">
        <v>59</v>
      </c>
      <c r="B26" s="345">
        <f>SUM(B20:B21)</f>
        <v>1375</v>
      </c>
      <c r="C26" s="346">
        <f t="shared" si="0"/>
        <v>0.14745308310991956</v>
      </c>
      <c r="D26" s="345">
        <f>SUM(D20:D21)</f>
        <v>80</v>
      </c>
      <c r="E26" s="346">
        <f t="shared" si="6"/>
        <v>0.10526315789473684</v>
      </c>
      <c r="F26" s="57"/>
      <c r="G26" s="345">
        <f>SUM(G20:G21)</f>
        <v>2304</v>
      </c>
      <c r="H26" s="346">
        <f t="shared" si="2"/>
        <v>0.14717342702012137</v>
      </c>
    </row>
    <row r="30" spans="1:17" x14ac:dyDescent="0.15">
      <c r="C30" s="4"/>
    </row>
    <row r="33" spans="1:3" x14ac:dyDescent="0.15">
      <c r="A33" s="142"/>
      <c r="B33" s="33"/>
      <c r="C33" s="33"/>
    </row>
    <row r="34" spans="1:3" x14ac:dyDescent="0.15">
      <c r="A34" s="38"/>
      <c r="B34" s="39"/>
      <c r="C34" s="45"/>
    </row>
    <row r="35" spans="1:3" x14ac:dyDescent="0.15">
      <c r="A35" s="38"/>
      <c r="B35" s="39"/>
      <c r="C35" s="45"/>
    </row>
    <row r="36" spans="1:3" x14ac:dyDescent="0.15">
      <c r="A36" s="38"/>
      <c r="B36" s="39"/>
      <c r="C36" s="45"/>
    </row>
    <row r="37" spans="1:3" ht="13.5" customHeight="1" x14ac:dyDescent="0.15">
      <c r="A37" s="38"/>
      <c r="B37" s="39"/>
      <c r="C37" s="45"/>
    </row>
    <row r="38" spans="1:3" x14ac:dyDescent="0.15">
      <c r="A38" s="38"/>
      <c r="B38" s="39"/>
      <c r="C38" s="45"/>
    </row>
    <row r="39" spans="1:3" x14ac:dyDescent="0.15">
      <c r="A39" s="38"/>
      <c r="B39" s="39"/>
      <c r="C39" s="45"/>
    </row>
    <row r="40" spans="1:3" x14ac:dyDescent="0.15">
      <c r="A40" s="38"/>
      <c r="B40" s="39"/>
      <c r="C40" s="45"/>
    </row>
    <row r="41" spans="1:3" x14ac:dyDescent="0.15">
      <c r="A41" s="38"/>
      <c r="B41" s="39"/>
      <c r="C41" s="45"/>
    </row>
    <row r="42" spans="1:3" x14ac:dyDescent="0.15">
      <c r="A42" s="38"/>
      <c r="B42" s="39"/>
      <c r="C42" s="45"/>
    </row>
    <row r="43" spans="1:3" x14ac:dyDescent="0.15">
      <c r="A43" s="38"/>
      <c r="B43" s="39"/>
      <c r="C43" s="45"/>
    </row>
    <row r="44" spans="1:3" x14ac:dyDescent="0.15">
      <c r="A44" s="38"/>
      <c r="B44" s="39"/>
      <c r="C44" s="45"/>
    </row>
    <row r="45" spans="1:3" x14ac:dyDescent="0.15">
      <c r="A45" s="38"/>
      <c r="B45" s="39"/>
      <c r="C45" s="45"/>
    </row>
    <row r="46" spans="1:3" x14ac:dyDescent="0.15">
      <c r="A46" s="38"/>
      <c r="B46" s="39"/>
      <c r="C46" s="45"/>
    </row>
    <row r="47" spans="1:3" x14ac:dyDescent="0.15">
      <c r="A47" s="38"/>
      <c r="B47" s="39"/>
      <c r="C47" s="45"/>
    </row>
    <row r="48" spans="1:3" x14ac:dyDescent="0.15">
      <c r="A48" s="38"/>
      <c r="B48" s="39"/>
      <c r="C48" s="45"/>
    </row>
    <row r="49" spans="1:3" x14ac:dyDescent="0.15">
      <c r="A49" s="38"/>
      <c r="B49" s="39"/>
      <c r="C49" s="45"/>
    </row>
    <row r="50" spans="1:3" x14ac:dyDescent="0.15">
      <c r="A50" s="38"/>
      <c r="B50" s="39"/>
      <c r="C50" s="45"/>
    </row>
  </sheetData>
  <mergeCells count="5">
    <mergeCell ref="B3:C4"/>
    <mergeCell ref="D3:E3"/>
    <mergeCell ref="D4:E4"/>
    <mergeCell ref="A3:A5"/>
    <mergeCell ref="G3:H4"/>
  </mergeCells>
  <phoneticPr fontId="2"/>
  <printOptions horizontalCentered="1"/>
  <pageMargins left="0.70866141732283472" right="0.70866141732283472" top="0.74803149606299213" bottom="0.74803149606299213" header="0.70866141732283472" footer="0.31496062992125984"/>
  <pageSetup paperSize="11" scale="7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20481" r:id="rId4" name="Button 1">
              <controlPr defaultSize="0" print="0" autoFill="0" autoPict="0" macro="[0]!データ削除15">
                <anchor moveWithCells="1" sizeWithCells="1">
                  <from>
                    <xdr:col>14</xdr:col>
                    <xdr:colOff>257175</xdr:colOff>
                    <xdr:row>3</xdr:row>
                    <xdr:rowOff>85725</xdr:rowOff>
                  </from>
                  <to>
                    <xdr:col>15</xdr:col>
                    <xdr:colOff>561975</xdr:colOff>
                    <xdr:row>4</xdr:row>
                    <xdr:rowOff>200025</xdr:rowOff>
                  </to>
                </anchor>
              </controlPr>
            </control>
          </mc:Choice>
        </mc:AlternateContent>
      </controls>
    </mc:Choice>
  </mc:AlternateContent>
  <tableParts count="2">
    <tablePart r:id="rId5"/>
    <tablePart r:id="rId6"/>
  </tableParts>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6">
    <tabColor rgb="FFFFC000"/>
    <pageSetUpPr fitToPage="1"/>
  </sheetPr>
  <dimension ref="A1:G36"/>
  <sheetViews>
    <sheetView showGridLines="0" view="pageBreakPreview" zoomScaleNormal="100" zoomScaleSheetLayoutView="100" workbookViewId="0">
      <selection activeCell="G1" sqref="G1:I1048576"/>
    </sheetView>
  </sheetViews>
  <sheetFormatPr defaultRowHeight="18.75" x14ac:dyDescent="0.15"/>
  <cols>
    <col min="1" max="1" width="13.125" style="1" bestFit="1" customWidth="1"/>
    <col min="2" max="3" width="9.375" style="1" customWidth="1"/>
    <col min="4" max="4" width="1.25" style="1" customWidth="1"/>
    <col min="5" max="6" width="9.375" style="1" customWidth="1"/>
    <col min="7" max="7" width="9" style="42" hidden="1" customWidth="1"/>
    <col min="8" max="9" width="0" style="1" hidden="1" customWidth="1"/>
    <col min="10" max="16384" width="9" style="1"/>
  </cols>
  <sheetData>
    <row r="1" spans="1:6" ht="19.5" x14ac:dyDescent="0.15">
      <c r="A1" s="2" t="s">
        <v>222</v>
      </c>
    </row>
    <row r="3" spans="1:6" x14ac:dyDescent="0.15">
      <c r="A3" s="4" t="s">
        <v>223</v>
      </c>
      <c r="B3" s="4"/>
    </row>
    <row r="4" spans="1:6" x14ac:dyDescent="0.35">
      <c r="E4" s="638" t="s">
        <v>105</v>
      </c>
      <c r="F4" s="638"/>
    </row>
    <row r="5" spans="1:6" x14ac:dyDescent="0.15">
      <c r="A5" s="336"/>
      <c r="B5" s="337" t="s">
        <v>0</v>
      </c>
      <c r="C5" s="337" t="s">
        <v>1</v>
      </c>
      <c r="D5" s="143"/>
      <c r="E5" s="337" t="s">
        <v>0</v>
      </c>
      <c r="F5" s="337" t="s">
        <v>1</v>
      </c>
    </row>
    <row r="6" spans="1:6" x14ac:dyDescent="0.15">
      <c r="A6" s="286" t="s">
        <v>28</v>
      </c>
      <c r="B6" s="261">
        <v>144</v>
      </c>
      <c r="C6" s="472">
        <f>IFERROR(B6/B$12,"-")</f>
        <v>1.5442359249329759E-2</v>
      </c>
      <c r="D6" s="145"/>
      <c r="E6" s="287">
        <f>'２-Ⅴ'!B5</f>
        <v>361</v>
      </c>
      <c r="F6" s="472">
        <f>IFERROR(E6/E$12,"-")</f>
        <v>2.3059725327371446E-2</v>
      </c>
    </row>
    <row r="7" spans="1:6" x14ac:dyDescent="0.15">
      <c r="A7" s="286" t="s">
        <v>29</v>
      </c>
      <c r="B7" s="261">
        <v>616</v>
      </c>
      <c r="C7" s="472">
        <f t="shared" ref="C7:C11" si="0">IFERROR(B7/B$12,"-")</f>
        <v>6.6058981233243969E-2</v>
      </c>
      <c r="D7" s="145"/>
      <c r="E7" s="287">
        <f>'２-Ⅴ'!B6</f>
        <v>1317</v>
      </c>
      <c r="F7" s="472">
        <f t="shared" ref="F7:F11" si="1">IFERROR(E7/E$12,"-")</f>
        <v>8.4126477163845415E-2</v>
      </c>
    </row>
    <row r="8" spans="1:6" x14ac:dyDescent="0.15">
      <c r="A8" s="286" t="s">
        <v>30</v>
      </c>
      <c r="B8" s="261">
        <v>1724</v>
      </c>
      <c r="C8" s="472">
        <f t="shared" si="0"/>
        <v>0.1848793565683646</v>
      </c>
      <c r="D8" s="145"/>
      <c r="E8" s="287">
        <f>'２-Ⅴ'!B7</f>
        <v>3063</v>
      </c>
      <c r="F8" s="472">
        <f t="shared" si="1"/>
        <v>0.19565633982753114</v>
      </c>
    </row>
    <row r="9" spans="1:6" x14ac:dyDescent="0.15">
      <c r="A9" s="286" t="s">
        <v>31</v>
      </c>
      <c r="B9" s="261">
        <v>3821</v>
      </c>
      <c r="C9" s="472">
        <f t="shared" si="0"/>
        <v>0.40975871313672924</v>
      </c>
      <c r="D9" s="145"/>
      <c r="E9" s="287">
        <f>'２-Ⅴ'!B8</f>
        <v>6157</v>
      </c>
      <c r="F9" s="472">
        <f t="shared" si="1"/>
        <v>0.39329287767486426</v>
      </c>
    </row>
    <row r="10" spans="1:6" x14ac:dyDescent="0.15">
      <c r="A10" s="286" t="s">
        <v>32</v>
      </c>
      <c r="B10" s="261">
        <v>2519</v>
      </c>
      <c r="C10" s="472">
        <f t="shared" si="0"/>
        <v>0.27013404825737264</v>
      </c>
      <c r="D10" s="145"/>
      <c r="E10" s="287">
        <f>'２-Ⅴ'!B9</f>
        <v>3948</v>
      </c>
      <c r="F10" s="472">
        <f t="shared" si="1"/>
        <v>0.25218779942510378</v>
      </c>
    </row>
    <row r="11" spans="1:6" x14ac:dyDescent="0.15">
      <c r="A11" s="286" t="s">
        <v>33</v>
      </c>
      <c r="B11" s="261">
        <v>501</v>
      </c>
      <c r="C11" s="472">
        <f t="shared" si="0"/>
        <v>5.3726541554959782E-2</v>
      </c>
      <c r="D11" s="145"/>
      <c r="E11" s="287">
        <f>'２-Ⅴ'!B10</f>
        <v>809</v>
      </c>
      <c r="F11" s="472">
        <f t="shared" si="1"/>
        <v>5.1676780581283936E-2</v>
      </c>
    </row>
    <row r="12" spans="1:6" x14ac:dyDescent="0.15">
      <c r="A12" s="350" t="s">
        <v>161</v>
      </c>
      <c r="B12" s="356">
        <f>SUM(B6:B11)</f>
        <v>9325</v>
      </c>
      <c r="C12" s="339">
        <f>SUM(C6:C11)</f>
        <v>1</v>
      </c>
      <c r="D12" s="147"/>
      <c r="E12" s="357">
        <f>SUM(E6:E11)</f>
        <v>15655</v>
      </c>
      <c r="F12" s="339">
        <f>SUM(F6:F11)</f>
        <v>1</v>
      </c>
    </row>
    <row r="13" spans="1:6" x14ac:dyDescent="0.15">
      <c r="D13" s="148"/>
    </row>
    <row r="14" spans="1:6" x14ac:dyDescent="0.15">
      <c r="A14" s="4" t="s">
        <v>224</v>
      </c>
      <c r="D14" s="148"/>
    </row>
    <row r="15" spans="1:6" x14ac:dyDescent="0.35">
      <c r="E15" s="638" t="s">
        <v>105</v>
      </c>
      <c r="F15" s="638"/>
    </row>
    <row r="16" spans="1:6" x14ac:dyDescent="0.15">
      <c r="A16" s="336"/>
      <c r="B16" s="337" t="s">
        <v>0</v>
      </c>
      <c r="C16" s="337" t="s">
        <v>1</v>
      </c>
      <c r="D16" s="143"/>
      <c r="E16" s="337" t="s">
        <v>0</v>
      </c>
      <c r="F16" s="337" t="s">
        <v>1</v>
      </c>
    </row>
    <row r="17" spans="1:6" x14ac:dyDescent="0.15">
      <c r="A17" s="286" t="s">
        <v>28</v>
      </c>
      <c r="B17" s="261">
        <v>52</v>
      </c>
      <c r="C17" s="472">
        <f>IFERROR(B17/B$23,"-")</f>
        <v>9.2084292544714012E-3</v>
      </c>
      <c r="D17" s="145"/>
      <c r="E17" s="287">
        <f>'３-Ⅳ'!B5</f>
        <v>87</v>
      </c>
      <c r="F17" s="472">
        <f>IFERROR(E17/E$23,"-")</f>
        <v>9.5165171734850149E-3</v>
      </c>
    </row>
    <row r="18" spans="1:6" x14ac:dyDescent="0.15">
      <c r="A18" s="286" t="s">
        <v>29</v>
      </c>
      <c r="B18" s="261">
        <v>269</v>
      </c>
      <c r="C18" s="472">
        <f t="shared" ref="C18:C22" si="2">IFERROR(B18/B$23,"-")</f>
        <v>4.763591287409244E-2</v>
      </c>
      <c r="D18" s="145"/>
      <c r="E18" s="287">
        <f>'３-Ⅳ'!B6</f>
        <v>486</v>
      </c>
      <c r="F18" s="472">
        <f t="shared" ref="F18:F22" si="3">IFERROR(E18/E$23,"-")</f>
        <v>5.3161233865674909E-2</v>
      </c>
    </row>
    <row r="19" spans="1:6" x14ac:dyDescent="0.15">
      <c r="A19" s="286" t="s">
        <v>30</v>
      </c>
      <c r="B19" s="261">
        <v>912</v>
      </c>
      <c r="C19" s="472">
        <f t="shared" si="2"/>
        <v>0.16150168230919071</v>
      </c>
      <c r="D19" s="145"/>
      <c r="E19" s="287">
        <f>'３-Ⅳ'!B7</f>
        <v>1482</v>
      </c>
      <c r="F19" s="472">
        <f t="shared" si="3"/>
        <v>0.16210894771384818</v>
      </c>
    </row>
    <row r="20" spans="1:6" x14ac:dyDescent="0.15">
      <c r="A20" s="286" t="s">
        <v>31</v>
      </c>
      <c r="B20" s="261">
        <v>2430</v>
      </c>
      <c r="C20" s="472">
        <f t="shared" si="2"/>
        <v>0.43031698246856737</v>
      </c>
      <c r="D20" s="145"/>
      <c r="E20" s="287">
        <f>'３-Ⅳ'!B8</f>
        <v>3910</v>
      </c>
      <c r="F20" s="472">
        <f t="shared" si="3"/>
        <v>0.42769634653248745</v>
      </c>
    </row>
    <row r="21" spans="1:6" x14ac:dyDescent="0.15">
      <c r="A21" s="286" t="s">
        <v>32</v>
      </c>
      <c r="B21" s="261">
        <v>1662</v>
      </c>
      <c r="C21" s="472">
        <f t="shared" si="2"/>
        <v>0.29431556578714363</v>
      </c>
      <c r="D21" s="145"/>
      <c r="E21" s="287">
        <f>'３-Ⅳ'!B9</f>
        <v>2633</v>
      </c>
      <c r="F21" s="472">
        <f t="shared" si="3"/>
        <v>0.28801137606650623</v>
      </c>
    </row>
    <row r="22" spans="1:6" x14ac:dyDescent="0.15">
      <c r="A22" s="286" t="s">
        <v>33</v>
      </c>
      <c r="B22" s="261">
        <v>322</v>
      </c>
      <c r="C22" s="472">
        <f t="shared" si="2"/>
        <v>5.7021427306534443E-2</v>
      </c>
      <c r="D22" s="145"/>
      <c r="E22" s="287">
        <f>'３-Ⅳ'!B10</f>
        <v>544</v>
      </c>
      <c r="F22" s="472">
        <f t="shared" si="3"/>
        <v>5.9505578647998249E-2</v>
      </c>
    </row>
    <row r="23" spans="1:6" x14ac:dyDescent="0.15">
      <c r="A23" s="350" t="s">
        <v>161</v>
      </c>
      <c r="B23" s="356">
        <f>SUM(B17:B22)</f>
        <v>5647</v>
      </c>
      <c r="C23" s="339">
        <f>SUM(C17:C22)</f>
        <v>1</v>
      </c>
      <c r="D23" s="147"/>
      <c r="E23" s="357">
        <f>SUM(E17:E22)</f>
        <v>9142</v>
      </c>
      <c r="F23" s="339">
        <f>SUM(F17:F22)</f>
        <v>0.99999999999999989</v>
      </c>
    </row>
    <row r="27" spans="1:6" x14ac:dyDescent="0.15">
      <c r="C27" s="4"/>
      <c r="D27" s="4"/>
      <c r="E27" s="4"/>
      <c r="F27" s="4"/>
    </row>
    <row r="29" spans="1:6" x14ac:dyDescent="0.15">
      <c r="A29" s="142"/>
      <c r="B29" s="33"/>
      <c r="C29" s="33"/>
      <c r="D29" s="33"/>
      <c r="E29" s="33"/>
      <c r="F29" s="33"/>
    </row>
    <row r="30" spans="1:6" x14ac:dyDescent="0.15">
      <c r="A30" s="38"/>
      <c r="B30" s="39"/>
      <c r="C30" s="36"/>
      <c r="D30" s="36"/>
      <c r="E30" s="36"/>
      <c r="F30" s="36"/>
    </row>
    <row r="31" spans="1:6" x14ac:dyDescent="0.15">
      <c r="A31" s="38"/>
      <c r="B31" s="39"/>
      <c r="C31" s="36"/>
      <c r="D31" s="36"/>
      <c r="E31" s="36"/>
      <c r="F31" s="36"/>
    </row>
    <row r="32" spans="1:6" x14ac:dyDescent="0.15">
      <c r="A32" s="38"/>
      <c r="B32" s="39"/>
      <c r="C32" s="36"/>
      <c r="D32" s="36"/>
      <c r="E32" s="36"/>
      <c r="F32" s="36"/>
    </row>
    <row r="33" spans="1:6" x14ac:dyDescent="0.15">
      <c r="A33" s="38"/>
      <c r="B33" s="39"/>
      <c r="C33" s="36"/>
      <c r="D33" s="36"/>
      <c r="E33" s="36"/>
      <c r="F33" s="36"/>
    </row>
    <row r="34" spans="1:6" x14ac:dyDescent="0.15">
      <c r="A34" s="38"/>
      <c r="B34" s="39"/>
      <c r="C34" s="36"/>
      <c r="D34" s="36"/>
      <c r="E34" s="36"/>
      <c r="F34" s="36"/>
    </row>
    <row r="35" spans="1:6" x14ac:dyDescent="0.15">
      <c r="A35" s="38"/>
      <c r="B35" s="39"/>
      <c r="C35" s="36"/>
      <c r="D35" s="36"/>
      <c r="E35" s="36"/>
      <c r="F35" s="36"/>
    </row>
    <row r="36" spans="1:6" x14ac:dyDescent="0.15">
      <c r="A36" s="38"/>
      <c r="B36" s="39"/>
      <c r="C36" s="36"/>
      <c r="D36" s="36"/>
      <c r="E36" s="36"/>
      <c r="F36" s="36"/>
    </row>
  </sheetData>
  <mergeCells count="2">
    <mergeCell ref="E4:F4"/>
    <mergeCell ref="E15:F15"/>
  </mergeCells>
  <phoneticPr fontId="2"/>
  <printOptions horizontalCentered="1"/>
  <pageMargins left="0.70866141732283472" right="0.70866141732283472" top="0.74803149606299213" bottom="0.74803149606299213" header="0.70866141732283472" footer="0.31496062992125984"/>
  <pageSetup paperSize="11" scale="8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21505" r:id="rId4" name="Button 1">
              <controlPr defaultSize="0" print="0" autoFill="0" autoPict="0" macro="[0]!データ削除16">
                <anchor moveWithCells="1" sizeWithCells="1">
                  <from>
                    <xdr:col>6</xdr:col>
                    <xdr:colOff>371475</xdr:colOff>
                    <xdr:row>2</xdr:row>
                    <xdr:rowOff>228600</xdr:rowOff>
                  </from>
                  <to>
                    <xdr:col>8</xdr:col>
                    <xdr:colOff>47625</xdr:colOff>
                    <xdr:row>5</xdr:row>
                    <xdr:rowOff>0</xdr:rowOff>
                  </to>
                </anchor>
              </controlPr>
            </control>
          </mc:Choice>
        </mc:AlternateContent>
      </controls>
    </mc:Choice>
  </mc:AlternateContent>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tabColor rgb="FFFFC000"/>
    <pageSetUpPr fitToPage="1"/>
  </sheetPr>
  <dimension ref="A1:L74"/>
  <sheetViews>
    <sheetView showGridLines="0" view="pageBreakPreview" zoomScale="90" zoomScaleNormal="110" zoomScaleSheetLayoutView="90" workbookViewId="0">
      <selection activeCell="L1" sqref="L1:N1048576"/>
    </sheetView>
  </sheetViews>
  <sheetFormatPr defaultRowHeight="18.75" x14ac:dyDescent="0.15"/>
  <cols>
    <col min="1" max="1" width="37.5" style="1" customWidth="1"/>
    <col min="2" max="5" width="9.375" style="1" customWidth="1"/>
    <col min="6" max="6" width="9" style="1"/>
    <col min="7" max="7" width="37.5" style="1" customWidth="1"/>
    <col min="8" max="11" width="9.375" style="1" customWidth="1"/>
    <col min="12" max="14" width="0" style="1" hidden="1" customWidth="1"/>
    <col min="15" max="16384" width="9" style="1"/>
  </cols>
  <sheetData>
    <row r="1" spans="1:12" ht="19.5" x14ac:dyDescent="0.15">
      <c r="A1" s="2" t="s">
        <v>238</v>
      </c>
    </row>
    <row r="2" spans="1:12" x14ac:dyDescent="0.15">
      <c r="A2" s="4" t="s">
        <v>13</v>
      </c>
      <c r="G2" s="4" t="s">
        <v>114</v>
      </c>
    </row>
    <row r="3" spans="1:12" x14ac:dyDescent="0.35">
      <c r="A3" s="86"/>
      <c r="B3" s="86"/>
      <c r="C3" s="24"/>
      <c r="D3" s="625" t="s">
        <v>105</v>
      </c>
      <c r="E3" s="625"/>
      <c r="G3" s="86"/>
      <c r="H3" s="86"/>
      <c r="I3" s="24"/>
      <c r="J3" s="625" t="s">
        <v>105</v>
      </c>
      <c r="K3" s="625"/>
    </row>
    <row r="4" spans="1:12" x14ac:dyDescent="0.15">
      <c r="A4" s="350"/>
      <c r="B4" s="358" t="s">
        <v>0</v>
      </c>
      <c r="C4" s="359" t="s">
        <v>1</v>
      </c>
      <c r="D4" s="360" t="s">
        <v>0</v>
      </c>
      <c r="E4" s="361" t="s">
        <v>1</v>
      </c>
      <c r="G4" s="350"/>
      <c r="H4" s="358" t="s">
        <v>0</v>
      </c>
      <c r="I4" s="359" t="s">
        <v>1</v>
      </c>
      <c r="J4" s="360" t="s">
        <v>0</v>
      </c>
      <c r="K4" s="361" t="s">
        <v>1</v>
      </c>
      <c r="L4" s="22"/>
    </row>
    <row r="5" spans="1:12" ht="30" x14ac:dyDescent="0.15">
      <c r="A5" s="288" t="s">
        <v>232</v>
      </c>
      <c r="B5" s="289">
        <v>1395</v>
      </c>
      <c r="C5" s="349">
        <f>IFERROR(B5/B$8,"-")</f>
        <v>0.14959785522788205</v>
      </c>
      <c r="D5" s="290">
        <f>'２-Ⅵ'!B5</f>
        <v>2514</v>
      </c>
      <c r="E5" s="349">
        <f>IFERROR(D5/D$8,"-")</f>
        <v>0.16058767167039284</v>
      </c>
      <c r="G5" s="288" t="s">
        <v>232</v>
      </c>
      <c r="H5" s="289">
        <v>376</v>
      </c>
      <c r="I5" s="349">
        <f>IFERROR(H5/H$8,"-")</f>
        <v>0.49473684210526314</v>
      </c>
      <c r="J5" s="290">
        <f>'２-Ⅵ'!H5</f>
        <v>708</v>
      </c>
      <c r="K5" s="349">
        <f>IFERROR(J5/J$8,"-")</f>
        <v>0.42193087008343266</v>
      </c>
    </row>
    <row r="6" spans="1:12" x14ac:dyDescent="0.15">
      <c r="A6" s="291" t="s">
        <v>233</v>
      </c>
      <c r="B6" s="289">
        <v>7088</v>
      </c>
      <c r="C6" s="349">
        <f t="shared" ref="C6:C7" si="0">IFERROR(B6/B$8,"-")</f>
        <v>0.76010723860589813</v>
      </c>
      <c r="D6" s="292">
        <f>'２-Ⅵ'!B6</f>
        <v>11300</v>
      </c>
      <c r="E6" s="349">
        <f t="shared" ref="E6:E7" si="1">IFERROR(D6/D$8,"-")</f>
        <v>0.72181411689556052</v>
      </c>
      <c r="G6" s="291" t="s">
        <v>233</v>
      </c>
      <c r="H6" s="289">
        <v>83</v>
      </c>
      <c r="I6" s="349">
        <f t="shared" ref="I6:I7" si="2">IFERROR(H6/H$8,"-")</f>
        <v>0.10921052631578948</v>
      </c>
      <c r="J6" s="292">
        <f>'２-Ⅵ'!H6</f>
        <v>186</v>
      </c>
      <c r="K6" s="349">
        <f t="shared" ref="K6:K7" si="3">IFERROR(J6/J$8,"-")</f>
        <v>0.11084624553039332</v>
      </c>
    </row>
    <row r="7" spans="1:12" x14ac:dyDescent="0.15">
      <c r="A7" s="291" t="s">
        <v>234</v>
      </c>
      <c r="B7" s="289">
        <v>842</v>
      </c>
      <c r="C7" s="349">
        <f t="shared" si="0"/>
        <v>9.0294906166219838E-2</v>
      </c>
      <c r="D7" s="292">
        <f>'２-Ⅵ'!B7</f>
        <v>1841</v>
      </c>
      <c r="E7" s="349">
        <f t="shared" si="1"/>
        <v>0.11759821143404663</v>
      </c>
      <c r="G7" s="291" t="s">
        <v>234</v>
      </c>
      <c r="H7" s="289">
        <v>301</v>
      </c>
      <c r="I7" s="349">
        <f t="shared" si="2"/>
        <v>0.39605263157894738</v>
      </c>
      <c r="J7" s="292">
        <f>'２-Ⅵ'!H7</f>
        <v>784</v>
      </c>
      <c r="K7" s="349">
        <f t="shared" si="3"/>
        <v>0.46722288438617404</v>
      </c>
    </row>
    <row r="8" spans="1:12" x14ac:dyDescent="0.15">
      <c r="A8" s="362" t="s">
        <v>161</v>
      </c>
      <c r="B8" s="363">
        <f>SUM(B5:B7)</f>
        <v>9325</v>
      </c>
      <c r="C8" s="364">
        <f>SUM(C5:C7)</f>
        <v>1</v>
      </c>
      <c r="D8" s="365">
        <f>SUM(D5:D7)</f>
        <v>15655</v>
      </c>
      <c r="E8" s="364">
        <f>SUM(E5:E7)</f>
        <v>1</v>
      </c>
      <c r="G8" s="362" t="s">
        <v>161</v>
      </c>
      <c r="H8" s="363">
        <f>SUM(H5:H7)</f>
        <v>760</v>
      </c>
      <c r="I8" s="364">
        <f>SUM(I5:I7)</f>
        <v>1</v>
      </c>
      <c r="J8" s="365">
        <f>SUM(J5:J7)</f>
        <v>1678</v>
      </c>
      <c r="K8" s="364">
        <f>SUM(K5:K7)</f>
        <v>1</v>
      </c>
    </row>
    <row r="9" spans="1:12" s="139" customFormat="1" x14ac:dyDescent="0.15">
      <c r="A9" s="136"/>
      <c r="B9" s="137"/>
      <c r="C9" s="138"/>
      <c r="D9" s="137"/>
      <c r="E9" s="138"/>
      <c r="G9" s="136"/>
      <c r="H9" s="137"/>
      <c r="I9" s="138"/>
      <c r="J9" s="137"/>
      <c r="K9" s="138"/>
    </row>
    <row r="10" spans="1:12" x14ac:dyDescent="0.15">
      <c r="A10" s="4" t="s">
        <v>13</v>
      </c>
      <c r="G10" s="4" t="s">
        <v>114</v>
      </c>
    </row>
    <row r="11" spans="1:12" x14ac:dyDescent="0.35">
      <c r="A11" s="86"/>
      <c r="B11" s="86"/>
      <c r="C11" s="24"/>
      <c r="D11" s="625" t="s">
        <v>105</v>
      </c>
      <c r="E11" s="625"/>
      <c r="G11" s="86"/>
      <c r="H11" s="86"/>
      <c r="I11" s="24"/>
      <c r="J11" s="625" t="s">
        <v>105</v>
      </c>
      <c r="K11" s="625"/>
    </row>
    <row r="12" spans="1:12" x14ac:dyDescent="0.15">
      <c r="A12" s="350"/>
      <c r="B12" s="358" t="s">
        <v>0</v>
      </c>
      <c r="C12" s="359" t="s">
        <v>1</v>
      </c>
      <c r="D12" s="360" t="s">
        <v>0</v>
      </c>
      <c r="E12" s="361" t="s">
        <v>1</v>
      </c>
      <c r="G12" s="350"/>
      <c r="H12" s="367" t="s">
        <v>0</v>
      </c>
      <c r="I12" s="368" t="s">
        <v>1</v>
      </c>
      <c r="J12" s="358" t="s">
        <v>0</v>
      </c>
      <c r="K12" s="361" t="s">
        <v>1</v>
      </c>
      <c r="L12" s="22"/>
    </row>
    <row r="13" spans="1:12" x14ac:dyDescent="0.15">
      <c r="A13" s="291" t="s">
        <v>111</v>
      </c>
      <c r="B13" s="289">
        <v>1295</v>
      </c>
      <c r="C13" s="349">
        <f>IFERROR(B13/B$15,"-")</f>
        <v>0.92831541218637992</v>
      </c>
      <c r="D13" s="290">
        <f>'２-Ⅵ'!B14</f>
        <v>2318</v>
      </c>
      <c r="E13" s="349">
        <f>IFERROR(D13/D$15,"-")</f>
        <v>0.92203659506762137</v>
      </c>
      <c r="G13" s="291" t="s">
        <v>111</v>
      </c>
      <c r="H13" s="289">
        <v>355</v>
      </c>
      <c r="I13" s="482">
        <f>IFERROR(H13/H$15,"-")</f>
        <v>0.94414893617021278</v>
      </c>
      <c r="J13" s="289">
        <f>'２-Ⅵ'!H14</f>
        <v>656</v>
      </c>
      <c r="K13" s="349">
        <f>IFERROR(J13/J$15,"-")</f>
        <v>0.92655367231638419</v>
      </c>
    </row>
    <row r="14" spans="1:12" x14ac:dyDescent="0.15">
      <c r="A14" s="291" t="s">
        <v>112</v>
      </c>
      <c r="B14" s="289">
        <v>100</v>
      </c>
      <c r="C14" s="349">
        <f>IFERROR(B14/B$15,"-")</f>
        <v>7.1684587813620068E-2</v>
      </c>
      <c r="D14" s="292">
        <f>'２-Ⅵ'!B15</f>
        <v>196</v>
      </c>
      <c r="E14" s="349">
        <f>IFERROR(D14/D$15,"-")</f>
        <v>7.7963404932378674E-2</v>
      </c>
      <c r="G14" s="291" t="s">
        <v>112</v>
      </c>
      <c r="H14" s="293">
        <v>21</v>
      </c>
      <c r="I14" s="482">
        <f>IFERROR(H14/H$15,"-")</f>
        <v>5.5851063829787231E-2</v>
      </c>
      <c r="J14" s="293">
        <f>'２-Ⅵ'!H15</f>
        <v>52</v>
      </c>
      <c r="K14" s="349">
        <f>IFERROR(J14/J$15,"-")</f>
        <v>7.3446327683615822E-2</v>
      </c>
    </row>
    <row r="15" spans="1:12" x14ac:dyDescent="0.15">
      <c r="A15" s="362" t="s">
        <v>161</v>
      </c>
      <c r="B15" s="363">
        <f>SUM(B13:B14)</f>
        <v>1395</v>
      </c>
      <c r="C15" s="364">
        <f>SUM(C13:C14)</f>
        <v>1</v>
      </c>
      <c r="D15" s="366">
        <f>SUM(D13:D14)</f>
        <v>2514</v>
      </c>
      <c r="E15" s="364">
        <f>SUM(E13:E14)</f>
        <v>1</v>
      </c>
      <c r="G15" s="362" t="s">
        <v>161</v>
      </c>
      <c r="H15" s="363">
        <f>SUM(H13:H14)</f>
        <v>376</v>
      </c>
      <c r="I15" s="369">
        <f>SUM(I13:I14)</f>
        <v>1</v>
      </c>
      <c r="J15" s="363">
        <f>SUM(J13:J14)</f>
        <v>708</v>
      </c>
      <c r="K15" s="352">
        <f>SUM(K13:K14)</f>
        <v>1</v>
      </c>
    </row>
    <row r="17" spans="1:12" ht="24.75" customHeight="1" x14ac:dyDescent="0.15">
      <c r="A17" s="2" t="s">
        <v>55</v>
      </c>
      <c r="G17" s="2"/>
    </row>
    <row r="18" spans="1:12" s="22" customFormat="1" x14ac:dyDescent="0.15">
      <c r="A18" s="639" t="s">
        <v>274</v>
      </c>
      <c r="B18" s="639"/>
      <c r="C18" s="639"/>
      <c r="D18" s="639"/>
      <c r="E18" s="639"/>
      <c r="G18" s="639" t="s">
        <v>274</v>
      </c>
      <c r="H18" s="639"/>
      <c r="I18" s="639"/>
      <c r="J18" s="639"/>
      <c r="K18" s="639"/>
    </row>
    <row r="19" spans="1:12" s="22" customFormat="1" x14ac:dyDescent="0.35">
      <c r="A19" s="86"/>
      <c r="B19" s="86"/>
      <c r="C19" s="24"/>
      <c r="D19" s="638" t="s">
        <v>105</v>
      </c>
      <c r="E19" s="638"/>
      <c r="G19" s="86"/>
      <c r="H19" s="86"/>
      <c r="I19" s="24"/>
      <c r="J19" s="638" t="s">
        <v>105</v>
      </c>
      <c r="K19" s="638"/>
    </row>
    <row r="20" spans="1:12" ht="18" customHeight="1" x14ac:dyDescent="0.15">
      <c r="A20" s="350"/>
      <c r="B20" s="358" t="s">
        <v>0</v>
      </c>
      <c r="C20" s="359" t="s">
        <v>1</v>
      </c>
      <c r="D20" s="360" t="s">
        <v>0</v>
      </c>
      <c r="E20" s="361" t="s">
        <v>1</v>
      </c>
      <c r="G20" s="350"/>
      <c r="H20" s="367" t="s">
        <v>0</v>
      </c>
      <c r="I20" s="368" t="s">
        <v>1</v>
      </c>
      <c r="J20" s="358" t="s">
        <v>0</v>
      </c>
      <c r="K20" s="361" t="s">
        <v>1</v>
      </c>
      <c r="L20" s="22"/>
    </row>
    <row r="21" spans="1:12" ht="28.5" customHeight="1" x14ac:dyDescent="0.15">
      <c r="A21" s="294" t="s">
        <v>244</v>
      </c>
      <c r="B21" s="293">
        <v>480</v>
      </c>
      <c r="C21" s="479">
        <f>IFERROR(B21/B$13,"-")</f>
        <v>0.37065637065637064</v>
      </c>
      <c r="D21" s="295">
        <f>'２-Ⅵ'!B23</f>
        <v>890</v>
      </c>
      <c r="E21" s="348">
        <f>IFERROR(D21/D$13,"-")</f>
        <v>0.3839516824849008</v>
      </c>
      <c r="G21" s="294" t="s">
        <v>239</v>
      </c>
      <c r="H21" s="293">
        <v>116</v>
      </c>
      <c r="I21" s="483">
        <f>IFERROR(H21/H$13,"-")</f>
        <v>0.3267605633802817</v>
      </c>
      <c r="J21" s="293">
        <f>'２-Ⅵ'!H23</f>
        <v>217</v>
      </c>
      <c r="K21" s="348">
        <f>IFERROR(J21/J$13,"-")</f>
        <v>0.33079268292682928</v>
      </c>
    </row>
    <row r="22" spans="1:12" x14ac:dyDescent="0.15">
      <c r="A22" s="296" t="s">
        <v>225</v>
      </c>
      <c r="B22" s="293">
        <v>372</v>
      </c>
      <c r="C22" s="348">
        <f t="shared" ref="C22:C38" si="4">IFERROR(B22/B$13,"-")</f>
        <v>0.28725868725868725</v>
      </c>
      <c r="D22" s="295">
        <f>'２-Ⅵ'!B24</f>
        <v>733</v>
      </c>
      <c r="E22" s="348">
        <f t="shared" ref="E22:E38" si="5">IFERROR(D22/D$13,"-")</f>
        <v>0.31622088006902505</v>
      </c>
      <c r="G22" s="296" t="s">
        <v>225</v>
      </c>
      <c r="H22" s="297">
        <v>69</v>
      </c>
      <c r="I22" s="484">
        <f t="shared" ref="I22:I38" si="6">IFERROR(H22/H$13,"-")</f>
        <v>0.19436619718309858</v>
      </c>
      <c r="J22" s="297">
        <f>'２-Ⅵ'!H24</f>
        <v>144</v>
      </c>
      <c r="K22" s="479">
        <f t="shared" ref="K22:K38" si="7">IFERROR(J22/J$13,"-")</f>
        <v>0.21951219512195122</v>
      </c>
    </row>
    <row r="23" spans="1:12" x14ac:dyDescent="0.15">
      <c r="A23" s="296" t="s">
        <v>38</v>
      </c>
      <c r="B23" s="293">
        <v>55</v>
      </c>
      <c r="C23" s="479">
        <f t="shared" si="4"/>
        <v>4.2471042471042469E-2</v>
      </c>
      <c r="D23" s="295">
        <f>'２-Ⅵ'!B25</f>
        <v>166</v>
      </c>
      <c r="E23" s="348">
        <f t="shared" si="5"/>
        <v>7.1613459879206212E-2</v>
      </c>
      <c r="G23" s="296" t="s">
        <v>38</v>
      </c>
      <c r="H23" s="297">
        <v>10</v>
      </c>
      <c r="I23" s="484">
        <f t="shared" si="6"/>
        <v>2.8169014084507043E-2</v>
      </c>
      <c r="J23" s="297">
        <f>'２-Ⅵ'!H25</f>
        <v>36</v>
      </c>
      <c r="K23" s="479">
        <f t="shared" si="7"/>
        <v>5.4878048780487805E-2</v>
      </c>
    </row>
    <row r="24" spans="1:12" x14ac:dyDescent="0.15">
      <c r="A24" s="296" t="s">
        <v>39</v>
      </c>
      <c r="B24" s="293">
        <v>517</v>
      </c>
      <c r="C24" s="479">
        <f t="shared" si="4"/>
        <v>0.39922779922779922</v>
      </c>
      <c r="D24" s="295">
        <f>'２-Ⅵ'!B26</f>
        <v>855</v>
      </c>
      <c r="E24" s="348">
        <f t="shared" si="5"/>
        <v>0.36885245901639346</v>
      </c>
      <c r="G24" s="296" t="s">
        <v>39</v>
      </c>
      <c r="H24" s="297">
        <v>139</v>
      </c>
      <c r="I24" s="484">
        <f t="shared" si="6"/>
        <v>0.39154929577464787</v>
      </c>
      <c r="J24" s="297">
        <f>'２-Ⅵ'!H26</f>
        <v>240</v>
      </c>
      <c r="K24" s="479">
        <f t="shared" si="7"/>
        <v>0.36585365853658536</v>
      </c>
    </row>
    <row r="25" spans="1:12" x14ac:dyDescent="0.15">
      <c r="A25" s="296" t="s">
        <v>40</v>
      </c>
      <c r="B25" s="293">
        <v>561</v>
      </c>
      <c r="C25" s="479">
        <f t="shared" si="4"/>
        <v>0.4332046332046332</v>
      </c>
      <c r="D25" s="295">
        <f>'２-Ⅵ'!B27</f>
        <v>1033</v>
      </c>
      <c r="E25" s="348">
        <f t="shared" si="5"/>
        <v>0.4456427955133736</v>
      </c>
      <c r="G25" s="296" t="s">
        <v>40</v>
      </c>
      <c r="H25" s="297">
        <v>89</v>
      </c>
      <c r="I25" s="484">
        <f t="shared" si="6"/>
        <v>0.25070422535211268</v>
      </c>
      <c r="J25" s="297">
        <f>'２-Ⅵ'!H27</f>
        <v>195</v>
      </c>
      <c r="K25" s="479">
        <f t="shared" si="7"/>
        <v>0.2972560975609756</v>
      </c>
    </row>
    <row r="26" spans="1:12" x14ac:dyDescent="0.15">
      <c r="A26" s="296" t="s">
        <v>41</v>
      </c>
      <c r="B26" s="293">
        <v>414</v>
      </c>
      <c r="C26" s="479">
        <f t="shared" si="4"/>
        <v>0.31969111969111969</v>
      </c>
      <c r="D26" s="295">
        <f>'２-Ⅵ'!B28</f>
        <v>745</v>
      </c>
      <c r="E26" s="348">
        <f t="shared" si="5"/>
        <v>0.32139775668679899</v>
      </c>
      <c r="G26" s="296" t="s">
        <v>41</v>
      </c>
      <c r="H26" s="297">
        <v>112</v>
      </c>
      <c r="I26" s="484">
        <f t="shared" si="6"/>
        <v>0.3154929577464789</v>
      </c>
      <c r="J26" s="297">
        <f>'２-Ⅵ'!H28</f>
        <v>214</v>
      </c>
      <c r="K26" s="479">
        <f t="shared" si="7"/>
        <v>0.32621951219512196</v>
      </c>
    </row>
    <row r="27" spans="1:12" x14ac:dyDescent="0.15">
      <c r="A27" s="296" t="s">
        <v>42</v>
      </c>
      <c r="B27" s="293">
        <v>123</v>
      </c>
      <c r="C27" s="479">
        <f t="shared" si="4"/>
        <v>9.4980694980694974E-2</v>
      </c>
      <c r="D27" s="295">
        <f>'２-Ⅵ'!B29</f>
        <v>249</v>
      </c>
      <c r="E27" s="348">
        <f t="shared" si="5"/>
        <v>0.10742018981880933</v>
      </c>
      <c r="G27" s="296" t="s">
        <v>42</v>
      </c>
      <c r="H27" s="297">
        <v>25</v>
      </c>
      <c r="I27" s="484">
        <f t="shared" si="6"/>
        <v>7.0422535211267609E-2</v>
      </c>
      <c r="J27" s="297">
        <f>'２-Ⅵ'!H29</f>
        <v>50</v>
      </c>
      <c r="K27" s="479">
        <f t="shared" si="7"/>
        <v>7.621951219512195E-2</v>
      </c>
    </row>
    <row r="28" spans="1:12" x14ac:dyDescent="0.15">
      <c r="A28" s="296" t="s">
        <v>43</v>
      </c>
      <c r="B28" s="293">
        <v>492</v>
      </c>
      <c r="C28" s="479">
        <f t="shared" si="4"/>
        <v>0.3799227799227799</v>
      </c>
      <c r="D28" s="295">
        <f>'２-Ⅵ'!B30</f>
        <v>847</v>
      </c>
      <c r="E28" s="348">
        <f t="shared" si="5"/>
        <v>0.3654012079378775</v>
      </c>
      <c r="G28" s="296" t="s">
        <v>43</v>
      </c>
      <c r="H28" s="297">
        <v>83</v>
      </c>
      <c r="I28" s="484">
        <f t="shared" si="6"/>
        <v>0.23380281690140844</v>
      </c>
      <c r="J28" s="297">
        <f>'２-Ⅵ'!H30</f>
        <v>180</v>
      </c>
      <c r="K28" s="479">
        <f t="shared" si="7"/>
        <v>0.27439024390243905</v>
      </c>
    </row>
    <row r="29" spans="1:12" x14ac:dyDescent="0.15">
      <c r="A29" s="296" t="s">
        <v>44</v>
      </c>
      <c r="B29" s="293">
        <v>235</v>
      </c>
      <c r="C29" s="479">
        <f t="shared" si="4"/>
        <v>0.18146718146718147</v>
      </c>
      <c r="D29" s="295">
        <f>'２-Ⅵ'!B31</f>
        <v>425</v>
      </c>
      <c r="E29" s="348">
        <f t="shared" si="5"/>
        <v>0.18334771354616047</v>
      </c>
      <c r="G29" s="296" t="s">
        <v>44</v>
      </c>
      <c r="H29" s="297">
        <v>46</v>
      </c>
      <c r="I29" s="484">
        <f t="shared" si="6"/>
        <v>0.12957746478873239</v>
      </c>
      <c r="J29" s="297">
        <f>'２-Ⅵ'!H31</f>
        <v>98</v>
      </c>
      <c r="K29" s="479">
        <f t="shared" si="7"/>
        <v>0.14939024390243902</v>
      </c>
    </row>
    <row r="30" spans="1:12" x14ac:dyDescent="0.15">
      <c r="A30" s="296" t="s">
        <v>249</v>
      </c>
      <c r="B30" s="293">
        <v>287</v>
      </c>
      <c r="C30" s="479">
        <f t="shared" si="4"/>
        <v>0.22162162162162163</v>
      </c>
      <c r="D30" s="295">
        <f>'２-Ⅵ'!B32</f>
        <v>517</v>
      </c>
      <c r="E30" s="348">
        <f t="shared" si="5"/>
        <v>0.22303710094909404</v>
      </c>
      <c r="G30" s="296" t="s">
        <v>249</v>
      </c>
      <c r="H30" s="297">
        <v>89</v>
      </c>
      <c r="I30" s="484">
        <f t="shared" si="6"/>
        <v>0.25070422535211268</v>
      </c>
      <c r="J30" s="297">
        <f>'２-Ⅵ'!H32</f>
        <v>155</v>
      </c>
      <c r="K30" s="479">
        <f t="shared" si="7"/>
        <v>0.23628048780487804</v>
      </c>
    </row>
    <row r="31" spans="1:12" x14ac:dyDescent="0.15">
      <c r="A31" s="296" t="s">
        <v>46</v>
      </c>
      <c r="B31" s="293">
        <v>488</v>
      </c>
      <c r="C31" s="348">
        <f t="shared" si="4"/>
        <v>0.37683397683397685</v>
      </c>
      <c r="D31" s="295">
        <f>'２-Ⅵ'!B33</f>
        <v>856</v>
      </c>
      <c r="E31" s="348">
        <f t="shared" si="5"/>
        <v>0.36928386540120794</v>
      </c>
      <c r="G31" s="296" t="s">
        <v>46</v>
      </c>
      <c r="H31" s="297">
        <v>95</v>
      </c>
      <c r="I31" s="484">
        <f t="shared" si="6"/>
        <v>0.26760563380281688</v>
      </c>
      <c r="J31" s="297">
        <f>'２-Ⅵ'!H33</f>
        <v>212</v>
      </c>
      <c r="K31" s="479">
        <f t="shared" si="7"/>
        <v>0.32317073170731708</v>
      </c>
    </row>
    <row r="32" spans="1:12" x14ac:dyDescent="0.15">
      <c r="A32" s="296" t="s">
        <v>47</v>
      </c>
      <c r="B32" s="293">
        <v>58</v>
      </c>
      <c r="C32" s="479">
        <f t="shared" si="4"/>
        <v>4.4787644787644784E-2</v>
      </c>
      <c r="D32" s="295">
        <f>'２-Ⅵ'!B34</f>
        <v>101</v>
      </c>
      <c r="E32" s="348">
        <f t="shared" si="5"/>
        <v>4.3572044866264023E-2</v>
      </c>
      <c r="G32" s="296" t="s">
        <v>47</v>
      </c>
      <c r="H32" s="297">
        <v>25</v>
      </c>
      <c r="I32" s="484">
        <f t="shared" si="6"/>
        <v>7.0422535211267609E-2</v>
      </c>
      <c r="J32" s="297">
        <f>'２-Ⅵ'!H34</f>
        <v>42</v>
      </c>
      <c r="K32" s="479">
        <f t="shared" si="7"/>
        <v>6.402439024390244E-2</v>
      </c>
    </row>
    <row r="33" spans="1:11" x14ac:dyDescent="0.15">
      <c r="A33" s="296" t="s">
        <v>48</v>
      </c>
      <c r="B33" s="293">
        <v>89</v>
      </c>
      <c r="C33" s="479">
        <f t="shared" si="4"/>
        <v>6.8725868725868722E-2</v>
      </c>
      <c r="D33" s="295">
        <f>'２-Ⅵ'!B35</f>
        <v>165</v>
      </c>
      <c r="E33" s="348">
        <f t="shared" si="5"/>
        <v>7.1182053494391717E-2</v>
      </c>
      <c r="G33" s="296" t="s">
        <v>48</v>
      </c>
      <c r="H33" s="297">
        <v>24</v>
      </c>
      <c r="I33" s="484">
        <f t="shared" si="6"/>
        <v>6.7605633802816895E-2</v>
      </c>
      <c r="J33" s="297">
        <f>'２-Ⅵ'!H35</f>
        <v>43</v>
      </c>
      <c r="K33" s="479">
        <f t="shared" si="7"/>
        <v>6.5548780487804881E-2</v>
      </c>
    </row>
    <row r="34" spans="1:11" x14ac:dyDescent="0.15">
      <c r="A34" s="296" t="s">
        <v>49</v>
      </c>
      <c r="B34" s="293">
        <v>19</v>
      </c>
      <c r="C34" s="479">
        <f t="shared" si="4"/>
        <v>1.4671814671814672E-2</v>
      </c>
      <c r="D34" s="295">
        <f>'２-Ⅵ'!B36</f>
        <v>27</v>
      </c>
      <c r="E34" s="348">
        <f t="shared" si="5"/>
        <v>1.1647972389991372E-2</v>
      </c>
      <c r="G34" s="296" t="s">
        <v>49</v>
      </c>
      <c r="H34" s="297">
        <v>0</v>
      </c>
      <c r="I34" s="484">
        <f t="shared" si="6"/>
        <v>0</v>
      </c>
      <c r="J34" s="297">
        <f>'２-Ⅵ'!H36</f>
        <v>0</v>
      </c>
      <c r="K34" s="479">
        <f t="shared" si="7"/>
        <v>0</v>
      </c>
    </row>
    <row r="35" spans="1:11" x14ac:dyDescent="0.15">
      <c r="A35" s="296" t="s">
        <v>50</v>
      </c>
      <c r="B35" s="293">
        <v>131</v>
      </c>
      <c r="C35" s="479">
        <f t="shared" si="4"/>
        <v>0.10115830115830116</v>
      </c>
      <c r="D35" s="295">
        <f>'２-Ⅵ'!B37</f>
        <v>251</v>
      </c>
      <c r="E35" s="348">
        <f t="shared" si="5"/>
        <v>0.10828300258843832</v>
      </c>
      <c r="G35" s="296" t="s">
        <v>50</v>
      </c>
      <c r="H35" s="297">
        <v>24</v>
      </c>
      <c r="I35" s="484">
        <f t="shared" si="6"/>
        <v>6.7605633802816895E-2</v>
      </c>
      <c r="J35" s="297">
        <f>'２-Ⅵ'!H37</f>
        <v>63</v>
      </c>
      <c r="K35" s="479">
        <f t="shared" si="7"/>
        <v>9.6036585365853661E-2</v>
      </c>
    </row>
    <row r="36" spans="1:11" x14ac:dyDescent="0.15">
      <c r="A36" s="296" t="s">
        <v>51</v>
      </c>
      <c r="B36" s="293">
        <v>166</v>
      </c>
      <c r="C36" s="479">
        <f t="shared" si="4"/>
        <v>0.12818532818532818</v>
      </c>
      <c r="D36" s="295">
        <f>'２-Ⅵ'!B38</f>
        <v>293</v>
      </c>
      <c r="E36" s="348">
        <f t="shared" si="5"/>
        <v>0.12640207075064711</v>
      </c>
      <c r="G36" s="296" t="s">
        <v>51</v>
      </c>
      <c r="H36" s="297">
        <v>37</v>
      </c>
      <c r="I36" s="484">
        <f t="shared" si="6"/>
        <v>0.10422535211267606</v>
      </c>
      <c r="J36" s="297">
        <f>'２-Ⅵ'!H38</f>
        <v>73</v>
      </c>
      <c r="K36" s="479">
        <f t="shared" si="7"/>
        <v>0.11128048780487805</v>
      </c>
    </row>
    <row r="37" spans="1:11" x14ac:dyDescent="0.15">
      <c r="A37" s="296" t="s">
        <v>248</v>
      </c>
      <c r="B37" s="293">
        <v>22</v>
      </c>
      <c r="C37" s="479">
        <f t="shared" si="4"/>
        <v>1.698841698841699E-2</v>
      </c>
      <c r="D37" s="295">
        <f>'２-Ⅵ'!B39</f>
        <v>51</v>
      </c>
      <c r="E37" s="348">
        <f t="shared" si="5"/>
        <v>2.2001725625539259E-2</v>
      </c>
      <c r="G37" s="296" t="s">
        <v>248</v>
      </c>
      <c r="H37" s="297">
        <v>12</v>
      </c>
      <c r="I37" s="484">
        <f t="shared" si="6"/>
        <v>3.3802816901408447E-2</v>
      </c>
      <c r="J37" s="297">
        <f>'２-Ⅵ'!H39</f>
        <v>24</v>
      </c>
      <c r="K37" s="479">
        <f t="shared" si="7"/>
        <v>3.6585365853658534E-2</v>
      </c>
    </row>
    <row r="38" spans="1:11" x14ac:dyDescent="0.15">
      <c r="A38" s="296" t="s">
        <v>53</v>
      </c>
      <c r="B38" s="293">
        <v>89</v>
      </c>
      <c r="C38" s="479">
        <f t="shared" si="4"/>
        <v>6.8725868725868722E-2</v>
      </c>
      <c r="D38" s="295">
        <f>'２-Ⅵ'!B40</f>
        <v>172</v>
      </c>
      <c r="E38" s="348">
        <f t="shared" si="5"/>
        <v>7.4201898188093182E-2</v>
      </c>
      <c r="G38" s="296" t="s">
        <v>53</v>
      </c>
      <c r="H38" s="297">
        <v>13</v>
      </c>
      <c r="I38" s="484">
        <f t="shared" si="6"/>
        <v>3.6619718309859155E-2</v>
      </c>
      <c r="J38" s="297">
        <f>'２-Ⅵ'!H40</f>
        <v>31</v>
      </c>
      <c r="K38" s="479">
        <f t="shared" si="7"/>
        <v>4.725609756097561E-2</v>
      </c>
    </row>
    <row r="39" spans="1:11" x14ac:dyDescent="0.15">
      <c r="A39" s="140"/>
      <c r="B39" s="141"/>
      <c r="C39" s="21"/>
      <c r="D39" s="21"/>
      <c r="E39" s="21"/>
      <c r="G39" s="140"/>
      <c r="H39" s="141"/>
      <c r="I39" s="21"/>
      <c r="J39" s="141"/>
      <c r="K39" s="21"/>
    </row>
    <row r="40" spans="1:11" x14ac:dyDescent="0.15">
      <c r="A40" s="38"/>
      <c r="B40" s="38"/>
      <c r="C40" s="38"/>
      <c r="D40" s="38"/>
      <c r="E40" s="38"/>
      <c r="G40" s="38"/>
    </row>
    <row r="41" spans="1:11" x14ac:dyDescent="0.15">
      <c r="A41" s="38"/>
      <c r="B41" s="38"/>
      <c r="C41" s="38"/>
      <c r="D41" s="38"/>
      <c r="E41" s="38"/>
      <c r="G41" s="38"/>
    </row>
    <row r="42" spans="1:11" x14ac:dyDescent="0.15">
      <c r="A42" s="38"/>
      <c r="B42" s="38"/>
      <c r="C42" s="38"/>
      <c r="D42" s="38"/>
      <c r="E42" s="38"/>
      <c r="G42" s="38"/>
    </row>
    <row r="48" spans="1:11" x14ac:dyDescent="0.15">
      <c r="A48" s="142"/>
      <c r="B48" s="142"/>
      <c r="C48" s="142"/>
      <c r="D48" s="142"/>
      <c r="E48" s="142"/>
      <c r="G48" s="142"/>
      <c r="H48" s="142"/>
      <c r="J48" s="142"/>
    </row>
    <row r="49" spans="1:10" x14ac:dyDescent="0.15">
      <c r="A49" s="38"/>
      <c r="B49" s="23"/>
      <c r="C49" s="23"/>
      <c r="D49" s="23"/>
      <c r="E49" s="23"/>
      <c r="G49" s="38"/>
      <c r="H49" s="23"/>
      <c r="J49" s="23"/>
    </row>
    <row r="50" spans="1:10" x14ac:dyDescent="0.15">
      <c r="A50" s="38"/>
      <c r="B50" s="23"/>
      <c r="C50" s="23"/>
      <c r="D50" s="23"/>
      <c r="E50" s="23"/>
      <c r="G50" s="38"/>
      <c r="H50" s="23"/>
      <c r="J50" s="23"/>
    </row>
    <row r="51" spans="1:10" x14ac:dyDescent="0.15">
      <c r="A51" s="38"/>
      <c r="B51" s="23"/>
      <c r="C51" s="23"/>
      <c r="D51" s="23"/>
      <c r="E51" s="23"/>
      <c r="G51" s="38"/>
      <c r="H51" s="23"/>
      <c r="J51" s="23"/>
    </row>
    <row r="52" spans="1:10" x14ac:dyDescent="0.15">
      <c r="A52" s="38"/>
      <c r="B52" s="23"/>
      <c r="C52" s="23"/>
      <c r="D52" s="23"/>
      <c r="E52" s="23"/>
      <c r="G52" s="38"/>
      <c r="H52" s="23"/>
      <c r="J52" s="23"/>
    </row>
    <row r="53" spans="1:10" x14ac:dyDescent="0.15">
      <c r="A53" s="38"/>
      <c r="B53" s="23"/>
      <c r="C53" s="23"/>
      <c r="D53" s="23"/>
      <c r="E53" s="23"/>
      <c r="G53" s="38"/>
      <c r="H53" s="23"/>
      <c r="J53" s="23"/>
    </row>
    <row r="54" spans="1:10" x14ac:dyDescent="0.15">
      <c r="A54" s="38"/>
      <c r="B54" s="23"/>
      <c r="C54" s="23"/>
      <c r="D54" s="23"/>
      <c r="E54" s="23"/>
      <c r="G54" s="38"/>
      <c r="H54" s="23"/>
      <c r="J54" s="23"/>
    </row>
    <row r="55" spans="1:10" x14ac:dyDescent="0.15">
      <c r="A55" s="38"/>
      <c r="B55" s="23"/>
      <c r="C55" s="23"/>
      <c r="D55" s="23"/>
      <c r="E55" s="23"/>
      <c r="G55" s="38"/>
      <c r="H55" s="23"/>
      <c r="J55" s="23"/>
    </row>
    <row r="56" spans="1:10" x14ac:dyDescent="0.15">
      <c r="A56" s="38"/>
      <c r="B56" s="23"/>
      <c r="C56" s="23"/>
      <c r="D56" s="23"/>
      <c r="E56" s="23"/>
      <c r="G56" s="38"/>
      <c r="H56" s="23"/>
      <c r="J56" s="23"/>
    </row>
    <row r="57" spans="1:10" x14ac:dyDescent="0.15">
      <c r="A57" s="38"/>
      <c r="B57" s="23"/>
      <c r="C57" s="23"/>
      <c r="D57" s="23"/>
      <c r="E57" s="23"/>
      <c r="G57" s="38"/>
      <c r="H57" s="23"/>
      <c r="J57" s="23"/>
    </row>
    <row r="58" spans="1:10" x14ac:dyDescent="0.15">
      <c r="A58" s="38"/>
      <c r="B58" s="23"/>
      <c r="C58" s="23"/>
      <c r="D58" s="23"/>
      <c r="E58" s="23"/>
      <c r="G58" s="38"/>
      <c r="H58" s="23"/>
      <c r="J58" s="23"/>
    </row>
    <row r="59" spans="1:10" x14ac:dyDescent="0.15">
      <c r="A59" s="38"/>
      <c r="B59" s="23"/>
      <c r="C59" s="23"/>
      <c r="D59" s="23"/>
      <c r="E59" s="23"/>
      <c r="G59" s="38"/>
      <c r="H59" s="23"/>
      <c r="J59" s="23"/>
    </row>
    <row r="60" spans="1:10" x14ac:dyDescent="0.15">
      <c r="A60" s="38"/>
      <c r="B60" s="23"/>
      <c r="C60" s="23"/>
      <c r="D60" s="23"/>
      <c r="E60" s="23"/>
      <c r="G60" s="38"/>
      <c r="H60" s="23"/>
      <c r="J60" s="23"/>
    </row>
    <row r="61" spans="1:10" x14ac:dyDescent="0.15">
      <c r="A61" s="38"/>
      <c r="B61" s="23"/>
      <c r="C61" s="23"/>
      <c r="D61" s="23"/>
      <c r="E61" s="23"/>
      <c r="G61" s="38"/>
      <c r="H61" s="23"/>
      <c r="J61" s="23"/>
    </row>
    <row r="62" spans="1:10" x14ac:dyDescent="0.15">
      <c r="A62" s="38"/>
      <c r="B62" s="23"/>
      <c r="C62" s="23"/>
      <c r="D62" s="23"/>
      <c r="E62" s="23"/>
      <c r="G62" s="38"/>
      <c r="H62" s="23"/>
      <c r="J62" s="23"/>
    </row>
    <row r="63" spans="1:10" x14ac:dyDescent="0.15">
      <c r="A63" s="38"/>
      <c r="B63" s="23"/>
      <c r="C63" s="23"/>
      <c r="D63" s="23"/>
      <c r="E63" s="23"/>
      <c r="G63" s="38"/>
      <c r="H63" s="23"/>
      <c r="J63" s="23"/>
    </row>
    <row r="64" spans="1:10" x14ac:dyDescent="0.15">
      <c r="A64" s="38"/>
      <c r="B64" s="23"/>
      <c r="C64" s="23"/>
      <c r="D64" s="23"/>
      <c r="E64" s="23"/>
      <c r="G64" s="38"/>
      <c r="H64" s="23"/>
      <c r="J64" s="23"/>
    </row>
    <row r="65" spans="1:10" x14ac:dyDescent="0.15">
      <c r="A65" s="38"/>
      <c r="B65" s="23"/>
      <c r="C65" s="23"/>
      <c r="D65" s="23"/>
      <c r="E65" s="23"/>
      <c r="G65" s="38"/>
      <c r="H65" s="23"/>
      <c r="J65" s="23"/>
    </row>
    <row r="66" spans="1:10" x14ac:dyDescent="0.15">
      <c r="A66" s="7"/>
      <c r="B66" s="86"/>
      <c r="C66" s="86"/>
      <c r="D66" s="86"/>
      <c r="E66" s="86"/>
      <c r="G66" s="7"/>
      <c r="H66" s="23"/>
      <c r="J66" s="23"/>
    </row>
    <row r="67" spans="1:10" x14ac:dyDescent="0.15">
      <c r="A67" s="7"/>
      <c r="B67" s="86"/>
      <c r="C67" s="86"/>
      <c r="D67" s="86"/>
      <c r="E67" s="86"/>
      <c r="G67" s="7"/>
      <c r="H67" s="86"/>
      <c r="J67" s="86"/>
    </row>
    <row r="68" spans="1:10" x14ac:dyDescent="0.15">
      <c r="A68" s="7"/>
      <c r="B68" s="86"/>
      <c r="C68" s="86"/>
      <c r="D68" s="86"/>
      <c r="E68" s="86"/>
      <c r="G68" s="7"/>
      <c r="H68" s="86"/>
      <c r="J68" s="86"/>
    </row>
    <row r="69" spans="1:10" x14ac:dyDescent="0.15">
      <c r="A69" s="7"/>
      <c r="B69" s="86"/>
      <c r="C69" s="86"/>
      <c r="D69" s="86"/>
      <c r="E69" s="86"/>
      <c r="G69" s="7"/>
      <c r="H69" s="86"/>
      <c r="J69" s="86"/>
    </row>
    <row r="70" spans="1:10" x14ac:dyDescent="0.15">
      <c r="A70" s="7"/>
      <c r="B70" s="86"/>
      <c r="C70" s="86"/>
      <c r="D70" s="86"/>
      <c r="E70" s="86"/>
      <c r="G70" s="7"/>
      <c r="H70" s="23"/>
      <c r="J70" s="23"/>
    </row>
    <row r="71" spans="1:10" x14ac:dyDescent="0.15">
      <c r="A71" s="22"/>
      <c r="B71" s="22"/>
      <c r="C71" s="22"/>
      <c r="D71" s="22"/>
      <c r="E71" s="22"/>
      <c r="G71" s="22"/>
    </row>
    <row r="72" spans="1:10" x14ac:dyDescent="0.15">
      <c r="A72" s="22"/>
      <c r="B72" s="22"/>
      <c r="C72" s="22"/>
      <c r="D72" s="22"/>
      <c r="E72" s="22"/>
      <c r="G72" s="22"/>
    </row>
    <row r="73" spans="1:10" x14ac:dyDescent="0.15">
      <c r="A73" s="22"/>
      <c r="B73" s="22"/>
      <c r="C73" s="22"/>
      <c r="D73" s="22"/>
      <c r="E73" s="22"/>
      <c r="G73" s="22"/>
    </row>
    <row r="74" spans="1:10" x14ac:dyDescent="0.15">
      <c r="A74" s="22"/>
      <c r="B74" s="22"/>
      <c r="C74" s="22"/>
      <c r="D74" s="22"/>
      <c r="E74" s="22"/>
      <c r="G74" s="22"/>
    </row>
  </sheetData>
  <mergeCells count="8">
    <mergeCell ref="D19:E19"/>
    <mergeCell ref="J19:K19"/>
    <mergeCell ref="D3:E3"/>
    <mergeCell ref="J3:K3"/>
    <mergeCell ref="G18:K18"/>
    <mergeCell ref="A18:E18"/>
    <mergeCell ref="D11:E11"/>
    <mergeCell ref="J11:K11"/>
  </mergeCells>
  <phoneticPr fontId="2"/>
  <printOptions horizontalCentered="1"/>
  <pageMargins left="0.70866141732283472" right="0.70866141732283472" top="1.1417322834645669" bottom="0.74803149606299213" header="0.70866141732283472" footer="0.31496062992125984"/>
  <pageSetup paperSize="9" scale="83" fitToHeight="0" orientation="landscape" r:id="rId1"/>
  <rowBreaks count="1" manualBreakCount="1">
    <brk id="16" max="10" man="1"/>
  </rowBreaks>
  <drawing r:id="rId2"/>
  <legacyDrawing r:id="rId3"/>
  <mc:AlternateContent xmlns:mc="http://schemas.openxmlformats.org/markup-compatibility/2006">
    <mc:Choice Requires="x14">
      <controls>
        <mc:AlternateContent xmlns:mc="http://schemas.openxmlformats.org/markup-compatibility/2006">
          <mc:Choice Requires="x14">
            <control shapeId="22529" r:id="rId4" name="Button 1">
              <controlPr defaultSize="0" print="0" autoFill="0" autoPict="0" macro="[0]!データ削除17">
                <anchor moveWithCells="1" sizeWithCells="1">
                  <from>
                    <xdr:col>11</xdr:col>
                    <xdr:colOff>361950</xdr:colOff>
                    <xdr:row>3</xdr:row>
                    <xdr:rowOff>9525</xdr:rowOff>
                  </from>
                  <to>
                    <xdr:col>13</xdr:col>
                    <xdr:colOff>304800</xdr:colOff>
                    <xdr:row>4</xdr:row>
                    <xdr:rowOff>276225</xdr:rowOff>
                  </to>
                </anchor>
              </controlPr>
            </control>
          </mc:Choice>
        </mc:AlternateContent>
      </controls>
    </mc:Choice>
  </mc:AlternateContent>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8">
    <tabColor rgb="FFFF0000"/>
    <pageSetUpPr fitToPage="1"/>
  </sheetPr>
  <dimension ref="B1:Q63"/>
  <sheetViews>
    <sheetView showGridLines="0" view="pageBreakPreview" zoomScale="80" zoomScaleNormal="100" zoomScaleSheetLayoutView="80" workbookViewId="0">
      <selection activeCell="G1" sqref="G1:P1048576"/>
    </sheetView>
  </sheetViews>
  <sheetFormatPr defaultRowHeight="18.75" x14ac:dyDescent="0.15"/>
  <cols>
    <col min="1" max="1" width="9" style="1"/>
    <col min="2" max="2" width="43.75" style="1" customWidth="1"/>
    <col min="3" max="6" width="9.375" style="1" customWidth="1"/>
    <col min="7" max="7" width="0" style="1" hidden="1" customWidth="1"/>
    <col min="8" max="8" width="56.125" style="1" hidden="1" customWidth="1"/>
    <col min="9" max="10" width="10.875" style="1" hidden="1" customWidth="1"/>
    <col min="11" max="14" width="9" style="1" hidden="1" customWidth="1"/>
    <col min="15" max="16" width="0" style="1" hidden="1" customWidth="1"/>
    <col min="17" max="16384" width="9" style="1"/>
  </cols>
  <sheetData>
    <row r="1" spans="2:17" ht="19.5" customHeight="1" x14ac:dyDescent="0.15">
      <c r="B1" s="2" t="s">
        <v>77</v>
      </c>
      <c r="H1" s="56" t="s">
        <v>63</v>
      </c>
    </row>
    <row r="2" spans="2:17" ht="18.75" customHeight="1" thickBot="1" x14ac:dyDescent="0.2">
      <c r="B2" s="640" t="s">
        <v>241</v>
      </c>
      <c r="C2" s="642" t="s">
        <v>267</v>
      </c>
      <c r="D2" s="643"/>
      <c r="E2" s="643"/>
      <c r="F2" s="644"/>
    </row>
    <row r="3" spans="2:17" ht="18.75" customHeight="1" thickTop="1" thickBot="1" x14ac:dyDescent="0.2">
      <c r="B3" s="641"/>
      <c r="C3" s="645" t="s">
        <v>268</v>
      </c>
      <c r="D3" s="646"/>
      <c r="E3" s="647" t="s">
        <v>266</v>
      </c>
      <c r="F3" s="646"/>
      <c r="G3" s="35" t="s">
        <v>280</v>
      </c>
      <c r="H3" s="503" t="s">
        <v>371</v>
      </c>
      <c r="I3" s="60" t="s">
        <v>307</v>
      </c>
      <c r="J3" s="60" t="s">
        <v>308</v>
      </c>
      <c r="N3" s="43" t="s">
        <v>268</v>
      </c>
      <c r="O3" s="43" t="s">
        <v>266</v>
      </c>
      <c r="Q3" s="43"/>
    </row>
    <row r="4" spans="2:17" ht="38.25" customHeight="1" thickTop="1" x14ac:dyDescent="0.15">
      <c r="B4" s="88" t="s">
        <v>232</v>
      </c>
      <c r="C4" s="386">
        <f>IFERROR(INDEX(退院予定有無×年齢階層[#All],MATCH($M4,退院予定有無×年齢階層[[#All],[行ラベル]],0),MATCH($N$3,退院予定有無×年齢階層[#Headers],0)),0)</f>
        <v>1119</v>
      </c>
      <c r="D4" s="206">
        <f>IFERROR(C4/C$7,"-")</f>
        <v>0.17677725118483412</v>
      </c>
      <c r="E4" s="386">
        <f>IFERROR(INDEX(退院予定有無×年齢階層[#All],MATCH($M4,退院予定有無×年齢階層[[#All],[行ラベル]],0),MATCH($O$3,退院予定有無×年齢階層[#Headers],0)),0)</f>
        <v>1395</v>
      </c>
      <c r="F4" s="207">
        <f>IFERROR(E4/E$7,"-")</f>
        <v>0.14959785522788205</v>
      </c>
      <c r="G4" s="40">
        <f>C4+E4</f>
        <v>2514</v>
      </c>
      <c r="H4" s="34">
        <v>97</v>
      </c>
      <c r="I4" s="60">
        <v>1119</v>
      </c>
      <c r="J4" s="60">
        <v>1395</v>
      </c>
      <c r="K4" s="54"/>
      <c r="M4" s="34">
        <v>97</v>
      </c>
    </row>
    <row r="5" spans="2:17" ht="18.75" customHeight="1" x14ac:dyDescent="0.15">
      <c r="B5" s="92" t="s">
        <v>242</v>
      </c>
      <c r="C5" s="208">
        <f>IFERROR(INDEX(退院予定有無×年齢階層[#All],MATCH($M5,退院予定有無×年齢階層[[#All],[行ラベル]],0),MATCH($N$3,退院予定有無×年齢階層[#Headers],0)),0)</f>
        <v>4212</v>
      </c>
      <c r="D5" s="209">
        <f>IFERROR(C5/C$7,"-")</f>
        <v>0.66540284360189572</v>
      </c>
      <c r="E5" s="208">
        <f>IFERROR(INDEX(退院予定有無×年齢階層[#All],MATCH($M5,退院予定有無×年齢階層[[#All],[行ラベル]],0),MATCH($O$3,退院予定有無×年齢階層[#Headers],0)),0)</f>
        <v>7088</v>
      </c>
      <c r="F5" s="210">
        <f>IFERROR(E5/E$7,"-")</f>
        <v>0.76010723860589813</v>
      </c>
      <c r="G5" s="40">
        <f>C5+E5</f>
        <v>11300</v>
      </c>
      <c r="H5" s="34">
        <v>98</v>
      </c>
      <c r="I5" s="60">
        <v>4212</v>
      </c>
      <c r="J5" s="60">
        <v>7088</v>
      </c>
      <c r="M5" s="34">
        <v>98</v>
      </c>
    </row>
    <row r="6" spans="2:17" ht="18.75" customHeight="1" x14ac:dyDescent="0.15">
      <c r="B6" s="123" t="s">
        <v>36</v>
      </c>
      <c r="C6" s="208">
        <f>IFERROR(INDEX(退院予定有無×年齢階層[#All],MATCH($M6,退院予定有無×年齢階層[[#All],[行ラベル]],0),MATCH($N$3,退院予定有無×年齢階層[#Headers],0)),0)</f>
        <v>999</v>
      </c>
      <c r="D6" s="212">
        <f>IFERROR(C6/C$7,"-")</f>
        <v>0.15781990521327013</v>
      </c>
      <c r="E6" s="208">
        <f>IFERROR(INDEX(退院予定有無×年齢階層[#All],MATCH($M6,退院予定有無×年齢階層[[#All],[行ラベル]],0),MATCH($O$3,退院予定有無×年齢階層[#Headers],0)),0)</f>
        <v>842</v>
      </c>
      <c r="F6" s="213">
        <f>IFERROR(E6/E$7,"-")</f>
        <v>9.0294906166219838E-2</v>
      </c>
      <c r="G6" s="40">
        <f>C6+E6</f>
        <v>1841</v>
      </c>
      <c r="H6" s="34">
        <v>99</v>
      </c>
      <c r="I6" s="60">
        <v>999</v>
      </c>
      <c r="J6" s="130">
        <v>842</v>
      </c>
      <c r="M6" s="34">
        <v>99</v>
      </c>
    </row>
    <row r="7" spans="2:17" ht="18.75" customHeight="1" x14ac:dyDescent="0.15">
      <c r="B7" s="93" t="s">
        <v>162</v>
      </c>
      <c r="C7" s="214">
        <f t="shared" ref="C7:F7" si="0">SUM(C4:C6)</f>
        <v>6330</v>
      </c>
      <c r="D7" s="215">
        <f t="shared" si="0"/>
        <v>1</v>
      </c>
      <c r="E7" s="216">
        <f t="shared" si="0"/>
        <v>9325</v>
      </c>
      <c r="F7" s="215">
        <f t="shared" si="0"/>
        <v>1</v>
      </c>
      <c r="G7" s="40">
        <f>C7+E7</f>
        <v>15655</v>
      </c>
      <c r="H7" s="34"/>
      <c r="M7" s="34"/>
    </row>
    <row r="8" spans="2:17" ht="18.75" customHeight="1" thickBot="1" x14ac:dyDescent="0.2">
      <c r="B8" s="97"/>
      <c r="C8" s="217"/>
      <c r="D8" s="218"/>
      <c r="E8" s="219"/>
      <c r="F8" s="218"/>
      <c r="G8" s="40"/>
      <c r="H8" s="34"/>
      <c r="M8" s="34"/>
    </row>
    <row r="9" spans="2:17" ht="18.75" customHeight="1" thickTop="1" thickBot="1" x14ac:dyDescent="0.2">
      <c r="B9" s="131" t="s">
        <v>240</v>
      </c>
      <c r="C9" s="220"/>
      <c r="D9" s="221"/>
      <c r="E9" s="221"/>
      <c r="F9" s="222"/>
      <c r="G9" s="40"/>
      <c r="H9" s="503" t="s">
        <v>371</v>
      </c>
      <c r="I9" s="378" t="s">
        <v>307</v>
      </c>
      <c r="J9" s="378" t="s">
        <v>308</v>
      </c>
    </row>
    <row r="10" spans="2:17" ht="18.75" customHeight="1" thickTop="1" x14ac:dyDescent="0.15">
      <c r="B10" s="102" t="s">
        <v>34</v>
      </c>
      <c r="C10" s="205">
        <f>IFERROR(INDEX(阻害要因有無×年齢階層[#All],MATCH($M10,阻害要因有無×年齢階層[[#All],[行ラベル]],0),MATCH($N$3,阻害要因有無×年齢階層[#Headers],0)),0)</f>
        <v>1023</v>
      </c>
      <c r="D10" s="207">
        <f>IFERROR(C10/C$4,"-")</f>
        <v>0.91420911528150139</v>
      </c>
      <c r="E10" s="205">
        <f>IFERROR(INDEX(阻害要因有無×年齢階層[#All],MATCH($M10,阻害要因有無×年齢階層[[#All],[行ラベル]],0),MATCH($O$3,阻害要因有無×年齢階層[#Headers],0)),0)</f>
        <v>1295</v>
      </c>
      <c r="F10" s="207">
        <f>IFERROR(E10/E$4,"-")</f>
        <v>0.92831541218637992</v>
      </c>
      <c r="G10" s="40">
        <f>C10+E10</f>
        <v>2318</v>
      </c>
      <c r="H10" s="34">
        <v>91</v>
      </c>
      <c r="I10" s="60">
        <v>1023</v>
      </c>
      <c r="J10" s="60">
        <v>1295</v>
      </c>
      <c r="K10" s="54"/>
      <c r="M10" s="34">
        <v>91</v>
      </c>
    </row>
    <row r="11" spans="2:17" ht="18.75" customHeight="1" x14ac:dyDescent="0.15">
      <c r="B11" s="92" t="s">
        <v>35</v>
      </c>
      <c r="C11" s="208">
        <f>IFERROR(INDEX(阻害要因有無×年齢階層[#All],MATCH($M11,阻害要因有無×年齢階層[[#All],[行ラベル]],0),MATCH($N$3,阻害要因有無×年齢階層[#Headers],0)),0)</f>
        <v>96</v>
      </c>
      <c r="D11" s="209">
        <f>IFERROR(C11/C$4,"-")</f>
        <v>8.5790884718498661E-2</v>
      </c>
      <c r="E11" s="208">
        <f>IFERROR(INDEX(阻害要因有無×年齢階層[#All],MATCH($M11,阻害要因有無×年齢階層[[#All],[行ラベル]],0),MATCH($O$3,阻害要因有無×年齢階層[#Headers],0)),0)</f>
        <v>100</v>
      </c>
      <c r="F11" s="209">
        <f>IFERROR(E11/E$4,"-")</f>
        <v>7.1684587813620068E-2</v>
      </c>
      <c r="G11" s="40">
        <f>C11+E11</f>
        <v>196</v>
      </c>
      <c r="H11" s="34">
        <v>90</v>
      </c>
      <c r="I11" s="60">
        <v>96</v>
      </c>
      <c r="J11" s="60">
        <v>100</v>
      </c>
      <c r="M11" s="34">
        <v>90</v>
      </c>
    </row>
    <row r="12" spans="2:17" ht="18.75" customHeight="1" thickBot="1" x14ac:dyDescent="0.2">
      <c r="B12" s="103" t="s">
        <v>264</v>
      </c>
      <c r="C12" s="654"/>
      <c r="D12" s="655"/>
      <c r="E12" s="655"/>
      <c r="F12" s="656"/>
      <c r="G12" s="40"/>
      <c r="H12" s="39"/>
      <c r="K12" s="53"/>
    </row>
    <row r="13" spans="2:17" ht="18.75" customHeight="1" thickTop="1" thickBot="1" x14ac:dyDescent="0.2">
      <c r="B13" s="648" t="s">
        <v>275</v>
      </c>
      <c r="C13" s="649"/>
      <c r="D13" s="649"/>
      <c r="E13" s="649"/>
      <c r="F13" s="650"/>
      <c r="G13" s="40"/>
      <c r="H13" s="503" t="s">
        <v>380</v>
      </c>
      <c r="I13" s="378" t="s">
        <v>308</v>
      </c>
      <c r="J13" s="378" t="s">
        <v>307</v>
      </c>
    </row>
    <row r="14" spans="2:17" ht="37.5" customHeight="1" thickTop="1" x14ac:dyDescent="0.15">
      <c r="B14" s="132" t="s">
        <v>236</v>
      </c>
      <c r="C14" s="223">
        <f>IFERROR(INDEX(阻害要因×年齢階層[#All],MATCH($M14,阻害要因×年齢階層[[#All],[値]],0),MATCH($N$3,阻害要因×年齢階層[#Headers],0)),0)</f>
        <v>410</v>
      </c>
      <c r="D14" s="224">
        <f t="shared" ref="D14:D31" si="1">IFERROR(C14/C$10,"-")</f>
        <v>0.40078201368523947</v>
      </c>
      <c r="E14" s="223">
        <f>IFERROR(INDEX(阻害要因×年齢階層[#All],MATCH($M14,阻害要因×年齢階層[[#All],[値]],0),MATCH($O$3,阻害要因×年齢階層[#Headers],0)),0)</f>
        <v>480</v>
      </c>
      <c r="F14" s="224">
        <f t="shared" ref="F14:F31" si="2">IFERROR(E14/E$10,"-")</f>
        <v>0.37065637065637064</v>
      </c>
      <c r="G14" s="40">
        <f>SUM(C14,E14)</f>
        <v>890</v>
      </c>
      <c r="H14" s="56" t="s">
        <v>310</v>
      </c>
      <c r="I14" s="60">
        <v>480</v>
      </c>
      <c r="J14" s="60">
        <v>410</v>
      </c>
      <c r="K14" s="54"/>
      <c r="M14" s="406" t="s">
        <v>310</v>
      </c>
    </row>
    <row r="15" spans="2:17" ht="18.75" customHeight="1" x14ac:dyDescent="0.15">
      <c r="B15" s="133" t="s">
        <v>66</v>
      </c>
      <c r="C15" s="208">
        <f>IFERROR(INDEX(阻害要因×年齢階層[#All],MATCH($M15,阻害要因×年齢階層[[#All],[値]],0),MATCH($N$3,阻害要因×年齢階層[#Headers],0)),0)</f>
        <v>361</v>
      </c>
      <c r="D15" s="225">
        <f t="shared" si="1"/>
        <v>0.35288367546432065</v>
      </c>
      <c r="E15" s="208">
        <f>IFERROR(INDEX(阻害要因×年齢階層[#All],MATCH($M15,阻害要因×年齢階層[[#All],[値]],0),MATCH($O$3,阻害要因×年齢階層[#Headers],0)),0)</f>
        <v>372</v>
      </c>
      <c r="F15" s="225">
        <f t="shared" si="2"/>
        <v>0.28725868725868725</v>
      </c>
      <c r="G15" s="40">
        <f t="shared" ref="G15:G31" si="3">SUM(C15,E15)</f>
        <v>733</v>
      </c>
      <c r="H15" s="56" t="s">
        <v>311</v>
      </c>
      <c r="I15" s="60">
        <v>372</v>
      </c>
      <c r="J15" s="60">
        <v>361</v>
      </c>
      <c r="M15" s="406" t="s">
        <v>311</v>
      </c>
    </row>
    <row r="16" spans="2:17" ht="18.75" customHeight="1" x14ac:dyDescent="0.15">
      <c r="B16" s="133" t="s">
        <v>38</v>
      </c>
      <c r="C16" s="208">
        <f>IFERROR(INDEX(阻害要因×年齢階層[#All],MATCH($M16,阻害要因×年齢階層[[#All],[値]],0),MATCH($N$3,阻害要因×年齢階層[#Headers],0)),0)</f>
        <v>111</v>
      </c>
      <c r="D16" s="225">
        <f t="shared" si="1"/>
        <v>0.10850439882697947</v>
      </c>
      <c r="E16" s="208">
        <f>IFERROR(INDEX(阻害要因×年齢階層[#All],MATCH($M16,阻害要因×年齢階層[[#All],[値]],0),MATCH($O$3,阻害要因×年齢階層[#Headers],0)),0)</f>
        <v>55</v>
      </c>
      <c r="F16" s="225">
        <f t="shared" si="2"/>
        <v>4.2471042471042469E-2</v>
      </c>
      <c r="G16" s="40">
        <f t="shared" si="3"/>
        <v>166</v>
      </c>
      <c r="H16" s="56" t="s">
        <v>167</v>
      </c>
      <c r="I16" s="60">
        <v>55</v>
      </c>
      <c r="J16" s="60">
        <v>111</v>
      </c>
      <c r="L16" s="23"/>
      <c r="M16" s="56" t="s">
        <v>167</v>
      </c>
    </row>
    <row r="17" spans="2:13" ht="18.75" customHeight="1" x14ac:dyDescent="0.15">
      <c r="B17" s="133" t="s">
        <v>39</v>
      </c>
      <c r="C17" s="208">
        <f>IFERROR(INDEX(阻害要因×年齢階層[#All],MATCH($M17,阻害要因×年齢階層[[#All],[値]],0),MATCH($N$3,阻害要因×年齢階層[#Headers],0)),0)</f>
        <v>338</v>
      </c>
      <c r="D17" s="209">
        <f t="shared" si="1"/>
        <v>0.33040078201368522</v>
      </c>
      <c r="E17" s="208">
        <f>IFERROR(INDEX(阻害要因×年齢階層[#All],MATCH($M17,阻害要因×年齢階層[[#All],[値]],0),MATCH($O$3,阻害要因×年齢階層[#Headers],0)),0)</f>
        <v>517</v>
      </c>
      <c r="F17" s="209">
        <f t="shared" si="2"/>
        <v>0.39922779922779922</v>
      </c>
      <c r="G17" s="40">
        <f t="shared" si="3"/>
        <v>855</v>
      </c>
      <c r="H17" s="56" t="s">
        <v>168</v>
      </c>
      <c r="I17" s="60">
        <v>517</v>
      </c>
      <c r="J17" s="60">
        <v>338</v>
      </c>
      <c r="L17" s="23"/>
      <c r="M17" s="56" t="s">
        <v>168</v>
      </c>
    </row>
    <row r="18" spans="2:13" ht="18.75" customHeight="1" x14ac:dyDescent="0.15">
      <c r="B18" s="133" t="s">
        <v>40</v>
      </c>
      <c r="C18" s="208">
        <f>IFERROR(INDEX(阻害要因×年齢階層[#All],MATCH($M18,阻害要因×年齢階層[[#All],[値]],0),MATCH($N$3,阻害要因×年齢階層[#Headers],0)),0)</f>
        <v>472</v>
      </c>
      <c r="D18" s="209">
        <f t="shared" si="1"/>
        <v>0.46138807429130008</v>
      </c>
      <c r="E18" s="208">
        <f>IFERROR(INDEX(阻害要因×年齢階層[#All],MATCH($M18,阻害要因×年齢階層[[#All],[値]],0),MATCH($O$3,阻害要因×年齢階層[#Headers],0)),0)</f>
        <v>561</v>
      </c>
      <c r="F18" s="209">
        <f t="shared" si="2"/>
        <v>0.4332046332046332</v>
      </c>
      <c r="G18" s="40">
        <f t="shared" si="3"/>
        <v>1033</v>
      </c>
      <c r="H18" s="56" t="s">
        <v>169</v>
      </c>
      <c r="I18" s="60">
        <v>561</v>
      </c>
      <c r="J18" s="60">
        <v>472</v>
      </c>
      <c r="L18" s="23"/>
      <c r="M18" s="56" t="s">
        <v>169</v>
      </c>
    </row>
    <row r="19" spans="2:13" ht="18.75" customHeight="1" x14ac:dyDescent="0.15">
      <c r="B19" s="133" t="s">
        <v>41</v>
      </c>
      <c r="C19" s="208">
        <f>IFERROR(INDEX(阻害要因×年齢階層[#All],MATCH($M19,阻害要因×年齢階層[[#All],[値]],0),MATCH($N$3,阻害要因×年齢階層[#Headers],0)),0)</f>
        <v>331</v>
      </c>
      <c r="D19" s="212">
        <f t="shared" si="1"/>
        <v>0.32355816226783968</v>
      </c>
      <c r="E19" s="208">
        <f>IFERROR(INDEX(阻害要因×年齢階層[#All],MATCH($M19,阻害要因×年齢階層[[#All],[値]],0),MATCH($O$3,阻害要因×年齢階層[#Headers],0)),0)</f>
        <v>414</v>
      </c>
      <c r="F19" s="212">
        <f t="shared" si="2"/>
        <v>0.31969111969111969</v>
      </c>
      <c r="G19" s="40">
        <f t="shared" si="3"/>
        <v>745</v>
      </c>
      <c r="H19" s="56" t="s">
        <v>170</v>
      </c>
      <c r="I19" s="60">
        <v>414</v>
      </c>
      <c r="J19" s="60">
        <v>331</v>
      </c>
      <c r="M19" s="56" t="s">
        <v>170</v>
      </c>
    </row>
    <row r="20" spans="2:13" ht="18.75" customHeight="1" x14ac:dyDescent="0.15">
      <c r="B20" s="133" t="s">
        <v>42</v>
      </c>
      <c r="C20" s="208">
        <f>IFERROR(INDEX(阻害要因×年齢階層[#All],MATCH($M20,阻害要因×年齢階層[[#All],[値]],0),MATCH($N$3,阻害要因×年齢階層[#Headers],0)),0)</f>
        <v>126</v>
      </c>
      <c r="D20" s="209">
        <f t="shared" si="1"/>
        <v>0.12316715542521994</v>
      </c>
      <c r="E20" s="208">
        <f>IFERROR(INDEX(阻害要因×年齢階層[#All],MATCH($M20,阻害要因×年齢階層[[#All],[値]],0),MATCH($O$3,阻害要因×年齢階層[#Headers],0)),0)</f>
        <v>123</v>
      </c>
      <c r="F20" s="209">
        <f t="shared" si="2"/>
        <v>9.4980694980694974E-2</v>
      </c>
      <c r="G20" s="40">
        <f t="shared" si="3"/>
        <v>249</v>
      </c>
      <c r="H20" s="56" t="s">
        <v>171</v>
      </c>
      <c r="I20" s="60">
        <v>123</v>
      </c>
      <c r="J20" s="60">
        <v>126</v>
      </c>
      <c r="M20" s="56" t="s">
        <v>171</v>
      </c>
    </row>
    <row r="21" spans="2:13" ht="18.75" customHeight="1" x14ac:dyDescent="0.15">
      <c r="B21" s="133" t="s">
        <v>43</v>
      </c>
      <c r="C21" s="208">
        <f>IFERROR(INDEX(阻害要因×年齢階層[#All],MATCH($M21,阻害要因×年齢階層[[#All],[値]],0),MATCH($N$3,阻害要因×年齢階層[#Headers],0)),0)</f>
        <v>355</v>
      </c>
      <c r="D21" s="209">
        <f t="shared" si="1"/>
        <v>0.34701857282502446</v>
      </c>
      <c r="E21" s="208">
        <f>IFERROR(INDEX(阻害要因×年齢階層[#All],MATCH($M21,阻害要因×年齢階層[[#All],[値]],0),MATCH($O$3,阻害要因×年齢階層[#Headers],0)),0)</f>
        <v>492</v>
      </c>
      <c r="F21" s="209">
        <f t="shared" si="2"/>
        <v>0.3799227799227799</v>
      </c>
      <c r="G21" s="40">
        <f t="shared" si="3"/>
        <v>847</v>
      </c>
      <c r="H21" s="56" t="s">
        <v>172</v>
      </c>
      <c r="I21" s="60">
        <v>492</v>
      </c>
      <c r="J21" s="60">
        <v>355</v>
      </c>
      <c r="M21" s="56" t="s">
        <v>172</v>
      </c>
    </row>
    <row r="22" spans="2:13" ht="18.75" customHeight="1" x14ac:dyDescent="0.15">
      <c r="B22" s="133" t="s">
        <v>44</v>
      </c>
      <c r="C22" s="208">
        <f>IFERROR(INDEX(阻害要因×年齢階層[#All],MATCH($M22,阻害要因×年齢階層[[#All],[値]],0),MATCH($N$3,阻害要因×年齢階層[#Headers],0)),0)</f>
        <v>190</v>
      </c>
      <c r="D22" s="209">
        <f t="shared" si="1"/>
        <v>0.18572825024437928</v>
      </c>
      <c r="E22" s="208">
        <f>IFERROR(INDEX(阻害要因×年齢階層[#All],MATCH($M22,阻害要因×年齢階層[[#All],[値]],0),MATCH($O$3,阻害要因×年齢階層[#Headers],0)),0)</f>
        <v>235</v>
      </c>
      <c r="F22" s="209">
        <f t="shared" si="2"/>
        <v>0.18146718146718147</v>
      </c>
      <c r="G22" s="40">
        <f t="shared" si="3"/>
        <v>425</v>
      </c>
      <c r="H22" s="56" t="s">
        <v>173</v>
      </c>
      <c r="I22" s="60">
        <v>235</v>
      </c>
      <c r="J22" s="60">
        <v>190</v>
      </c>
      <c r="M22" s="56" t="s">
        <v>173</v>
      </c>
    </row>
    <row r="23" spans="2:13" ht="18.75" customHeight="1" x14ac:dyDescent="0.15">
      <c r="B23" s="133" t="s">
        <v>45</v>
      </c>
      <c r="C23" s="208">
        <f>IFERROR(INDEX(阻害要因×年齢階層[#All],MATCH($M23,阻害要因×年齢階層[[#All],[値]],0),MATCH($N$3,阻害要因×年齢階層[#Headers],0)),0)</f>
        <v>230</v>
      </c>
      <c r="D23" s="209">
        <f t="shared" si="1"/>
        <v>0.22482893450635386</v>
      </c>
      <c r="E23" s="208">
        <f>IFERROR(INDEX(阻害要因×年齢階層[#All],MATCH($M23,阻害要因×年齢階層[[#All],[値]],0),MATCH($O$3,阻害要因×年齢階層[#Headers],0)),0)</f>
        <v>287</v>
      </c>
      <c r="F23" s="209">
        <f t="shared" si="2"/>
        <v>0.22162162162162163</v>
      </c>
      <c r="G23" s="40">
        <f t="shared" si="3"/>
        <v>517</v>
      </c>
      <c r="H23" s="56" t="s">
        <v>174</v>
      </c>
      <c r="I23" s="60">
        <v>287</v>
      </c>
      <c r="J23" s="60">
        <v>230</v>
      </c>
      <c r="M23" s="56" t="s">
        <v>174</v>
      </c>
    </row>
    <row r="24" spans="2:13" ht="18.75" customHeight="1" x14ac:dyDescent="0.15">
      <c r="B24" s="133" t="s">
        <v>46</v>
      </c>
      <c r="C24" s="208">
        <f>IFERROR(INDEX(阻害要因×年齢階層[#All],MATCH($M24,阻害要因×年齢階層[[#All],[値]],0),MATCH($N$3,阻害要因×年齢階層[#Headers],0)),0)</f>
        <v>368</v>
      </c>
      <c r="D24" s="209">
        <f t="shared" si="1"/>
        <v>0.35972629521016619</v>
      </c>
      <c r="E24" s="208">
        <f>IFERROR(INDEX(阻害要因×年齢階層[#All],MATCH($M24,阻害要因×年齢階層[[#All],[値]],0),MATCH($O$3,阻害要因×年齢階層[#Headers],0)),0)</f>
        <v>488</v>
      </c>
      <c r="F24" s="209">
        <f t="shared" si="2"/>
        <v>0.37683397683397685</v>
      </c>
      <c r="G24" s="40">
        <f t="shared" si="3"/>
        <v>856</v>
      </c>
      <c r="H24" s="56" t="s">
        <v>175</v>
      </c>
      <c r="I24" s="60">
        <v>488</v>
      </c>
      <c r="J24" s="60">
        <v>368</v>
      </c>
      <c r="M24" s="56" t="s">
        <v>175</v>
      </c>
    </row>
    <row r="25" spans="2:13" ht="18.75" customHeight="1" x14ac:dyDescent="0.15">
      <c r="B25" s="133" t="s">
        <v>47</v>
      </c>
      <c r="C25" s="208">
        <f>IFERROR(INDEX(阻害要因×年齢階層[#All],MATCH($M25,阻害要因×年齢階層[[#All],[値]],0),MATCH($N$3,阻害要因×年齢階層[#Headers],0)),0)</f>
        <v>43</v>
      </c>
      <c r="D25" s="209">
        <f t="shared" si="1"/>
        <v>4.2033235581622676E-2</v>
      </c>
      <c r="E25" s="208">
        <f>IFERROR(INDEX(阻害要因×年齢階層[#All],MATCH($M25,阻害要因×年齢階層[[#All],[値]],0),MATCH($O$3,阻害要因×年齢階層[#Headers],0)),0)</f>
        <v>58</v>
      </c>
      <c r="F25" s="209">
        <f t="shared" si="2"/>
        <v>4.4787644787644784E-2</v>
      </c>
      <c r="G25" s="40">
        <f t="shared" si="3"/>
        <v>101</v>
      </c>
      <c r="H25" s="56" t="s">
        <v>176</v>
      </c>
      <c r="I25" s="60">
        <v>58</v>
      </c>
      <c r="J25" s="60">
        <v>43</v>
      </c>
      <c r="M25" s="56" t="s">
        <v>176</v>
      </c>
    </row>
    <row r="26" spans="2:13" ht="18.75" customHeight="1" x14ac:dyDescent="0.15">
      <c r="B26" s="133" t="s">
        <v>48</v>
      </c>
      <c r="C26" s="208">
        <f>IFERROR(INDEX(阻害要因×年齢階層[#All],MATCH($M26,阻害要因×年齢階層[[#All],[値]],0),MATCH($N$3,阻害要因×年齢階層[#Headers],0)),0)</f>
        <v>76</v>
      </c>
      <c r="D26" s="209">
        <f t="shared" si="1"/>
        <v>7.4291300097751714E-2</v>
      </c>
      <c r="E26" s="208">
        <f>IFERROR(INDEX(阻害要因×年齢階層[#All],MATCH($M26,阻害要因×年齢階層[[#All],[値]],0),MATCH($O$3,阻害要因×年齢階層[#Headers],0)),0)</f>
        <v>89</v>
      </c>
      <c r="F26" s="209">
        <f t="shared" si="2"/>
        <v>6.8725868725868722E-2</v>
      </c>
      <c r="G26" s="40">
        <f t="shared" si="3"/>
        <v>165</v>
      </c>
      <c r="H26" s="56" t="s">
        <v>177</v>
      </c>
      <c r="I26" s="60">
        <v>89</v>
      </c>
      <c r="J26" s="60">
        <v>76</v>
      </c>
      <c r="M26" s="56" t="s">
        <v>177</v>
      </c>
    </row>
    <row r="27" spans="2:13" ht="18.75" customHeight="1" x14ac:dyDescent="0.15">
      <c r="B27" s="133" t="s">
        <v>49</v>
      </c>
      <c r="C27" s="208">
        <f>IFERROR(INDEX(阻害要因×年齢階層[#All],MATCH($M27,阻害要因×年齢階層[[#All],[値]],0),MATCH($N$3,阻害要因×年齢階層[#Headers],0)),0)</f>
        <v>8</v>
      </c>
      <c r="D27" s="225">
        <f t="shared" si="1"/>
        <v>7.8201368523949169E-3</v>
      </c>
      <c r="E27" s="208">
        <f>IFERROR(INDEX(阻害要因×年齢階層[#All],MATCH($M27,阻害要因×年齢階層[[#All],[値]],0),MATCH($O$3,阻害要因×年齢階層[#Headers],0)),0)</f>
        <v>19</v>
      </c>
      <c r="F27" s="225">
        <f t="shared" si="2"/>
        <v>1.4671814671814672E-2</v>
      </c>
      <c r="G27" s="40">
        <f t="shared" si="3"/>
        <v>27</v>
      </c>
      <c r="H27" s="56" t="s">
        <v>178</v>
      </c>
      <c r="I27" s="60">
        <v>19</v>
      </c>
      <c r="J27" s="60">
        <v>8</v>
      </c>
      <c r="M27" s="56" t="s">
        <v>178</v>
      </c>
    </row>
    <row r="28" spans="2:13" ht="18.75" customHeight="1" x14ac:dyDescent="0.15">
      <c r="B28" s="133" t="s">
        <v>50</v>
      </c>
      <c r="C28" s="208">
        <f>IFERROR(INDEX(阻害要因×年齢階層[#All],MATCH($M28,阻害要因×年齢階層[[#All],[値]],0),MATCH($N$3,阻害要因×年齢階層[#Headers],0)),0)</f>
        <v>120</v>
      </c>
      <c r="D28" s="209">
        <f t="shared" si="1"/>
        <v>0.11730205278592376</v>
      </c>
      <c r="E28" s="208">
        <f>IFERROR(INDEX(阻害要因×年齢階層[#All],MATCH($M28,阻害要因×年齢階層[[#All],[値]],0),MATCH($O$3,阻害要因×年齢階層[#Headers],0)),0)</f>
        <v>131</v>
      </c>
      <c r="F28" s="209">
        <f t="shared" si="2"/>
        <v>0.10115830115830116</v>
      </c>
      <c r="G28" s="40">
        <f t="shared" si="3"/>
        <v>251</v>
      </c>
      <c r="H28" s="56" t="s">
        <v>179</v>
      </c>
      <c r="I28" s="60">
        <v>131</v>
      </c>
      <c r="J28" s="60">
        <v>120</v>
      </c>
      <c r="M28" s="56" t="s">
        <v>179</v>
      </c>
    </row>
    <row r="29" spans="2:13" ht="18.75" customHeight="1" x14ac:dyDescent="0.15">
      <c r="B29" s="133" t="s">
        <v>51</v>
      </c>
      <c r="C29" s="208">
        <f>IFERROR(INDEX(阻害要因×年齢階層[#All],MATCH($M29,阻害要因×年齢階層[[#All],[値]],0),MATCH($N$3,阻害要因×年齢階層[#Headers],0)),0)</f>
        <v>127</v>
      </c>
      <c r="D29" s="209">
        <f t="shared" si="1"/>
        <v>0.12414467253176931</v>
      </c>
      <c r="E29" s="208">
        <f>IFERROR(INDEX(阻害要因×年齢階層[#All],MATCH($M29,阻害要因×年齢階層[[#All],[値]],0),MATCH($O$3,阻害要因×年齢階層[#Headers],0)),0)</f>
        <v>166</v>
      </c>
      <c r="F29" s="209">
        <f t="shared" si="2"/>
        <v>0.12818532818532818</v>
      </c>
      <c r="G29" s="40">
        <f t="shared" si="3"/>
        <v>293</v>
      </c>
      <c r="H29" s="56" t="s">
        <v>180</v>
      </c>
      <c r="I29" s="60">
        <v>166</v>
      </c>
      <c r="J29" s="60">
        <v>127</v>
      </c>
      <c r="M29" s="56" t="s">
        <v>180</v>
      </c>
    </row>
    <row r="30" spans="2:13" ht="18.75" customHeight="1" x14ac:dyDescent="0.15">
      <c r="B30" s="133" t="s">
        <v>52</v>
      </c>
      <c r="C30" s="208">
        <f>IFERROR(INDEX(阻害要因×年齢階層[#All],MATCH($M30,阻害要因×年齢階層[[#All],[値]],0),MATCH($N$3,阻害要因×年齢階層[#Headers],0)),0)</f>
        <v>29</v>
      </c>
      <c r="D30" s="209">
        <f t="shared" si="1"/>
        <v>2.8347996089931573E-2</v>
      </c>
      <c r="E30" s="208">
        <f>IFERROR(INDEX(阻害要因×年齢階層[#All],MATCH($M30,阻害要因×年齢階層[[#All],[値]],0),MATCH($O$3,阻害要因×年齢階層[#Headers],0)),0)</f>
        <v>22</v>
      </c>
      <c r="F30" s="209">
        <f t="shared" si="2"/>
        <v>1.698841698841699E-2</v>
      </c>
      <c r="G30" s="40">
        <f t="shared" si="3"/>
        <v>51</v>
      </c>
      <c r="H30" s="56" t="s">
        <v>181</v>
      </c>
      <c r="I30" s="60">
        <v>22</v>
      </c>
      <c r="J30" s="60">
        <v>29</v>
      </c>
      <c r="M30" s="56" t="s">
        <v>181</v>
      </c>
    </row>
    <row r="31" spans="2:13" ht="18.75" customHeight="1" x14ac:dyDescent="0.15">
      <c r="B31" s="134" t="s">
        <v>53</v>
      </c>
      <c r="C31" s="211">
        <f>IFERROR(INDEX(阻害要因×年齢階層[#All],MATCH($M31,阻害要因×年齢階層[[#All],[値]],0),MATCH($N$3,阻害要因×年齢階層[#Headers],0)),0)</f>
        <v>83</v>
      </c>
      <c r="D31" s="213">
        <f t="shared" si="1"/>
        <v>8.113391984359726E-2</v>
      </c>
      <c r="E31" s="211">
        <f>IFERROR(INDEX(阻害要因×年齢階層[#All],MATCH($M31,阻害要因×年齢階層[[#All],[値]],0),MATCH($O$3,阻害要因×年齢階層[#Headers],0)),0)</f>
        <v>89</v>
      </c>
      <c r="F31" s="213">
        <f t="shared" si="2"/>
        <v>6.8725868725868722E-2</v>
      </c>
      <c r="G31" s="40">
        <f t="shared" si="3"/>
        <v>172</v>
      </c>
      <c r="H31" s="56" t="s">
        <v>182</v>
      </c>
      <c r="I31" s="60">
        <v>89</v>
      </c>
      <c r="J31" s="60">
        <v>83</v>
      </c>
      <c r="M31" s="56" t="s">
        <v>182</v>
      </c>
    </row>
    <row r="32" spans="2:13" ht="18.75" customHeight="1" x14ac:dyDescent="0.15">
      <c r="C32" s="226"/>
      <c r="D32" s="227"/>
      <c r="E32" s="226"/>
      <c r="F32" s="227"/>
      <c r="G32" s="40"/>
      <c r="H32" s="34"/>
    </row>
    <row r="33" spans="2:10" ht="18.75" customHeight="1" x14ac:dyDescent="0.15">
      <c r="B33" s="2" t="s">
        <v>87</v>
      </c>
      <c r="C33" s="226"/>
      <c r="D33" s="226"/>
      <c r="E33" s="226"/>
      <c r="F33" s="226"/>
      <c r="G33" s="40"/>
    </row>
    <row r="34" spans="2:10" ht="18.75" customHeight="1" thickBot="1" x14ac:dyDescent="0.2">
      <c r="B34" s="640" t="s">
        <v>241</v>
      </c>
      <c r="C34" s="657" t="s">
        <v>65</v>
      </c>
      <c r="D34" s="658"/>
      <c r="E34" s="658"/>
      <c r="F34" s="659"/>
      <c r="G34" s="40"/>
      <c r="H34" s="34" t="s">
        <v>63</v>
      </c>
      <c r="I34" s="43" t="s">
        <v>281</v>
      </c>
    </row>
    <row r="35" spans="2:10" ht="18.75" customHeight="1" thickTop="1" thickBot="1" x14ac:dyDescent="0.2">
      <c r="B35" s="641"/>
      <c r="C35" s="660" t="s">
        <v>268</v>
      </c>
      <c r="D35" s="661"/>
      <c r="E35" s="660" t="s">
        <v>266</v>
      </c>
      <c r="F35" s="661"/>
      <c r="G35" s="40"/>
      <c r="H35" s="503" t="s">
        <v>371</v>
      </c>
      <c r="I35" s="378" t="s">
        <v>307</v>
      </c>
      <c r="J35" s="378" t="s">
        <v>308</v>
      </c>
    </row>
    <row r="36" spans="2:10" ht="37.5" customHeight="1" thickTop="1" x14ac:dyDescent="0.15">
      <c r="B36" s="88" t="s">
        <v>232</v>
      </c>
      <c r="C36" s="205">
        <f>IFERROR(INDEX(退院予定有無×年齢階層＿寛解・院内寛解[#All],MATCH($M4,退院予定有無×年齢階層＿寛解・院内寛解[[#All],[行ラベル]],0),MATCH($N$3,退院予定有無×年齢階層＿寛解・院内寛解[#Headers],0)),0)</f>
        <v>332</v>
      </c>
      <c r="D36" s="206">
        <f>IFERROR(C36/C$39,"-")</f>
        <v>0.36165577342047928</v>
      </c>
      <c r="E36" s="205">
        <f>IFERROR(INDEX(退院予定有無×年齢階層＿寛解・院内寛解[#All],MATCH($M4,退院予定有無×年齢階層＿寛解・院内寛解[[#All],[行ラベル]],0),MATCH($O$3,退院予定有無×年齢階層＿寛解・院内寛解[#Headers],0)),0)</f>
        <v>376</v>
      </c>
      <c r="F36" s="207">
        <f>IFERROR(E36/E$39,"-")</f>
        <v>0.49473684210526314</v>
      </c>
      <c r="G36" s="40">
        <f>SUM(C36,E36)</f>
        <v>708</v>
      </c>
      <c r="H36" s="34">
        <v>97</v>
      </c>
      <c r="I36" s="60">
        <v>332</v>
      </c>
      <c r="J36" s="60">
        <v>376</v>
      </c>
    </row>
    <row r="37" spans="2:10" ht="18.75" customHeight="1" x14ac:dyDescent="0.15">
      <c r="B37" s="92" t="s">
        <v>242</v>
      </c>
      <c r="C37" s="208">
        <f>IFERROR(INDEX(退院予定有無×年齢階層＿寛解・院内寛解[#All],MATCH($M5,退院予定有無×年齢階層＿寛解・院内寛解[[#All],[行ラベル]],0),MATCH($N$3,退院予定有無×年齢階層＿寛解・院内寛解[#Headers],0)),0)</f>
        <v>103</v>
      </c>
      <c r="D37" s="209">
        <f>IFERROR(C37/C$39,"-")</f>
        <v>0.11220043572984749</v>
      </c>
      <c r="E37" s="208">
        <f>IFERROR(INDEX(退院予定有無×年齢階層＿寛解・院内寛解[#All],MATCH($M5,退院予定有無×年齢階層＿寛解・院内寛解[[#All],[行ラベル]],0),MATCH($O$3,退院予定有無×年齢階層＿寛解・院内寛解[#Headers],0)),0)</f>
        <v>83</v>
      </c>
      <c r="F37" s="210">
        <f>IFERROR(E37/E$39,"-")</f>
        <v>0.10921052631578948</v>
      </c>
      <c r="G37" s="40">
        <f t="shared" ref="G37:G39" si="4">SUM(C37,E37)</f>
        <v>186</v>
      </c>
      <c r="H37" s="34">
        <v>98</v>
      </c>
      <c r="I37" s="60">
        <v>103</v>
      </c>
      <c r="J37" s="60">
        <v>83</v>
      </c>
    </row>
    <row r="38" spans="2:10" ht="18.75" customHeight="1" x14ac:dyDescent="0.15">
      <c r="B38" s="123" t="s">
        <v>36</v>
      </c>
      <c r="C38" s="211">
        <f>IFERROR(INDEX(退院予定有無×年齢階層＿寛解・院内寛解[#All],MATCH($M6,退院予定有無×年齢階層＿寛解・院内寛解[[#All],[行ラベル]],0),MATCH($N$3,退院予定有無×年齢階層＿寛解・院内寛解[#Headers],0)),0)</f>
        <v>483</v>
      </c>
      <c r="D38" s="212">
        <f>IFERROR(C38/C$39,"-")</f>
        <v>0.52614379084967322</v>
      </c>
      <c r="E38" s="211">
        <f>IFERROR(INDEX(退院予定有無×年齢階層＿寛解・院内寛解[#All],MATCH($M6,退院予定有無×年齢階層＿寛解・院内寛解[[#All],[行ラベル]],0),MATCH($O$3,退院予定有無×年齢階層＿寛解・院内寛解[#Headers],0)),0)</f>
        <v>301</v>
      </c>
      <c r="F38" s="213">
        <f>IFERROR(E38/E$39,"-")</f>
        <v>0.39605263157894738</v>
      </c>
      <c r="G38" s="40">
        <f>SUM(C38,E38,K37)</f>
        <v>784</v>
      </c>
      <c r="H38" s="34">
        <v>99</v>
      </c>
      <c r="I38" s="60">
        <v>483</v>
      </c>
      <c r="J38" s="60">
        <v>301</v>
      </c>
    </row>
    <row r="39" spans="2:10" ht="18.75" customHeight="1" x14ac:dyDescent="0.15">
      <c r="B39" s="93" t="s">
        <v>162</v>
      </c>
      <c r="C39" s="214">
        <f t="shared" ref="C39:F39" si="5">SUM(C36:C38)</f>
        <v>918</v>
      </c>
      <c r="D39" s="215">
        <f t="shared" si="5"/>
        <v>1</v>
      </c>
      <c r="E39" s="216">
        <f>SUM(E36:E38)</f>
        <v>760</v>
      </c>
      <c r="F39" s="215">
        <f t="shared" si="5"/>
        <v>1</v>
      </c>
      <c r="G39" s="40">
        <f t="shared" si="4"/>
        <v>1678</v>
      </c>
      <c r="H39" s="34"/>
    </row>
    <row r="40" spans="2:10" ht="18.75" customHeight="1" thickBot="1" x14ac:dyDescent="0.2">
      <c r="B40" s="97"/>
      <c r="C40" s="217"/>
      <c r="D40" s="218"/>
      <c r="E40" s="219"/>
      <c r="F40" s="218"/>
      <c r="G40" s="40"/>
      <c r="H40" s="34"/>
    </row>
    <row r="41" spans="2:10" ht="18.75" customHeight="1" thickTop="1" thickBot="1" x14ac:dyDescent="0.2">
      <c r="B41" s="135" t="s">
        <v>240</v>
      </c>
      <c r="C41" s="651"/>
      <c r="D41" s="652"/>
      <c r="E41" s="652"/>
      <c r="F41" s="653"/>
      <c r="G41" s="40"/>
      <c r="H41" s="503" t="s">
        <v>371</v>
      </c>
      <c r="I41" s="378" t="s">
        <v>307</v>
      </c>
      <c r="J41" s="378" t="s">
        <v>308</v>
      </c>
    </row>
    <row r="42" spans="2:10" ht="18.75" customHeight="1" thickTop="1" x14ac:dyDescent="0.15">
      <c r="B42" s="102" t="s">
        <v>34</v>
      </c>
      <c r="C42" s="205">
        <f>IFERROR(INDEX(阻害要因有無×年齢階層＿寛解・院内寛解[#All],MATCH($M10,阻害要因有無×年齢階層＿寛解・院内寛解[[#All],[行ラベル]],0),MATCH($N$3,阻害要因有無×年齢階層＿寛解・院内寛解[#Headers],0)),0)</f>
        <v>301</v>
      </c>
      <c r="D42" s="207">
        <f>IFERROR(C42/C$36,"-")</f>
        <v>0.90662650602409633</v>
      </c>
      <c r="E42" s="205">
        <f>IFERROR(INDEX(阻害要因有無×年齢階層＿寛解・院内寛解[#All],MATCH($M10,阻害要因有無×年齢階層＿寛解・院内寛解[[#All],[行ラベル]],0),MATCH($O$3,阻害要因有無×年齢階層＿寛解・院内寛解[#Headers],0)),0)</f>
        <v>355</v>
      </c>
      <c r="F42" s="207">
        <f>IFERROR(E42/E$36,"-")</f>
        <v>0.94414893617021278</v>
      </c>
      <c r="G42" s="40">
        <f>SUM(C42,E42)</f>
        <v>656</v>
      </c>
      <c r="H42" s="34">
        <v>91</v>
      </c>
      <c r="I42" s="60">
        <v>301</v>
      </c>
      <c r="J42" s="60">
        <v>355</v>
      </c>
    </row>
    <row r="43" spans="2:10" ht="18.75" customHeight="1" x14ac:dyDescent="0.15">
      <c r="B43" s="92" t="s">
        <v>35</v>
      </c>
      <c r="C43" s="208">
        <f>IFERROR(INDEX(阻害要因有無×年齢階層＿寛解・院内寛解[#All],MATCH($M11,阻害要因有無×年齢階層＿寛解・院内寛解[[#All],[行ラベル]],0),MATCH($N$3,阻害要因有無×年齢階層＿寛解・院内寛解[#Headers],0)),0)</f>
        <v>31</v>
      </c>
      <c r="D43" s="209">
        <f>IFERROR(C43/C$36,"-")</f>
        <v>9.337349397590361E-2</v>
      </c>
      <c r="E43" s="208">
        <f>IFERROR(INDEX(阻害要因有無×年齢階層＿寛解・院内寛解[#All],MATCH($M11,阻害要因有無×年齢階層＿寛解・院内寛解[[#All],[行ラベル]],0),MATCH($O$3,阻害要因有無×年齢階層＿寛解・院内寛解[#Headers],0)),0)</f>
        <v>21</v>
      </c>
      <c r="F43" s="209">
        <f>IFERROR(E43/E$36,"-")</f>
        <v>5.5851063829787231E-2</v>
      </c>
      <c r="G43" s="40">
        <f t="shared" ref="G43" si="6">SUM(C43,E43)</f>
        <v>52</v>
      </c>
      <c r="H43" s="34">
        <v>90</v>
      </c>
      <c r="I43" s="60">
        <v>31</v>
      </c>
      <c r="J43" s="60">
        <v>21</v>
      </c>
    </row>
    <row r="44" spans="2:10" ht="18.75" customHeight="1" thickBot="1" x14ac:dyDescent="0.2">
      <c r="B44" s="103" t="s">
        <v>264</v>
      </c>
      <c r="C44" s="654"/>
      <c r="D44" s="655"/>
      <c r="E44" s="655"/>
      <c r="F44" s="656"/>
      <c r="G44" s="40"/>
    </row>
    <row r="45" spans="2:10" ht="21" customHeight="1" thickTop="1" thickBot="1" x14ac:dyDescent="0.2">
      <c r="B45" s="648" t="s">
        <v>275</v>
      </c>
      <c r="C45" s="649"/>
      <c r="D45" s="649"/>
      <c r="E45" s="649"/>
      <c r="F45" s="650"/>
      <c r="G45" s="40">
        <f t="shared" ref="G45:G62" si="7">SUM(C46,E46)</f>
        <v>217</v>
      </c>
      <c r="H45" s="503" t="s">
        <v>380</v>
      </c>
      <c r="I45" s="378" t="s">
        <v>308</v>
      </c>
      <c r="J45" s="378" t="s">
        <v>307</v>
      </c>
    </row>
    <row r="46" spans="2:10" ht="38.25" customHeight="1" thickTop="1" x14ac:dyDescent="0.15">
      <c r="B46" s="132" t="s">
        <v>236</v>
      </c>
      <c r="C46" s="208">
        <f>IFERROR(INDEX(阻害要因×年齢階層＿寛解・院内寛解[#All],MATCH($M14,阻害要因×年齢階層＿寛解・院内寛解[[#All],[値]],0),MATCH($N$3,阻害要因×年齢階層＿寛解・院内寛解[#Headers],0)),0)</f>
        <v>101</v>
      </c>
      <c r="D46" s="224">
        <f t="shared" ref="D46:D63" si="8">IFERROR(C46/C$42,"-")</f>
        <v>0.33554817275747506</v>
      </c>
      <c r="E46" s="223">
        <f>IFERROR(INDEX(阻害要因×年齢階層＿寛解・院内寛解[#All],MATCH($M14,阻害要因×年齢階層＿寛解・院内寛解[[#All],[値]],0),MATCH($O$3,阻害要因×年齢階層＿寛解・院内寛解[#Headers],0)),0)</f>
        <v>116</v>
      </c>
      <c r="F46" s="224">
        <f t="shared" ref="F46:F63" si="9">IFERROR(E46/E$42,"-")</f>
        <v>0.3267605633802817</v>
      </c>
      <c r="G46" s="40">
        <f t="shared" si="7"/>
        <v>144</v>
      </c>
      <c r="H46" s="56" t="s">
        <v>310</v>
      </c>
      <c r="I46" s="60">
        <v>116</v>
      </c>
      <c r="J46" s="60">
        <v>101</v>
      </c>
    </row>
    <row r="47" spans="2:10" ht="18.75" customHeight="1" x14ac:dyDescent="0.15">
      <c r="B47" s="133" t="s">
        <v>66</v>
      </c>
      <c r="C47" s="208">
        <f>IFERROR(INDEX(阻害要因×年齢階層＿寛解・院内寛解[#All],MATCH($M15,阻害要因×年齢階層＿寛解・院内寛解[[#All],[値]],0),MATCH($N$3,阻害要因×年齢階層＿寛解・院内寛解[#Headers],0)),0)</f>
        <v>75</v>
      </c>
      <c r="D47" s="225">
        <f t="shared" si="8"/>
        <v>0.24916943521594684</v>
      </c>
      <c r="E47" s="208">
        <f>IFERROR(INDEX(阻害要因×年齢階層＿寛解・院内寛解[#All],MATCH($M15,阻害要因×年齢階層＿寛解・院内寛解[[#All],[値]],0),MATCH($O$3,阻害要因×年齢階層＿寛解・院内寛解[#Headers],0)),0)</f>
        <v>69</v>
      </c>
      <c r="F47" s="225">
        <f t="shared" si="9"/>
        <v>0.19436619718309858</v>
      </c>
      <c r="G47" s="40">
        <f t="shared" si="7"/>
        <v>36</v>
      </c>
      <c r="H47" s="56" t="s">
        <v>311</v>
      </c>
      <c r="I47" s="60">
        <v>69</v>
      </c>
      <c r="J47" s="60">
        <v>75</v>
      </c>
    </row>
    <row r="48" spans="2:10" ht="18.75" customHeight="1" x14ac:dyDescent="0.15">
      <c r="B48" s="133" t="s">
        <v>38</v>
      </c>
      <c r="C48" s="208">
        <f>IFERROR(INDEX(阻害要因×年齢階層＿寛解・院内寛解[#All],MATCH($M16,阻害要因×年齢階層＿寛解・院内寛解[[#All],[値]],0),MATCH($N$3,阻害要因×年齢階層＿寛解・院内寛解[#Headers],0)),0)</f>
        <v>26</v>
      </c>
      <c r="D48" s="225">
        <f t="shared" si="8"/>
        <v>8.6378737541528236E-2</v>
      </c>
      <c r="E48" s="208">
        <f>IFERROR(INDEX(阻害要因×年齢階層＿寛解・院内寛解[#All],MATCH($M16,阻害要因×年齢階層＿寛解・院内寛解[[#All],[値]],0),MATCH($O$3,阻害要因×年齢階層＿寛解・院内寛解[#Headers],0)),0)</f>
        <v>10</v>
      </c>
      <c r="F48" s="225">
        <f t="shared" si="9"/>
        <v>2.8169014084507043E-2</v>
      </c>
      <c r="G48" s="40">
        <f t="shared" si="7"/>
        <v>240</v>
      </c>
      <c r="H48" s="56" t="s">
        <v>167</v>
      </c>
      <c r="I48" s="60">
        <v>10</v>
      </c>
      <c r="J48" s="60">
        <v>26</v>
      </c>
    </row>
    <row r="49" spans="2:10" ht="18.75" customHeight="1" x14ac:dyDescent="0.15">
      <c r="B49" s="133" t="s">
        <v>39</v>
      </c>
      <c r="C49" s="208">
        <f>IFERROR(INDEX(阻害要因×年齢階層＿寛解・院内寛解[#All],MATCH($M17,阻害要因×年齢階層＿寛解・院内寛解[[#All],[値]],0),MATCH($N$3,阻害要因×年齢階層＿寛解・院内寛解[#Headers],0)),0)</f>
        <v>101</v>
      </c>
      <c r="D49" s="225">
        <f t="shared" si="8"/>
        <v>0.33554817275747506</v>
      </c>
      <c r="E49" s="208">
        <f>IFERROR(INDEX(阻害要因×年齢階層＿寛解・院内寛解[#All],MATCH($M17,阻害要因×年齢階層＿寛解・院内寛解[[#All],[値]],0),MATCH($O$3,阻害要因×年齢階層＿寛解・院内寛解[#Headers],0)),0)</f>
        <v>139</v>
      </c>
      <c r="F49" s="225">
        <f t="shared" si="9"/>
        <v>0.39154929577464787</v>
      </c>
      <c r="G49" s="40">
        <f t="shared" si="7"/>
        <v>195</v>
      </c>
      <c r="H49" s="56" t="s">
        <v>168</v>
      </c>
      <c r="I49" s="60">
        <v>139</v>
      </c>
      <c r="J49" s="60">
        <v>101</v>
      </c>
    </row>
    <row r="50" spans="2:10" ht="18.75" customHeight="1" x14ac:dyDescent="0.15">
      <c r="B50" s="133" t="s">
        <v>40</v>
      </c>
      <c r="C50" s="208">
        <f>IFERROR(INDEX(阻害要因×年齢階層＿寛解・院内寛解[#All],MATCH($M18,阻害要因×年齢階層＿寛解・院内寛解[[#All],[値]],0),MATCH($N$3,阻害要因×年齢階層＿寛解・院内寛解[#Headers],0)),0)</f>
        <v>106</v>
      </c>
      <c r="D50" s="225">
        <f t="shared" si="8"/>
        <v>0.35215946843853818</v>
      </c>
      <c r="E50" s="208">
        <f>IFERROR(INDEX(阻害要因×年齢階層＿寛解・院内寛解[#All],MATCH($M18,阻害要因×年齢階層＿寛解・院内寛解[[#All],[値]],0),MATCH($O$3,阻害要因×年齢階層＿寛解・院内寛解[#Headers],0)),0)</f>
        <v>89</v>
      </c>
      <c r="F50" s="225">
        <f t="shared" si="9"/>
        <v>0.25070422535211268</v>
      </c>
      <c r="G50" s="40">
        <f t="shared" si="7"/>
        <v>214</v>
      </c>
      <c r="H50" s="56" t="s">
        <v>169</v>
      </c>
      <c r="I50" s="60">
        <v>89</v>
      </c>
      <c r="J50" s="60">
        <v>106</v>
      </c>
    </row>
    <row r="51" spans="2:10" ht="18.75" customHeight="1" x14ac:dyDescent="0.15">
      <c r="B51" s="133" t="s">
        <v>41</v>
      </c>
      <c r="C51" s="208">
        <f>IFERROR(INDEX(阻害要因×年齢階層＿寛解・院内寛解[#All],MATCH($M19,阻害要因×年齢階層＿寛解・院内寛解[[#All],[値]],0),MATCH($N$3,阻害要因×年齢階層＿寛解・院内寛解[#Headers],0)),0)</f>
        <v>102</v>
      </c>
      <c r="D51" s="225">
        <f t="shared" si="8"/>
        <v>0.33887043189368771</v>
      </c>
      <c r="E51" s="208">
        <f>IFERROR(INDEX(阻害要因×年齢階層＿寛解・院内寛解[#All],MATCH($M19,阻害要因×年齢階層＿寛解・院内寛解[[#All],[値]],0),MATCH($O$3,阻害要因×年齢階層＿寛解・院内寛解[#Headers],0)),0)</f>
        <v>112</v>
      </c>
      <c r="F51" s="225">
        <f t="shared" si="9"/>
        <v>0.3154929577464789</v>
      </c>
      <c r="G51" s="40">
        <f t="shared" si="7"/>
        <v>50</v>
      </c>
      <c r="H51" s="56" t="s">
        <v>170</v>
      </c>
      <c r="I51" s="60">
        <v>112</v>
      </c>
      <c r="J51" s="60">
        <v>102</v>
      </c>
    </row>
    <row r="52" spans="2:10" ht="18.75" customHeight="1" x14ac:dyDescent="0.15">
      <c r="B52" s="133" t="s">
        <v>42</v>
      </c>
      <c r="C52" s="208">
        <f>IFERROR(INDEX(阻害要因×年齢階層＿寛解・院内寛解[#All],MATCH($M20,阻害要因×年齢階層＿寛解・院内寛解[[#All],[値]],0),MATCH($N$3,阻害要因×年齢階層＿寛解・院内寛解[#Headers],0)),0)</f>
        <v>25</v>
      </c>
      <c r="D52" s="225">
        <f t="shared" si="8"/>
        <v>8.3056478405315617E-2</v>
      </c>
      <c r="E52" s="208">
        <f>IFERROR(INDEX(阻害要因×年齢階層＿寛解・院内寛解[#All],MATCH($M20,阻害要因×年齢階層＿寛解・院内寛解[[#All],[値]],0),MATCH($O$3,阻害要因×年齢階層＿寛解・院内寛解[#Headers],0)),0)</f>
        <v>25</v>
      </c>
      <c r="F52" s="225">
        <f t="shared" si="9"/>
        <v>7.0422535211267609E-2</v>
      </c>
      <c r="G52" s="40">
        <f t="shared" si="7"/>
        <v>180</v>
      </c>
      <c r="H52" s="56" t="s">
        <v>171</v>
      </c>
      <c r="I52" s="60">
        <v>25</v>
      </c>
      <c r="J52" s="60">
        <v>25</v>
      </c>
    </row>
    <row r="53" spans="2:10" ht="18.75" customHeight="1" x14ac:dyDescent="0.15">
      <c r="B53" s="133" t="s">
        <v>43</v>
      </c>
      <c r="C53" s="208">
        <f>IFERROR(INDEX(阻害要因×年齢階層＿寛解・院内寛解[#All],MATCH($M21,阻害要因×年齢階層＿寛解・院内寛解[[#All],[値]],0),MATCH($N$3,阻害要因×年齢階層＿寛解・院内寛解[#Headers],0)),0)</f>
        <v>97</v>
      </c>
      <c r="D53" s="225">
        <f t="shared" si="8"/>
        <v>0.32225913621262459</v>
      </c>
      <c r="E53" s="208">
        <f>IFERROR(INDEX(阻害要因×年齢階層＿寛解・院内寛解[#All],MATCH($M21,阻害要因×年齢階層＿寛解・院内寛解[[#All],[値]],0),MATCH($O$3,阻害要因×年齢階層＿寛解・院内寛解[#Headers],0)),0)</f>
        <v>83</v>
      </c>
      <c r="F53" s="225">
        <f t="shared" si="9"/>
        <v>0.23380281690140844</v>
      </c>
      <c r="G53" s="40">
        <f t="shared" si="7"/>
        <v>98</v>
      </c>
      <c r="H53" s="56" t="s">
        <v>172</v>
      </c>
      <c r="I53" s="60">
        <v>83</v>
      </c>
      <c r="J53" s="60">
        <v>97</v>
      </c>
    </row>
    <row r="54" spans="2:10" ht="18.75" customHeight="1" x14ac:dyDescent="0.15">
      <c r="B54" s="133" t="s">
        <v>44</v>
      </c>
      <c r="C54" s="208">
        <f>IFERROR(INDEX(阻害要因×年齢階層＿寛解・院内寛解[#All],MATCH($M22,阻害要因×年齢階層＿寛解・院内寛解[[#All],[値]],0),MATCH($N$3,阻害要因×年齢階層＿寛解・院内寛解[#Headers],0)),0)</f>
        <v>52</v>
      </c>
      <c r="D54" s="225">
        <f t="shared" si="8"/>
        <v>0.17275747508305647</v>
      </c>
      <c r="E54" s="208">
        <f>IFERROR(INDEX(阻害要因×年齢階層＿寛解・院内寛解[#All],MATCH($M22,阻害要因×年齢階層＿寛解・院内寛解[[#All],[値]],0),MATCH($O$3,阻害要因×年齢階層＿寛解・院内寛解[#Headers],0)),0)</f>
        <v>46</v>
      </c>
      <c r="F54" s="225">
        <f t="shared" si="9"/>
        <v>0.12957746478873239</v>
      </c>
      <c r="G54" s="40">
        <f t="shared" si="7"/>
        <v>155</v>
      </c>
      <c r="H54" s="56" t="s">
        <v>173</v>
      </c>
      <c r="I54" s="60">
        <v>46</v>
      </c>
      <c r="J54" s="60">
        <v>52</v>
      </c>
    </row>
    <row r="55" spans="2:10" ht="18.75" customHeight="1" x14ac:dyDescent="0.15">
      <c r="B55" s="133" t="s">
        <v>45</v>
      </c>
      <c r="C55" s="208">
        <f>IFERROR(INDEX(阻害要因×年齢階層＿寛解・院内寛解[#All],MATCH($M23,阻害要因×年齢階層＿寛解・院内寛解[[#All],[値]],0),MATCH($N$3,阻害要因×年齢階層＿寛解・院内寛解[#Headers],0)),0)</f>
        <v>66</v>
      </c>
      <c r="D55" s="225">
        <f t="shared" si="8"/>
        <v>0.21926910299003322</v>
      </c>
      <c r="E55" s="208">
        <f>IFERROR(INDEX(阻害要因×年齢階層＿寛解・院内寛解[#All],MATCH($M23,阻害要因×年齢階層＿寛解・院内寛解[[#All],[値]],0),MATCH($O$3,阻害要因×年齢階層＿寛解・院内寛解[#Headers],0)),0)</f>
        <v>89</v>
      </c>
      <c r="F55" s="225">
        <f t="shared" si="9"/>
        <v>0.25070422535211268</v>
      </c>
      <c r="G55" s="40">
        <f t="shared" si="7"/>
        <v>212</v>
      </c>
      <c r="H55" s="56" t="s">
        <v>174</v>
      </c>
      <c r="I55" s="60">
        <v>89</v>
      </c>
      <c r="J55" s="60">
        <v>66</v>
      </c>
    </row>
    <row r="56" spans="2:10" ht="18.75" customHeight="1" x14ac:dyDescent="0.15">
      <c r="B56" s="133" t="s">
        <v>46</v>
      </c>
      <c r="C56" s="208">
        <f>IFERROR(INDEX(阻害要因×年齢階層＿寛解・院内寛解[#All],MATCH($M24,阻害要因×年齢階層＿寛解・院内寛解[[#All],[値]],0),MATCH($N$3,阻害要因×年齢階層＿寛解・院内寛解[#Headers],0)),0)</f>
        <v>117</v>
      </c>
      <c r="D56" s="225">
        <f t="shared" si="8"/>
        <v>0.38870431893687707</v>
      </c>
      <c r="E56" s="208">
        <f>IFERROR(INDEX(阻害要因×年齢階層＿寛解・院内寛解[#All],MATCH($M24,阻害要因×年齢階層＿寛解・院内寛解[[#All],[値]],0),MATCH($O$3,阻害要因×年齢階層＿寛解・院内寛解[#Headers],0)),0)</f>
        <v>95</v>
      </c>
      <c r="F56" s="225">
        <f t="shared" si="9"/>
        <v>0.26760563380281688</v>
      </c>
      <c r="G56" s="40">
        <f t="shared" si="7"/>
        <v>42</v>
      </c>
      <c r="H56" s="56" t="s">
        <v>175</v>
      </c>
      <c r="I56" s="60">
        <v>95</v>
      </c>
      <c r="J56" s="60">
        <v>117</v>
      </c>
    </row>
    <row r="57" spans="2:10" ht="18.75" customHeight="1" x14ac:dyDescent="0.15">
      <c r="B57" s="133" t="s">
        <v>47</v>
      </c>
      <c r="C57" s="208">
        <f>IFERROR(INDEX(阻害要因×年齢階層＿寛解・院内寛解[#All],MATCH($M25,阻害要因×年齢階層＿寛解・院内寛解[[#All],[値]],0),MATCH($N$3,阻害要因×年齢階層＿寛解・院内寛解[#Headers],0)),0)</f>
        <v>17</v>
      </c>
      <c r="D57" s="225">
        <f t="shared" si="8"/>
        <v>5.647840531561462E-2</v>
      </c>
      <c r="E57" s="208">
        <f>IFERROR(INDEX(阻害要因×年齢階層＿寛解・院内寛解[#All],MATCH($M25,阻害要因×年齢階層＿寛解・院内寛解[[#All],[値]],0),MATCH($O$3,阻害要因×年齢階層＿寛解・院内寛解[#Headers],0)),0)</f>
        <v>25</v>
      </c>
      <c r="F57" s="225">
        <f t="shared" si="9"/>
        <v>7.0422535211267609E-2</v>
      </c>
      <c r="G57" s="40">
        <f t="shared" si="7"/>
        <v>43</v>
      </c>
      <c r="H57" s="56" t="s">
        <v>176</v>
      </c>
      <c r="I57" s="60">
        <v>25</v>
      </c>
      <c r="J57" s="60">
        <v>17</v>
      </c>
    </row>
    <row r="58" spans="2:10" ht="18.75" customHeight="1" x14ac:dyDescent="0.15">
      <c r="B58" s="133" t="s">
        <v>48</v>
      </c>
      <c r="C58" s="208">
        <f>IFERROR(INDEX(阻害要因×年齢階層＿寛解・院内寛解[#All],MATCH($M26,阻害要因×年齢階層＿寛解・院内寛解[[#All],[値]],0),MATCH($N$3,阻害要因×年齢階層＿寛解・院内寛解[#Headers],0)),0)</f>
        <v>19</v>
      </c>
      <c r="D58" s="225">
        <f t="shared" si="8"/>
        <v>6.3122923588039864E-2</v>
      </c>
      <c r="E58" s="208">
        <f>IFERROR(INDEX(阻害要因×年齢階層＿寛解・院内寛解[#All],MATCH($M26,阻害要因×年齢階層＿寛解・院内寛解[[#All],[値]],0),MATCH($O$3,阻害要因×年齢階層＿寛解・院内寛解[#Headers],0)),0)</f>
        <v>24</v>
      </c>
      <c r="F58" s="225">
        <f t="shared" si="9"/>
        <v>6.7605633802816895E-2</v>
      </c>
      <c r="G58" s="40">
        <f t="shared" si="7"/>
        <v>0</v>
      </c>
      <c r="H58" s="56" t="s">
        <v>177</v>
      </c>
      <c r="I58" s="60">
        <v>24</v>
      </c>
      <c r="J58" s="60">
        <v>19</v>
      </c>
    </row>
    <row r="59" spans="2:10" ht="18.75" customHeight="1" x14ac:dyDescent="0.15">
      <c r="B59" s="133" t="s">
        <v>49</v>
      </c>
      <c r="C59" s="208">
        <f>IFERROR(INDEX(阻害要因×年齢階層＿寛解・院内寛解[#All],MATCH($M27,阻害要因×年齢階層＿寛解・院内寛解[[#All],[値]],0),MATCH($N$3,阻害要因×年齢階層＿寛解・院内寛解[#Headers],0)),0)</f>
        <v>0</v>
      </c>
      <c r="D59" s="225">
        <f t="shared" si="8"/>
        <v>0</v>
      </c>
      <c r="E59" s="208">
        <f>IFERROR(INDEX(阻害要因×年齢階層＿寛解・院内寛解[#All],MATCH($M27,阻害要因×年齢階層＿寛解・院内寛解[[#All],[値]],0),MATCH($O$3,阻害要因×年齢階層＿寛解・院内寛解[#Headers],0)),0)</f>
        <v>0</v>
      </c>
      <c r="F59" s="225">
        <f t="shared" si="9"/>
        <v>0</v>
      </c>
      <c r="G59" s="40">
        <f t="shared" si="7"/>
        <v>63</v>
      </c>
      <c r="H59" s="56" t="s">
        <v>178</v>
      </c>
      <c r="I59" s="60">
        <v>0</v>
      </c>
      <c r="J59" s="60">
        <v>0</v>
      </c>
    </row>
    <row r="60" spans="2:10" ht="18.75" customHeight="1" x14ac:dyDescent="0.15">
      <c r="B60" s="133" t="s">
        <v>50</v>
      </c>
      <c r="C60" s="208">
        <f>IFERROR(INDEX(阻害要因×年齢階層＿寛解・院内寛解[#All],MATCH($M28,阻害要因×年齢階層＿寛解・院内寛解[[#All],[値]],0),MATCH($N$3,阻害要因×年齢階層＿寛解・院内寛解[#Headers],0)),0)</f>
        <v>39</v>
      </c>
      <c r="D60" s="225">
        <f t="shared" si="8"/>
        <v>0.12956810631229235</v>
      </c>
      <c r="E60" s="208">
        <f>IFERROR(INDEX(阻害要因×年齢階層＿寛解・院内寛解[#All],MATCH($M28,阻害要因×年齢階層＿寛解・院内寛解[[#All],[値]],0),MATCH($O$3,阻害要因×年齢階層＿寛解・院内寛解[#Headers],0)),0)</f>
        <v>24</v>
      </c>
      <c r="F60" s="225">
        <f t="shared" si="9"/>
        <v>6.7605633802816895E-2</v>
      </c>
      <c r="G60" s="40">
        <f t="shared" si="7"/>
        <v>73</v>
      </c>
      <c r="H60" s="56" t="s">
        <v>179</v>
      </c>
      <c r="I60" s="60">
        <v>24</v>
      </c>
      <c r="J60" s="60">
        <v>39</v>
      </c>
    </row>
    <row r="61" spans="2:10" ht="18.75" customHeight="1" x14ac:dyDescent="0.15">
      <c r="B61" s="133" t="s">
        <v>51</v>
      </c>
      <c r="C61" s="208">
        <f>IFERROR(INDEX(阻害要因×年齢階層＿寛解・院内寛解[#All],MATCH($M29,阻害要因×年齢階層＿寛解・院内寛解[[#All],[値]],0),MATCH($N$3,阻害要因×年齢階層＿寛解・院内寛解[#Headers],0)),0)</f>
        <v>36</v>
      </c>
      <c r="D61" s="225">
        <f t="shared" si="8"/>
        <v>0.11960132890365449</v>
      </c>
      <c r="E61" s="208">
        <f>IFERROR(INDEX(阻害要因×年齢階層＿寛解・院内寛解[#All],MATCH($M29,阻害要因×年齢階層＿寛解・院内寛解[[#All],[値]],0),MATCH($O$3,阻害要因×年齢階層＿寛解・院内寛解[#Headers],0)),0)</f>
        <v>37</v>
      </c>
      <c r="F61" s="225">
        <f t="shared" si="9"/>
        <v>0.10422535211267606</v>
      </c>
      <c r="G61" s="40">
        <f t="shared" si="7"/>
        <v>24</v>
      </c>
      <c r="H61" s="56" t="s">
        <v>180</v>
      </c>
      <c r="I61" s="60">
        <v>37</v>
      </c>
      <c r="J61" s="60">
        <v>36</v>
      </c>
    </row>
    <row r="62" spans="2:10" ht="18.75" customHeight="1" x14ac:dyDescent="0.15">
      <c r="B62" s="133" t="s">
        <v>52</v>
      </c>
      <c r="C62" s="208">
        <f>IFERROR(INDEX(阻害要因×年齢階層＿寛解・院内寛解[#All],MATCH($M30,阻害要因×年齢階層＿寛解・院内寛解[[#All],[値]],0),MATCH($N$3,阻害要因×年齢階層＿寛解・院内寛解[#Headers],0)),0)</f>
        <v>12</v>
      </c>
      <c r="D62" s="225">
        <f t="shared" si="8"/>
        <v>3.9867109634551492E-2</v>
      </c>
      <c r="E62" s="208">
        <f>IFERROR(INDEX(阻害要因×年齢階層＿寛解・院内寛解[#All],MATCH($M30,阻害要因×年齢階層＿寛解・院内寛解[[#All],[値]],0),MATCH($O$3,阻害要因×年齢階層＿寛解・院内寛解[#Headers],0)),0)</f>
        <v>12</v>
      </c>
      <c r="F62" s="225">
        <f t="shared" si="9"/>
        <v>3.3802816901408447E-2</v>
      </c>
      <c r="G62" s="40">
        <f t="shared" si="7"/>
        <v>31</v>
      </c>
      <c r="H62" s="56" t="s">
        <v>181</v>
      </c>
      <c r="I62" s="60">
        <v>12</v>
      </c>
      <c r="J62" s="60">
        <v>12</v>
      </c>
    </row>
    <row r="63" spans="2:10" x14ac:dyDescent="0.15">
      <c r="B63" s="134" t="s">
        <v>53</v>
      </c>
      <c r="C63" s="211">
        <f>IFERROR(INDEX(阻害要因×年齢階層＿寛解・院内寛解[#All],MATCH($M31,阻害要因×年齢階層＿寛解・院内寛解[[#All],[値]],0),MATCH($N$3,阻害要因×年齢階層＿寛解・院内寛解[#Headers],0)),0)</f>
        <v>18</v>
      </c>
      <c r="D63" s="213">
        <f t="shared" si="8"/>
        <v>5.9800664451827246E-2</v>
      </c>
      <c r="E63" s="211">
        <f>IFERROR(INDEX(阻害要因×年齢階層＿寛解・院内寛解[#All],MATCH($M31,阻害要因×年齢階層＿寛解・院内寛解[[#All],[値]],0),MATCH($O$3,阻害要因×年齢階層＿寛解・院内寛解[#Headers],0)),0)</f>
        <v>13</v>
      </c>
      <c r="F63" s="213">
        <f t="shared" si="9"/>
        <v>3.6619718309859155E-2</v>
      </c>
      <c r="H63" s="56" t="s">
        <v>182</v>
      </c>
      <c r="I63" s="60">
        <v>13</v>
      </c>
      <c r="J63" s="60">
        <v>18</v>
      </c>
    </row>
  </sheetData>
  <mergeCells count="13">
    <mergeCell ref="B45:F45"/>
    <mergeCell ref="C41:F41"/>
    <mergeCell ref="C44:F44"/>
    <mergeCell ref="C12:F12"/>
    <mergeCell ref="B34:B35"/>
    <mergeCell ref="C34:F34"/>
    <mergeCell ref="C35:D35"/>
    <mergeCell ref="E35:F35"/>
    <mergeCell ref="B2:B3"/>
    <mergeCell ref="C2:F2"/>
    <mergeCell ref="C3:D3"/>
    <mergeCell ref="E3:F3"/>
    <mergeCell ref="B13:F13"/>
  </mergeCells>
  <phoneticPr fontId="2"/>
  <printOptions horizontalCentered="1"/>
  <pageMargins left="0.70866141732283472" right="0.70866141732283472" top="0.74803149606299213" bottom="0.74803149606299213" header="0.31496062992125984" footer="0.31496062992125984"/>
  <pageSetup paperSize="9" fitToHeight="0" orientation="portrait" r:id="rId1"/>
  <rowBreaks count="1" manualBreakCount="1">
    <brk id="32" min="1" max="5" man="1"/>
  </rowBreaks>
  <drawing r:id="rId2"/>
  <legacyDrawing r:id="rId3"/>
  <mc:AlternateContent xmlns:mc="http://schemas.openxmlformats.org/markup-compatibility/2006">
    <mc:Choice Requires="x14">
      <controls>
        <mc:AlternateContent xmlns:mc="http://schemas.openxmlformats.org/markup-compatibility/2006">
          <mc:Choice Requires="x14">
            <control shapeId="23554" r:id="rId4" name="Button 2">
              <controlPr defaultSize="0" print="0" autoFill="0" autoPict="0" macro="[0]!データ削除18">
                <anchor moveWithCells="1" sizeWithCells="1">
                  <from>
                    <xdr:col>10</xdr:col>
                    <xdr:colOff>133350</xdr:colOff>
                    <xdr:row>2</xdr:row>
                    <xdr:rowOff>9525</xdr:rowOff>
                  </from>
                  <to>
                    <xdr:col>12</xdr:col>
                    <xdr:colOff>9525</xdr:colOff>
                    <xdr:row>3</xdr:row>
                    <xdr:rowOff>285750</xdr:rowOff>
                  </to>
                </anchor>
              </controlPr>
            </control>
          </mc:Choice>
        </mc:AlternateContent>
      </controls>
    </mc:Choice>
  </mc:AlternateContent>
  <tableParts count="6">
    <tablePart r:id="rId5"/>
    <tablePart r:id="rId6"/>
    <tablePart r:id="rId7"/>
    <tablePart r:id="rId8"/>
    <tablePart r:id="rId9"/>
    <tablePart r:id="rId10"/>
  </tablePar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theme="6" tint="-0.249977111117893"/>
    <pageSetUpPr fitToPage="1"/>
  </sheetPr>
  <dimension ref="A1:T49"/>
  <sheetViews>
    <sheetView view="pageBreakPreview" zoomScale="90" zoomScaleNormal="100" zoomScaleSheetLayoutView="90" workbookViewId="0">
      <selection activeCell="T1" sqref="K1:T1048576"/>
    </sheetView>
  </sheetViews>
  <sheetFormatPr defaultColWidth="13.75" defaultRowHeight="18.75" x14ac:dyDescent="0.15"/>
  <cols>
    <col min="1" max="1" width="14.75" style="1" customWidth="1"/>
    <col min="2" max="3" width="9.375" style="1" customWidth="1"/>
    <col min="4" max="4" width="4.125" style="1" customWidth="1"/>
    <col min="5" max="5" width="14.75" style="1" customWidth="1"/>
    <col min="6" max="9" width="9.375" style="1" customWidth="1"/>
    <col min="10" max="10" width="13.75" style="1"/>
    <col min="11" max="20" width="0" style="1" hidden="1" customWidth="1"/>
    <col min="21" max="16384" width="13.75" style="1"/>
  </cols>
  <sheetData>
    <row r="1" spans="1:20" s="3" customFormat="1" ht="19.5" x14ac:dyDescent="0.15">
      <c r="A1" s="2" t="s">
        <v>113</v>
      </c>
    </row>
    <row r="2" spans="1:20" x14ac:dyDescent="0.15">
      <c r="A2" s="4"/>
      <c r="K2" s="56" t="s">
        <v>63</v>
      </c>
    </row>
    <row r="3" spans="1:20" s="3" customFormat="1" ht="20.25" thickBot="1" x14ac:dyDescent="0.2">
      <c r="A3" s="5" t="s">
        <v>13</v>
      </c>
      <c r="B3" s="6"/>
      <c r="C3" s="6"/>
      <c r="E3" s="5" t="s">
        <v>114</v>
      </c>
      <c r="F3" s="6"/>
      <c r="G3" s="6"/>
      <c r="H3" s="6"/>
      <c r="I3" s="6"/>
      <c r="K3" s="388" t="s">
        <v>299</v>
      </c>
      <c r="L3" s="494" t="s">
        <v>363</v>
      </c>
      <c r="N3" s="388" t="s">
        <v>299</v>
      </c>
      <c r="O3" s="495" t="s">
        <v>277</v>
      </c>
      <c r="P3" s="388" t="s">
        <v>299</v>
      </c>
      <c r="Q3" s="495" t="s">
        <v>278</v>
      </c>
    </row>
    <row r="4" spans="1:20" ht="18.75" customHeight="1" thickTop="1" thickBot="1" x14ac:dyDescent="0.2">
      <c r="A4" s="258"/>
      <c r="B4" s="258" t="s">
        <v>0</v>
      </c>
      <c r="C4" s="258" t="s">
        <v>1</v>
      </c>
      <c r="E4" s="258"/>
      <c r="F4" s="258" t="s">
        <v>116</v>
      </c>
      <c r="G4" s="258" t="s">
        <v>118</v>
      </c>
      <c r="H4" s="258" t="s">
        <v>12</v>
      </c>
      <c r="I4" s="258" t="s">
        <v>1</v>
      </c>
      <c r="K4" s="431" t="s">
        <v>371</v>
      </c>
      <c r="L4" s="436" t="s">
        <v>372</v>
      </c>
      <c r="M4" s="437"/>
      <c r="N4" s="431" t="s">
        <v>371</v>
      </c>
      <c r="O4" s="436" t="s">
        <v>372</v>
      </c>
      <c r="P4" s="431" t="s">
        <v>371</v>
      </c>
      <c r="Q4" s="436" t="s">
        <v>372</v>
      </c>
    </row>
    <row r="5" spans="1:20" ht="18.75" customHeight="1" thickTop="1" x14ac:dyDescent="0.15">
      <c r="A5" s="299" t="s">
        <v>2</v>
      </c>
      <c r="B5" s="300">
        <f>IFERROR(VLOOKUP($A5,年齢区分[#All],2,FALSE),0)</f>
        <v>125</v>
      </c>
      <c r="C5" s="301">
        <f>IFERROR(B5/B$14,"-")</f>
        <v>7.9846694346854038E-3</v>
      </c>
      <c r="E5" s="299" t="s">
        <v>2</v>
      </c>
      <c r="F5" s="300">
        <f>IFERROR(VLOOKUP($A5,年齢区分＿寛解[#All],2,FALSE),0)</f>
        <v>10</v>
      </c>
      <c r="G5" s="300">
        <f>IFERROR(VLOOKUP($A5,年齢区分＿院内寛解[#All],2,FALSE),0)</f>
        <v>23</v>
      </c>
      <c r="H5" s="259">
        <f>SUM(F5:G5)</f>
        <v>33</v>
      </c>
      <c r="I5" s="301">
        <f>IFERROR(H5/H$14,"-")</f>
        <v>1.9666269368295589E-2</v>
      </c>
      <c r="J5" s="9"/>
      <c r="K5" s="496" t="s">
        <v>2</v>
      </c>
      <c r="L5" s="401">
        <v>125</v>
      </c>
      <c r="M5" s="438"/>
      <c r="N5" s="496" t="s">
        <v>2</v>
      </c>
      <c r="O5" s="401">
        <v>10</v>
      </c>
      <c r="P5" s="496" t="s">
        <v>2</v>
      </c>
      <c r="Q5" s="401">
        <v>23</v>
      </c>
      <c r="R5" s="9"/>
      <c r="S5" s="9"/>
      <c r="T5" s="9"/>
    </row>
    <row r="6" spans="1:20" ht="18.75" customHeight="1" x14ac:dyDescent="0.15">
      <c r="A6" s="299" t="s">
        <v>3</v>
      </c>
      <c r="B6" s="300">
        <f>IFERROR(VLOOKUP($A6,年齢区分[#All],2,FALSE),0)</f>
        <v>318</v>
      </c>
      <c r="C6" s="301">
        <f>IFERROR(B6/B$14,"-")</f>
        <v>2.0312999041839669E-2</v>
      </c>
      <c r="E6" s="299" t="s">
        <v>3</v>
      </c>
      <c r="F6" s="300">
        <f>IFERROR(VLOOKUP($A6,年齢区分＿寛解[#All],2,FALSE),0)</f>
        <v>11</v>
      </c>
      <c r="G6" s="300">
        <f>IFERROR(VLOOKUP($A6,年齢区分＿院内寛解[#All],2,FALSE),0)</f>
        <v>50</v>
      </c>
      <c r="H6" s="259">
        <f t="shared" ref="H6:H16" si="0">SUM(F6:G6)</f>
        <v>61</v>
      </c>
      <c r="I6" s="301">
        <f t="shared" ref="I6:I13" si="1">IFERROR(H6/H$14,"-")</f>
        <v>3.635280095351609E-2</v>
      </c>
      <c r="J6" s="12"/>
      <c r="K6" s="432" t="s">
        <v>3</v>
      </c>
      <c r="L6" s="401">
        <v>318</v>
      </c>
      <c r="M6" s="439"/>
      <c r="N6" s="432" t="s">
        <v>3</v>
      </c>
      <c r="O6" s="401">
        <v>11</v>
      </c>
      <c r="P6" s="432" t="s">
        <v>3</v>
      </c>
      <c r="Q6" s="401">
        <v>50</v>
      </c>
      <c r="R6" s="9"/>
      <c r="S6" s="9"/>
      <c r="T6" s="9"/>
    </row>
    <row r="7" spans="1:20" ht="18.75" customHeight="1" x14ac:dyDescent="0.15">
      <c r="A7" s="299" t="s">
        <v>4</v>
      </c>
      <c r="B7" s="300">
        <f>IFERROR(VLOOKUP($A7,年齢区分[#All],2,FALSE),0)</f>
        <v>669</v>
      </c>
      <c r="C7" s="301">
        <f t="shared" ref="C7:C13" si="2">IFERROR(B7/B$14,"-")</f>
        <v>4.2733950814436282E-2</v>
      </c>
      <c r="E7" s="299" t="s">
        <v>4</v>
      </c>
      <c r="F7" s="300">
        <f>IFERROR(VLOOKUP($A7,年齢区分＿寛解[#All],2,FALSE),0)</f>
        <v>42</v>
      </c>
      <c r="G7" s="300">
        <f>IFERROR(VLOOKUP($A7,年齢区分＿院内寛解[#All],2,FALSE),0)</f>
        <v>75</v>
      </c>
      <c r="H7" s="259">
        <f t="shared" si="0"/>
        <v>117</v>
      </c>
      <c r="I7" s="301">
        <f t="shared" si="1"/>
        <v>6.9725864123957093E-2</v>
      </c>
      <c r="J7" s="12"/>
      <c r="K7" s="432" t="s">
        <v>4</v>
      </c>
      <c r="L7" s="401">
        <v>669</v>
      </c>
      <c r="M7" s="439"/>
      <c r="N7" s="432" t="s">
        <v>4</v>
      </c>
      <c r="O7" s="401">
        <v>42</v>
      </c>
      <c r="P7" s="432" t="s">
        <v>4</v>
      </c>
      <c r="Q7" s="401">
        <v>75</v>
      </c>
      <c r="R7" s="9"/>
      <c r="S7" s="9"/>
      <c r="T7" s="9"/>
    </row>
    <row r="8" spans="1:20" ht="18.75" customHeight="1" x14ac:dyDescent="0.15">
      <c r="A8" s="299" t="s">
        <v>5</v>
      </c>
      <c r="B8" s="300">
        <f>IFERROR(VLOOKUP($A8,年齢区分[#All],2,FALSE),0)</f>
        <v>1516</v>
      </c>
      <c r="C8" s="301">
        <f t="shared" si="2"/>
        <v>9.6838070903864579E-2</v>
      </c>
      <c r="E8" s="299" t="s">
        <v>5</v>
      </c>
      <c r="F8" s="300">
        <f>IFERROR(VLOOKUP($A8,年齢区分＿寛解[#All],2,FALSE),0)</f>
        <v>53</v>
      </c>
      <c r="G8" s="300">
        <f>IFERROR(VLOOKUP($A8,年齢区分＿院内寛解[#All],2,FALSE),0)</f>
        <v>174</v>
      </c>
      <c r="H8" s="259">
        <f t="shared" si="0"/>
        <v>227</v>
      </c>
      <c r="I8" s="301">
        <f t="shared" si="1"/>
        <v>0.13528009535160906</v>
      </c>
      <c r="J8" s="9"/>
      <c r="K8" s="432" t="s">
        <v>5</v>
      </c>
      <c r="L8" s="401">
        <v>1516</v>
      </c>
      <c r="M8" s="440"/>
      <c r="N8" s="432" t="s">
        <v>5</v>
      </c>
      <c r="O8" s="401">
        <v>53</v>
      </c>
      <c r="P8" s="432" t="s">
        <v>5</v>
      </c>
      <c r="Q8" s="401">
        <v>174</v>
      </c>
      <c r="R8" s="9"/>
      <c r="S8" s="9"/>
      <c r="T8" s="9"/>
    </row>
    <row r="9" spans="1:20" ht="18.75" customHeight="1" x14ac:dyDescent="0.15">
      <c r="A9" s="299" t="s">
        <v>6</v>
      </c>
      <c r="B9" s="300">
        <f>IFERROR(VLOOKUP($A9,年齢区分[#All],2,FALSE),0)</f>
        <v>2456</v>
      </c>
      <c r="C9" s="301">
        <f t="shared" si="2"/>
        <v>0.15688278505269881</v>
      </c>
      <c r="E9" s="299" t="s">
        <v>6</v>
      </c>
      <c r="F9" s="300">
        <f>IFERROR(VLOOKUP($A9,年齢区分＿寛解[#All],2,FALSE),0)</f>
        <v>67</v>
      </c>
      <c r="G9" s="300">
        <f>IFERROR(VLOOKUP($A9,年齢区分＿院内寛解[#All],2,FALSE),0)</f>
        <v>252</v>
      </c>
      <c r="H9" s="259">
        <f t="shared" si="0"/>
        <v>319</v>
      </c>
      <c r="I9" s="301">
        <f t="shared" si="1"/>
        <v>0.19010727056019069</v>
      </c>
      <c r="J9" s="9"/>
      <c r="K9" s="432" t="s">
        <v>6</v>
      </c>
      <c r="L9" s="401">
        <v>2456</v>
      </c>
      <c r="M9" s="440"/>
      <c r="N9" s="432" t="s">
        <v>6</v>
      </c>
      <c r="O9" s="401">
        <v>67</v>
      </c>
      <c r="P9" s="432" t="s">
        <v>6</v>
      </c>
      <c r="Q9" s="401">
        <v>252</v>
      </c>
      <c r="R9" s="9"/>
      <c r="S9" s="9"/>
      <c r="T9" s="9"/>
    </row>
    <row r="10" spans="1:20" ht="18.75" customHeight="1" x14ac:dyDescent="0.15">
      <c r="A10" s="299" t="s">
        <v>7</v>
      </c>
      <c r="B10" s="300">
        <f>IFERROR(VLOOKUP($A10,年齢区分[#All],2,FALSE),0)</f>
        <v>2806</v>
      </c>
      <c r="C10" s="301">
        <f t="shared" si="2"/>
        <v>0.17923985946981794</v>
      </c>
      <c r="E10" s="299" t="s">
        <v>7</v>
      </c>
      <c r="F10" s="300">
        <f>IFERROR(VLOOKUP($A10,年齢区分＿寛解[#All],2,FALSE),0)</f>
        <v>64</v>
      </c>
      <c r="G10" s="300">
        <f>IFERROR(VLOOKUP($A10,年齢区分＿院内寛解[#All],2,FALSE),0)</f>
        <v>254</v>
      </c>
      <c r="H10" s="259">
        <f t="shared" si="0"/>
        <v>318</v>
      </c>
      <c r="I10" s="301">
        <f t="shared" si="1"/>
        <v>0.18951132300357568</v>
      </c>
      <c r="J10" s="9"/>
      <c r="K10" s="432" t="s">
        <v>7</v>
      </c>
      <c r="L10" s="401">
        <v>2806</v>
      </c>
      <c r="M10" s="440"/>
      <c r="N10" s="432" t="s">
        <v>7</v>
      </c>
      <c r="O10" s="401">
        <v>64</v>
      </c>
      <c r="P10" s="432" t="s">
        <v>7</v>
      </c>
      <c r="Q10" s="401">
        <v>254</v>
      </c>
      <c r="R10" s="9"/>
      <c r="S10" s="9"/>
      <c r="T10" s="9"/>
    </row>
    <row r="11" spans="1:20" ht="18.75" customHeight="1" x14ac:dyDescent="0.15">
      <c r="A11" s="299" t="s">
        <v>8</v>
      </c>
      <c r="B11" s="300">
        <f>IFERROR(VLOOKUP($A11,年齢区分[#All],2,FALSE),0)</f>
        <v>4025</v>
      </c>
      <c r="C11" s="301">
        <f t="shared" si="2"/>
        <v>0.25710635579687002</v>
      </c>
      <c r="E11" s="299" t="s">
        <v>8</v>
      </c>
      <c r="F11" s="300">
        <f>IFERROR(VLOOKUP($A11,年齢区分＿寛解[#All],2,FALSE),0)</f>
        <v>70</v>
      </c>
      <c r="G11" s="300">
        <f>IFERROR(VLOOKUP($A11,年齢区分＿院内寛解[#All],2,FALSE),0)</f>
        <v>287</v>
      </c>
      <c r="H11" s="259">
        <f t="shared" si="0"/>
        <v>357</v>
      </c>
      <c r="I11" s="301">
        <f t="shared" si="1"/>
        <v>0.21275327771156138</v>
      </c>
      <c r="J11" s="9"/>
      <c r="K11" s="432" t="s">
        <v>8</v>
      </c>
      <c r="L11" s="401">
        <v>4025</v>
      </c>
      <c r="M11" s="440"/>
      <c r="N11" s="432" t="s">
        <v>8</v>
      </c>
      <c r="O11" s="401">
        <v>70</v>
      </c>
      <c r="P11" s="432" t="s">
        <v>8</v>
      </c>
      <c r="Q11" s="401">
        <v>287</v>
      </c>
      <c r="R11" s="9"/>
      <c r="S11" s="9"/>
      <c r="T11" s="9"/>
    </row>
    <row r="12" spans="1:20" ht="18.75" customHeight="1" x14ac:dyDescent="0.15">
      <c r="A12" s="299" t="s">
        <v>9</v>
      </c>
      <c r="B12" s="300">
        <f>IFERROR(VLOOKUP($A12,年齢区分[#All],2,FALSE),0)</f>
        <v>3075</v>
      </c>
      <c r="C12" s="301">
        <f t="shared" si="2"/>
        <v>0.19642286809326093</v>
      </c>
      <c r="E12" s="299" t="s">
        <v>9</v>
      </c>
      <c r="F12" s="300">
        <f>IFERROR(VLOOKUP($A12,年齢区分＿寛解[#All],2,FALSE),0)</f>
        <v>36</v>
      </c>
      <c r="G12" s="300">
        <f>IFERROR(VLOOKUP($A12,年齢区分＿院内寛解[#All],2,FALSE),0)</f>
        <v>181</v>
      </c>
      <c r="H12" s="259">
        <f t="shared" si="0"/>
        <v>217</v>
      </c>
      <c r="I12" s="301">
        <f t="shared" si="1"/>
        <v>0.12932061978545889</v>
      </c>
      <c r="J12" s="9"/>
      <c r="K12" s="432" t="s">
        <v>9</v>
      </c>
      <c r="L12" s="401">
        <v>3075</v>
      </c>
      <c r="M12" s="440"/>
      <c r="N12" s="432" t="s">
        <v>9</v>
      </c>
      <c r="O12" s="401">
        <v>36</v>
      </c>
      <c r="P12" s="432" t="s">
        <v>9</v>
      </c>
      <c r="Q12" s="401">
        <v>181</v>
      </c>
      <c r="R12" s="9"/>
      <c r="S12" s="9"/>
      <c r="T12" s="9"/>
    </row>
    <row r="13" spans="1:20" ht="18.75" customHeight="1" x14ac:dyDescent="0.15">
      <c r="A13" s="299" t="s">
        <v>10</v>
      </c>
      <c r="B13" s="300">
        <f>IFERROR(VLOOKUP($A13,年齢区分[#All],2,FALSE),0)</f>
        <v>665</v>
      </c>
      <c r="C13" s="301">
        <f t="shared" si="2"/>
        <v>4.247844139252635E-2</v>
      </c>
      <c r="E13" s="299" t="s">
        <v>10</v>
      </c>
      <c r="F13" s="300">
        <f>IFERROR(VLOOKUP($A13,年齢区分＿寛解[#All],2,FALSE),0)</f>
        <v>8</v>
      </c>
      <c r="G13" s="300">
        <f>IFERROR(VLOOKUP($A13,年齢区分＿院内寛解[#All],2,FALSE),0)</f>
        <v>21</v>
      </c>
      <c r="H13" s="259">
        <f t="shared" si="0"/>
        <v>29</v>
      </c>
      <c r="I13" s="301">
        <f t="shared" si="1"/>
        <v>1.7282479141835519E-2</v>
      </c>
      <c r="J13" s="9"/>
      <c r="K13" s="432" t="s">
        <v>10</v>
      </c>
      <c r="L13" s="401">
        <v>665</v>
      </c>
      <c r="M13" s="440"/>
      <c r="N13" s="432" t="s">
        <v>10</v>
      </c>
      <c r="O13" s="401">
        <v>8</v>
      </c>
      <c r="P13" s="432" t="s">
        <v>10</v>
      </c>
      <c r="Q13" s="401">
        <v>21</v>
      </c>
      <c r="R13" s="9"/>
      <c r="S13" s="9"/>
      <c r="T13" s="9"/>
    </row>
    <row r="14" spans="1:20" ht="18.75" customHeight="1" thickBot="1" x14ac:dyDescent="0.2">
      <c r="A14" s="302" t="s">
        <v>263</v>
      </c>
      <c r="B14" s="262">
        <f t="shared" ref="B14" si="3">SUM(B5:B13)</f>
        <v>15655</v>
      </c>
      <c r="C14" s="263">
        <f>SUM(C5:C13)</f>
        <v>1</v>
      </c>
      <c r="E14" s="302" t="s">
        <v>11</v>
      </c>
      <c r="F14" s="262">
        <f t="shared" ref="F14:G14" si="4">SUM(F5:F13)</f>
        <v>361</v>
      </c>
      <c r="G14" s="262">
        <f t="shared" si="4"/>
        <v>1317</v>
      </c>
      <c r="H14" s="262">
        <f>SUM(H5:H13)</f>
        <v>1678</v>
      </c>
      <c r="I14" s="263">
        <f>SUM(I5:I13)</f>
        <v>1</v>
      </c>
      <c r="J14" s="9"/>
      <c r="K14" s="433"/>
      <c r="L14" s="434"/>
      <c r="M14" s="440"/>
      <c r="N14" s="433"/>
      <c r="O14" s="434"/>
      <c r="P14" s="433"/>
      <c r="Q14" s="434"/>
      <c r="R14" s="9"/>
      <c r="S14" s="9"/>
      <c r="T14" s="9"/>
    </row>
    <row r="15" spans="1:20" ht="18.75" customHeight="1" thickTop="1" thickBot="1" x14ac:dyDescent="0.2">
      <c r="A15" s="379" t="s">
        <v>90</v>
      </c>
      <c r="B15" s="304">
        <f>B14-B16</f>
        <v>6330</v>
      </c>
      <c r="C15" s="472">
        <f>IFERROR(B15/B$14,"-")</f>
        <v>0.40434366017246887</v>
      </c>
      <c r="D15" s="22"/>
      <c r="E15" s="379" t="s">
        <v>90</v>
      </c>
      <c r="F15" s="304">
        <f>F14-F16</f>
        <v>217</v>
      </c>
      <c r="G15" s="304">
        <f>G14-G16</f>
        <v>701</v>
      </c>
      <c r="H15" s="259">
        <f t="shared" si="0"/>
        <v>918</v>
      </c>
      <c r="I15" s="472">
        <f>IFERROR(H15/H$14,"-")</f>
        <v>0.54707985697258643</v>
      </c>
      <c r="J15" s="9"/>
      <c r="K15" s="435" t="s">
        <v>89</v>
      </c>
      <c r="L15" s="505">
        <v>9325</v>
      </c>
      <c r="M15" s="441"/>
      <c r="N15" s="435" t="s">
        <v>89</v>
      </c>
      <c r="O15" s="505">
        <v>144</v>
      </c>
      <c r="P15" s="435" t="s">
        <v>89</v>
      </c>
      <c r="Q15" s="505">
        <v>616</v>
      </c>
      <c r="R15" s="9"/>
      <c r="S15" s="9"/>
      <c r="T15" s="9"/>
    </row>
    <row r="16" spans="1:20" ht="18.75" customHeight="1" thickTop="1" x14ac:dyDescent="0.15">
      <c r="A16" s="379" t="s">
        <v>89</v>
      </c>
      <c r="B16" s="304">
        <f>L15</f>
        <v>9325</v>
      </c>
      <c r="C16" s="472">
        <f>IFERROR(B16/B$14,"-")</f>
        <v>0.59565633982753119</v>
      </c>
      <c r="D16" s="22"/>
      <c r="E16" s="379" t="s">
        <v>89</v>
      </c>
      <c r="F16" s="300">
        <f>O15</f>
        <v>144</v>
      </c>
      <c r="G16" s="300">
        <f>Q15</f>
        <v>616</v>
      </c>
      <c r="H16" s="300">
        <f t="shared" si="0"/>
        <v>760</v>
      </c>
      <c r="I16" s="472">
        <f>IFERROR(H16/H$14,"-")</f>
        <v>0.45292014302741357</v>
      </c>
      <c r="J16" s="9"/>
      <c r="K16" s="9"/>
      <c r="L16" s="25"/>
      <c r="M16" s="25"/>
      <c r="N16" s="19"/>
      <c r="O16" s="9"/>
      <c r="P16" s="9"/>
      <c r="Q16" s="9"/>
      <c r="R16" s="9"/>
      <c r="S16" s="9"/>
      <c r="T16" s="9"/>
    </row>
    <row r="17" spans="4:20" x14ac:dyDescent="0.15">
      <c r="D17" s="22"/>
      <c r="H17" s="22"/>
      <c r="J17" s="9"/>
      <c r="K17" s="15"/>
      <c r="L17" s="9"/>
      <c r="M17" s="9"/>
      <c r="N17" s="19"/>
      <c r="O17" s="9"/>
      <c r="P17" s="9"/>
      <c r="Q17" s="9"/>
      <c r="R17" s="9"/>
      <c r="S17" s="9"/>
      <c r="T17" s="9"/>
    </row>
    <row r="18" spans="4:20" ht="28.5" customHeight="1" x14ac:dyDescent="0.15">
      <c r="J18" s="9"/>
      <c r="K18" s="10"/>
      <c r="L18" s="11"/>
      <c r="M18" s="11"/>
      <c r="N18" s="26"/>
      <c r="O18" s="11"/>
      <c r="P18" s="11"/>
      <c r="Q18" s="11"/>
      <c r="R18" s="9"/>
      <c r="S18" s="9"/>
      <c r="T18" s="9"/>
    </row>
    <row r="19" spans="4:20" x14ac:dyDescent="0.15">
      <c r="J19" s="9"/>
      <c r="K19" s="27"/>
      <c r="L19" s="13"/>
      <c r="M19" s="14"/>
      <c r="N19" s="28"/>
      <c r="O19" s="13"/>
      <c r="P19" s="13"/>
      <c r="Q19" s="14"/>
      <c r="R19" s="12"/>
      <c r="S19" s="9"/>
      <c r="T19" s="9"/>
    </row>
    <row r="20" spans="4:20" x14ac:dyDescent="0.15">
      <c r="J20" s="9"/>
      <c r="K20" s="27"/>
      <c r="L20" s="13"/>
      <c r="M20" s="14"/>
      <c r="N20" s="27"/>
      <c r="O20" s="13"/>
      <c r="P20" s="13"/>
      <c r="Q20" s="14"/>
      <c r="R20" s="12"/>
      <c r="S20" s="9"/>
      <c r="T20" s="9"/>
    </row>
    <row r="21" spans="4:20" x14ac:dyDescent="0.15">
      <c r="J21" s="9"/>
      <c r="K21" s="15"/>
      <c r="L21" s="16"/>
      <c r="M21" s="17"/>
      <c r="N21" s="15"/>
      <c r="O21" s="16"/>
      <c r="P21" s="16"/>
      <c r="Q21" s="17"/>
      <c r="R21" s="9"/>
      <c r="S21" s="9"/>
      <c r="T21" s="9"/>
    </row>
    <row r="22" spans="4:20" x14ac:dyDescent="0.15">
      <c r="J22" s="9"/>
      <c r="K22" s="15"/>
      <c r="L22" s="16"/>
      <c r="M22" s="17"/>
      <c r="N22" s="15"/>
      <c r="O22" s="16"/>
      <c r="P22" s="16"/>
      <c r="Q22" s="17"/>
      <c r="R22" s="9"/>
      <c r="S22" s="9"/>
      <c r="T22" s="9"/>
    </row>
    <row r="23" spans="4:20" x14ac:dyDescent="0.15">
      <c r="J23" s="9"/>
      <c r="K23" s="15"/>
      <c r="L23" s="16"/>
      <c r="M23" s="17"/>
      <c r="N23" s="15"/>
      <c r="O23" s="16"/>
      <c r="P23" s="16"/>
      <c r="Q23" s="17"/>
      <c r="R23" s="9"/>
      <c r="S23" s="9"/>
      <c r="T23" s="9"/>
    </row>
    <row r="24" spans="4:20" x14ac:dyDescent="0.15">
      <c r="J24" s="9"/>
      <c r="K24" s="15"/>
      <c r="L24" s="16"/>
      <c r="M24" s="17"/>
      <c r="N24" s="15"/>
      <c r="O24" s="16"/>
      <c r="P24" s="16"/>
      <c r="Q24" s="17"/>
      <c r="R24" s="9"/>
      <c r="S24" s="9"/>
      <c r="T24" s="9"/>
    </row>
    <row r="25" spans="4:20" x14ac:dyDescent="0.15">
      <c r="J25" s="9"/>
      <c r="K25" s="15"/>
      <c r="L25" s="16"/>
      <c r="M25" s="17"/>
      <c r="N25" s="15"/>
      <c r="O25" s="16"/>
      <c r="P25" s="16"/>
      <c r="Q25" s="17"/>
      <c r="R25" s="9"/>
      <c r="S25" s="9"/>
      <c r="T25" s="9"/>
    </row>
    <row r="26" spans="4:20" x14ac:dyDescent="0.15">
      <c r="J26" s="9"/>
      <c r="K26" s="15"/>
      <c r="L26" s="16"/>
      <c r="M26" s="17"/>
      <c r="N26" s="15"/>
      <c r="O26" s="16"/>
      <c r="P26" s="16"/>
      <c r="Q26" s="17"/>
      <c r="R26" s="9"/>
      <c r="S26" s="9"/>
      <c r="T26" s="9"/>
    </row>
    <row r="27" spans="4:20" x14ac:dyDescent="0.15">
      <c r="J27" s="12"/>
      <c r="K27" s="27"/>
      <c r="L27" s="13"/>
      <c r="M27" s="14"/>
      <c r="N27" s="27"/>
      <c r="O27" s="13"/>
      <c r="P27" s="13"/>
      <c r="Q27" s="14"/>
      <c r="R27" s="12"/>
      <c r="S27" s="12"/>
      <c r="T27" s="12"/>
    </row>
    <row r="28" spans="4:20" x14ac:dyDescent="0.15">
      <c r="J28" s="12"/>
      <c r="K28" s="29"/>
      <c r="L28" s="30"/>
      <c r="M28" s="31"/>
      <c r="N28" s="29"/>
      <c r="O28" s="30"/>
      <c r="P28" s="30"/>
      <c r="Q28" s="31"/>
      <c r="R28" s="12"/>
      <c r="S28" s="12"/>
      <c r="T28" s="12"/>
    </row>
    <row r="29" spans="4:20" x14ac:dyDescent="0.15">
      <c r="J29" s="12"/>
      <c r="K29" s="12"/>
      <c r="L29" s="12"/>
      <c r="M29" s="12"/>
      <c r="N29" s="27"/>
      <c r="O29" s="12"/>
      <c r="P29" s="12"/>
      <c r="Q29" s="12"/>
      <c r="R29" s="12"/>
      <c r="S29" s="12"/>
      <c r="T29" s="12"/>
    </row>
    <row r="30" spans="4:20" x14ac:dyDescent="0.15">
      <c r="J30" s="12"/>
      <c r="K30" s="12"/>
      <c r="L30" s="12"/>
      <c r="M30" s="12"/>
      <c r="N30" s="10"/>
      <c r="O30" s="11"/>
      <c r="P30" s="11"/>
      <c r="Q30" s="11"/>
      <c r="R30" s="12"/>
      <c r="S30" s="12"/>
      <c r="T30" s="12"/>
    </row>
    <row r="31" spans="4:20" x14ac:dyDescent="0.15">
      <c r="J31" s="12"/>
      <c r="K31" s="12"/>
      <c r="L31" s="12"/>
      <c r="M31" s="12"/>
      <c r="N31" s="27"/>
      <c r="O31" s="13"/>
      <c r="P31" s="13"/>
      <c r="Q31" s="14"/>
      <c r="R31" s="12"/>
      <c r="S31" s="12"/>
      <c r="T31" s="12"/>
    </row>
    <row r="32" spans="4:20" x14ac:dyDescent="0.15">
      <c r="J32" s="12"/>
      <c r="K32" s="12"/>
      <c r="L32" s="12"/>
      <c r="M32" s="12"/>
      <c r="N32" s="27"/>
      <c r="O32" s="13"/>
      <c r="P32" s="13"/>
      <c r="Q32" s="14"/>
      <c r="R32" s="12"/>
      <c r="S32" s="12"/>
      <c r="T32" s="12"/>
    </row>
    <row r="33" spans="10:20" x14ac:dyDescent="0.15">
      <c r="J33" s="12"/>
      <c r="K33" s="12"/>
      <c r="L33" s="12"/>
      <c r="M33" s="12"/>
      <c r="N33" s="27"/>
      <c r="O33" s="13"/>
      <c r="P33" s="13"/>
      <c r="Q33" s="14"/>
      <c r="R33" s="12"/>
      <c r="S33" s="12"/>
      <c r="T33" s="12"/>
    </row>
    <row r="34" spans="10:20" x14ac:dyDescent="0.15">
      <c r="J34" s="12"/>
      <c r="K34" s="12"/>
      <c r="L34" s="12"/>
      <c r="M34" s="12"/>
      <c r="N34" s="27"/>
      <c r="O34" s="13"/>
      <c r="P34" s="13"/>
      <c r="Q34" s="14"/>
      <c r="R34" s="12"/>
      <c r="S34" s="12"/>
      <c r="T34" s="12"/>
    </row>
    <row r="35" spans="10:20" x14ac:dyDescent="0.15">
      <c r="J35" s="9"/>
      <c r="K35" s="9"/>
      <c r="L35" s="9"/>
      <c r="M35" s="9"/>
      <c r="N35" s="15"/>
      <c r="O35" s="16"/>
      <c r="P35" s="16"/>
      <c r="Q35" s="17"/>
      <c r="R35" s="9"/>
      <c r="S35" s="9"/>
      <c r="T35" s="9"/>
    </row>
    <row r="36" spans="10:20" x14ac:dyDescent="0.15">
      <c r="J36" s="9"/>
      <c r="K36" s="9"/>
      <c r="L36" s="9"/>
      <c r="M36" s="9"/>
      <c r="N36" s="15"/>
      <c r="O36" s="16"/>
      <c r="P36" s="16"/>
      <c r="Q36" s="17"/>
      <c r="R36" s="9"/>
      <c r="S36" s="9"/>
      <c r="T36" s="9"/>
    </row>
    <row r="37" spans="10:20" x14ac:dyDescent="0.15">
      <c r="J37" s="9"/>
      <c r="K37" s="9"/>
      <c r="L37" s="9"/>
      <c r="M37" s="9"/>
      <c r="N37" s="15"/>
      <c r="O37" s="16"/>
      <c r="P37" s="16"/>
      <c r="Q37" s="17"/>
      <c r="R37" s="9"/>
      <c r="S37" s="9"/>
      <c r="T37" s="9"/>
    </row>
    <row r="38" spans="10:20" x14ac:dyDescent="0.15">
      <c r="J38" s="9"/>
      <c r="K38" s="9"/>
      <c r="L38" s="9"/>
      <c r="M38" s="9"/>
      <c r="N38" s="15"/>
      <c r="O38" s="16"/>
      <c r="P38" s="16"/>
      <c r="Q38" s="17"/>
      <c r="R38" s="9"/>
      <c r="S38" s="9"/>
      <c r="T38" s="9"/>
    </row>
    <row r="39" spans="10:20" x14ac:dyDescent="0.15">
      <c r="J39" s="9"/>
      <c r="K39" s="9"/>
      <c r="L39" s="9"/>
      <c r="M39" s="9"/>
      <c r="N39" s="27"/>
      <c r="O39" s="13"/>
      <c r="P39" s="13"/>
      <c r="Q39" s="14"/>
      <c r="R39" s="12"/>
      <c r="S39" s="9"/>
      <c r="T39" s="9"/>
    </row>
    <row r="40" spans="10:20" x14ac:dyDescent="0.15">
      <c r="J40" s="9"/>
      <c r="K40" s="9"/>
      <c r="L40" s="9"/>
      <c r="M40" s="9"/>
      <c r="N40" s="29"/>
      <c r="O40" s="30"/>
      <c r="P40" s="30"/>
      <c r="Q40" s="31"/>
      <c r="R40" s="12"/>
      <c r="S40" s="9"/>
      <c r="T40" s="9"/>
    </row>
    <row r="41" spans="10:20" x14ac:dyDescent="0.15">
      <c r="J41" s="9"/>
      <c r="K41" s="9"/>
      <c r="L41" s="9"/>
      <c r="M41" s="9"/>
      <c r="N41" s="9"/>
      <c r="O41" s="9"/>
      <c r="P41" s="9"/>
      <c r="Q41" s="9"/>
      <c r="R41" s="9"/>
      <c r="S41" s="9"/>
      <c r="T41" s="9"/>
    </row>
    <row r="42" spans="10:20" x14ac:dyDescent="0.15">
      <c r="J42" s="9"/>
      <c r="K42" s="9"/>
      <c r="L42" s="9"/>
      <c r="M42" s="9"/>
      <c r="N42" s="9"/>
      <c r="O42" s="9"/>
      <c r="P42" s="9"/>
      <c r="Q42" s="9"/>
      <c r="R42" s="9"/>
      <c r="S42" s="9"/>
      <c r="T42" s="9"/>
    </row>
    <row r="43" spans="10:20" x14ac:dyDescent="0.15">
      <c r="J43" s="9"/>
      <c r="K43" s="9"/>
      <c r="L43" s="9"/>
      <c r="M43" s="9"/>
      <c r="N43" s="9"/>
      <c r="O43" s="9"/>
      <c r="P43" s="9"/>
      <c r="Q43" s="9"/>
      <c r="R43" s="9"/>
      <c r="S43" s="9"/>
      <c r="T43" s="9"/>
    </row>
    <row r="44" spans="10:20" x14ac:dyDescent="0.15">
      <c r="J44" s="9"/>
      <c r="K44" s="9"/>
      <c r="L44" s="9"/>
      <c r="M44" s="9"/>
      <c r="N44" s="9"/>
      <c r="O44" s="9"/>
      <c r="P44" s="9"/>
      <c r="Q44" s="9"/>
      <c r="R44" s="9"/>
      <c r="S44" s="9"/>
      <c r="T44" s="9"/>
    </row>
    <row r="45" spans="10:20" x14ac:dyDescent="0.15">
      <c r="J45" s="9"/>
      <c r="K45" s="9"/>
      <c r="L45" s="9"/>
      <c r="M45" s="9"/>
      <c r="N45" s="9"/>
      <c r="O45" s="9"/>
      <c r="P45" s="9"/>
      <c r="Q45" s="9"/>
      <c r="R45" s="9"/>
      <c r="S45" s="9"/>
      <c r="T45" s="9"/>
    </row>
    <row r="46" spans="10:20" x14ac:dyDescent="0.15">
      <c r="J46" s="9"/>
      <c r="K46" s="15"/>
      <c r="L46" s="32"/>
      <c r="M46" s="32"/>
      <c r="N46" s="32"/>
      <c r="O46" s="32"/>
      <c r="P46" s="32"/>
      <c r="Q46" s="32"/>
      <c r="R46" s="32"/>
      <c r="S46" s="32"/>
      <c r="T46" s="9"/>
    </row>
    <row r="47" spans="10:20" x14ac:dyDescent="0.15">
      <c r="J47" s="9"/>
      <c r="K47" s="15"/>
      <c r="L47" s="32"/>
      <c r="M47" s="32"/>
      <c r="N47" s="32"/>
      <c r="O47" s="32"/>
      <c r="P47" s="32"/>
      <c r="Q47" s="32"/>
      <c r="R47" s="32"/>
      <c r="S47" s="32"/>
      <c r="T47" s="9"/>
    </row>
    <row r="48" spans="10:20" x14ac:dyDescent="0.15">
      <c r="J48" s="9"/>
      <c r="K48" s="15"/>
      <c r="L48" s="32"/>
      <c r="M48" s="32"/>
      <c r="N48" s="32"/>
      <c r="O48" s="32"/>
      <c r="P48" s="32"/>
      <c r="Q48" s="32"/>
      <c r="R48" s="32"/>
      <c r="S48" s="32"/>
      <c r="T48" s="9"/>
    </row>
    <row r="49" spans="10:20" x14ac:dyDescent="0.15">
      <c r="J49" s="9"/>
      <c r="K49" s="9"/>
      <c r="L49" s="9"/>
      <c r="M49" s="9"/>
      <c r="N49" s="9"/>
      <c r="O49" s="9"/>
      <c r="P49" s="9"/>
      <c r="Q49" s="9"/>
      <c r="R49" s="9"/>
      <c r="S49" s="9"/>
      <c r="T49" s="9"/>
    </row>
  </sheetData>
  <phoneticPr fontId="2"/>
  <pageMargins left="0.70866141732283472" right="0.70866141732283472" top="0.74803149606299213" bottom="0.74803149606299213" header="0.31496062992125984" footer="0.31496062992125984"/>
  <pageSetup paperSize="11" scale="98"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6145" r:id="rId4" name="Button 1">
              <controlPr defaultSize="0" print="0" autoFill="0" autoPict="0" macro="[0]!データ削除1">
                <anchor moveWithCells="1" sizeWithCells="1">
                  <from>
                    <xdr:col>17</xdr:col>
                    <xdr:colOff>257175</xdr:colOff>
                    <xdr:row>1</xdr:row>
                    <xdr:rowOff>238125</xdr:rowOff>
                  </from>
                  <to>
                    <xdr:col>18</xdr:col>
                    <xdr:colOff>476250</xdr:colOff>
                    <xdr:row>3</xdr:row>
                    <xdr:rowOff>161925</xdr:rowOff>
                  </to>
                </anchor>
              </controlPr>
            </control>
          </mc:Choice>
        </mc:AlternateContent>
      </controls>
    </mc:Choice>
  </mc:AlternateContent>
  <tableParts count="3">
    <tablePart r:id="rId5"/>
    <tablePart r:id="rId6"/>
    <tablePart r:id="rId7"/>
  </tableParts>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9">
    <tabColor rgb="FFFF0000"/>
    <pageSetUpPr fitToPage="1"/>
  </sheetPr>
  <dimension ref="B1:AY69"/>
  <sheetViews>
    <sheetView showGridLines="0" view="pageBreakPreview" topLeftCell="A7" zoomScale="80" zoomScaleNormal="100" zoomScaleSheetLayoutView="80" workbookViewId="0">
      <selection activeCell="E10" sqref="E10"/>
    </sheetView>
  </sheetViews>
  <sheetFormatPr defaultRowHeight="18.75" x14ac:dyDescent="0.15"/>
  <cols>
    <col min="1" max="1" width="3.375" style="1" customWidth="1"/>
    <col min="2" max="2" width="40" style="1" customWidth="1"/>
    <col min="3" max="10" width="9.375" style="1" customWidth="1"/>
    <col min="11" max="11" width="9.125" style="1" hidden="1" customWidth="1"/>
    <col min="12" max="12" width="45.5" style="1" hidden="1" customWidth="1"/>
    <col min="13" max="28" width="11.125" style="1" hidden="1" customWidth="1"/>
    <col min="29" max="29" width="9.125" style="1" hidden="1" customWidth="1"/>
    <col min="30" max="32" width="9" style="1" hidden="1" customWidth="1"/>
    <col min="33" max="34" width="9" style="1" customWidth="1"/>
    <col min="35" max="46" width="9" style="1" hidden="1" customWidth="1"/>
    <col min="47" max="52" width="0" style="1" hidden="1" customWidth="1"/>
    <col min="53" max="16384" width="9" style="1"/>
  </cols>
  <sheetData>
    <row r="1" spans="2:51" ht="19.5" customHeight="1" x14ac:dyDescent="0.15">
      <c r="B1" s="2" t="s">
        <v>78</v>
      </c>
    </row>
    <row r="2" spans="2:51" ht="18.75" customHeight="1" thickBot="1" x14ac:dyDescent="0.2">
      <c r="B2" s="640" t="s">
        <v>241</v>
      </c>
      <c r="C2" s="669" t="s">
        <v>64</v>
      </c>
      <c r="D2" s="670"/>
      <c r="E2" s="670"/>
      <c r="F2" s="670"/>
      <c r="G2" s="670"/>
      <c r="H2" s="670"/>
      <c r="I2" s="670"/>
      <c r="J2" s="671"/>
      <c r="L2" s="53" t="s">
        <v>63</v>
      </c>
    </row>
    <row r="3" spans="2:51" ht="18.75" customHeight="1" thickTop="1" thickBot="1" x14ac:dyDescent="0.2">
      <c r="B3" s="668"/>
      <c r="C3" s="672" t="s">
        <v>69</v>
      </c>
      <c r="D3" s="673"/>
      <c r="E3" s="674" t="s">
        <v>271</v>
      </c>
      <c r="F3" s="675"/>
      <c r="G3" s="674" t="s">
        <v>272</v>
      </c>
      <c r="H3" s="675"/>
      <c r="I3" s="672" t="s">
        <v>72</v>
      </c>
      <c r="J3" s="673"/>
      <c r="L3" s="503" t="s">
        <v>371</v>
      </c>
      <c r="M3" s="56" t="s">
        <v>183</v>
      </c>
      <c r="N3" s="56" t="s">
        <v>184</v>
      </c>
      <c r="O3" s="56" t="s">
        <v>185</v>
      </c>
      <c r="P3" s="56" t="s">
        <v>186</v>
      </c>
      <c r="Q3" s="56" t="s">
        <v>187</v>
      </c>
      <c r="R3" s="56" t="s">
        <v>188</v>
      </c>
      <c r="S3" s="56" t="s">
        <v>189</v>
      </c>
      <c r="T3" s="56" t="s">
        <v>190</v>
      </c>
      <c r="U3" s="56" t="s">
        <v>191</v>
      </c>
      <c r="V3" s="56" t="s">
        <v>192</v>
      </c>
      <c r="W3" s="56" t="s">
        <v>193</v>
      </c>
      <c r="X3" s="56" t="s">
        <v>194</v>
      </c>
      <c r="Y3" s="56" t="s">
        <v>195</v>
      </c>
      <c r="Z3" s="56" t="s">
        <v>196</v>
      </c>
      <c r="AA3" s="56" t="s">
        <v>197</v>
      </c>
      <c r="AB3" s="56" t="s">
        <v>198</v>
      </c>
    </row>
    <row r="4" spans="2:51" ht="37.5" customHeight="1" thickTop="1" x14ac:dyDescent="0.15">
      <c r="B4" s="108" t="s">
        <v>232</v>
      </c>
      <c r="C4" s="109">
        <f>IFERROR(INDEX(退院予定有無×在院期間区分[#All],MATCH($AI5,退院予定有無×在院期間区分[[#All],[行ラベル]],0),MATCH($AJ$4,退院予定有無×在院期間区分[#Headers],0)),)+IFERROR(INDEX(退院予定有無×在院期間区分[#All],MATCH($AI5,退院予定有無×在院期間区分[[#All],[行ラベル]],0),MATCH($AK$4,退院予定有無×在院期間区分[#Headers],0)),0)+IFERROR(INDEX(退院予定有無×在院期間区分[#All],MATCH($AI5,退院予定有無×在院期間区分[[#All],[行ラベル]],0),MATCH($AL$4,退院予定有無×在院期間区分[#Headers],0)),0)+IFERROR(INDEX(退院予定有無×在院期間区分[#All],MATCH($AI5,退院予定有無×在院期間区分[[#All],[行ラベル]],0),MATCH($AM$4,退院予定有無×在院期間区分[#Headers],0)),0)</f>
        <v>913</v>
      </c>
      <c r="D4" s="110">
        <f>IFERROR(C4/C$7,"-")</f>
        <v>0.14018117610931982</v>
      </c>
      <c r="E4" s="89">
        <f>IFERROR(INDEX(退院予定有無×在院期間区分[#All],MATCH($AI5,退院予定有無×在院期間区分[[#All],[行ラベル]],0),MATCH($AN$4,退院予定有無×在院期間区分[#Headers],0)),0)+IFERROR(INDEX(退院予定有無×在院期間区分[#All],MATCH($AI5,退院予定有無×在院期間区分[[#All],[行ラベル]],0),MATCH($AO$4,退院予定有無×在院期間区分[#Headers],0)),0)+IFERROR(INDEX(退院予定有無×在院期間区分[#All],MATCH($AI5,退院予定有無×在院期間区分[[#All],[行ラベル]],0),MATCH($AP$4,退院予定有無×在院期間区分[#Headers],0)),0)+IFERROR(INDEX(退院予定有無×在院期間区分[#All],MATCH($AI5,退院予定有無×在院期間区分[[#All],[行ラベル]],0),MATCH($AQ$4,退院予定有無×在院期間区分[#Headers],0)),0)+IFERROR(INDEX(退院予定有無×在院期間区分[#All],MATCH($AI5,退院予定有無×在院期間区分[[#All],[行ラベル]],0),MATCH($AR$4,退院予定有無×在院期間区分[#Headers],0)),0)</f>
        <v>832</v>
      </c>
      <c r="F4" s="110">
        <f>IFERROR(E4/E$7,"-")</f>
        <v>0.17243523316062176</v>
      </c>
      <c r="G4" s="89">
        <f>IFERROR(INDEX(退院予定有無×在院期間区分[#All],MATCH($AI5,退院予定有無×在院期間区分[[#All],[行ラベル]],0),MATCH($AS$4,退院予定有無×在院期間区分[#Headers],0))+INDEX(退院予定有無×在院期間区分[#All],MATCH($AI5,退院予定有無×在院期間区分[[#All],[行ラベル]],0),MATCH($AT$4,退院予定有無×在院期間区分[#Headers],0)),0)+IFERROR(INDEX(退院予定有無×在院期間区分[#All],MATCH($AI5,退院予定有無×在院期間区分[[#All],[行ラベル]],0),MATCH($AU$4,退院予定有無×在院期間区分[#Headers],0)),0)+IFERROR(INDEX(退院予定有無×在院期間区分[#All],MATCH($AI5,退院予定有無×在院期間区分[[#All],[行ラベル]],0),MATCH($AV$4,退院予定有無×在院期間区分[#Headers],0)),0)+IFERROR(INDEX(退院予定有無×在院期間区分[#All],MATCH($AI5,退院予定有無×在院期間区分[[#All],[行ラベル]],0),MATCH($AW$4,退院予定有無×在院期間区分[#Headers],0)),0)</f>
        <v>334</v>
      </c>
      <c r="H4" s="110">
        <f>IFERROR(G4/G$7,"-")</f>
        <v>0.16592151018380527</v>
      </c>
      <c r="I4" s="89">
        <f>IFERROR(INDEX(退院予定有無×在院期間区分[#All],MATCH($AI5,退院予定有無×在院期間区分[[#All],[行ラベル]],0),MATCH($AX$4,退院予定有無×在院期間区分[#Headers],0)),0)+IFERROR(INDEX(退院予定有無×在院期間区分[#All],MATCH($AI5,退院予定有無×在院期間区分[[#All],[行ラベル]],0),MATCH($AY$4,退院予定有無×在院期間区分[#Headers],0)),0)</f>
        <v>435</v>
      </c>
      <c r="J4" s="90">
        <f>IFERROR(I4/I$7,"-")</f>
        <v>0.18880208333333334</v>
      </c>
      <c r="K4" s="39">
        <f>C4+E4+G4+I4</f>
        <v>2514</v>
      </c>
      <c r="L4" s="34">
        <v>97</v>
      </c>
      <c r="M4" s="60">
        <v>189</v>
      </c>
      <c r="N4" s="60">
        <v>210</v>
      </c>
      <c r="O4" s="60">
        <v>231</v>
      </c>
      <c r="P4" s="60">
        <v>283</v>
      </c>
      <c r="Q4" s="60">
        <v>211</v>
      </c>
      <c r="R4" s="60">
        <v>160</v>
      </c>
      <c r="S4" s="60">
        <v>208</v>
      </c>
      <c r="T4" s="60">
        <v>151</v>
      </c>
      <c r="U4" s="60">
        <v>102</v>
      </c>
      <c r="V4" s="60">
        <v>98</v>
      </c>
      <c r="W4" s="60">
        <v>77</v>
      </c>
      <c r="X4" s="60">
        <v>61</v>
      </c>
      <c r="Y4" s="60">
        <v>58</v>
      </c>
      <c r="Z4" s="60">
        <v>40</v>
      </c>
      <c r="AA4" s="60">
        <v>268</v>
      </c>
      <c r="AB4" s="60">
        <v>167</v>
      </c>
      <c r="AJ4" s="384" t="s">
        <v>183</v>
      </c>
      <c r="AK4" s="384" t="s">
        <v>184</v>
      </c>
      <c r="AL4" s="384" t="s">
        <v>185</v>
      </c>
      <c r="AM4" s="384" t="s">
        <v>186</v>
      </c>
      <c r="AN4" s="384" t="s">
        <v>187</v>
      </c>
      <c r="AO4" s="384" t="s">
        <v>188</v>
      </c>
      <c r="AP4" s="384" t="s">
        <v>189</v>
      </c>
      <c r="AQ4" s="384" t="s">
        <v>190</v>
      </c>
      <c r="AR4" s="384" t="s">
        <v>191</v>
      </c>
      <c r="AS4" s="384" t="s">
        <v>192</v>
      </c>
      <c r="AT4" s="384" t="s">
        <v>193</v>
      </c>
      <c r="AU4" s="384" t="s">
        <v>194</v>
      </c>
      <c r="AV4" s="384" t="s">
        <v>195</v>
      </c>
      <c r="AW4" s="384" t="s">
        <v>196</v>
      </c>
      <c r="AX4" s="384" t="s">
        <v>197</v>
      </c>
      <c r="AY4" s="384" t="s">
        <v>198</v>
      </c>
    </row>
    <row r="5" spans="2:51" ht="18.75" customHeight="1" x14ac:dyDescent="0.15">
      <c r="B5" s="111" t="s">
        <v>242</v>
      </c>
      <c r="C5" s="112">
        <f>IFERROR(INDEX(退院予定有無×在院期間区分[#All],MATCH($AI6,退院予定有無×在院期間区分[[#All],[行ラベル]],0),MATCH($AJ$4,退院予定有無×在院期間区分[#Headers],0)),)+IFERROR(INDEX(退院予定有無×在院期間区分[#All],MATCH($AI6,退院予定有無×在院期間区分[[#All],[行ラベル]],0),MATCH($AK$4,退院予定有無×在院期間区分[#Headers],0)),0)+IFERROR(INDEX(退院予定有無×在院期間区分[#All],MATCH($AI6,退院予定有無×在院期間区分[[#All],[行ラベル]],0),MATCH($AL$4,退院予定有無×在院期間区分[#Headers],0)),0)+IFERROR(INDEX(退院予定有無×在院期間区分[#All],MATCH($AI6,退院予定有無×在院期間区分[[#All],[行ラベル]],0),MATCH($AM$4,退院予定有無×在院期間区分[#Headers],0)),0)</f>
        <v>4002</v>
      </c>
      <c r="D5" s="69">
        <f>IFERROR(C5/C$7,"-")</f>
        <v>0.61446338093044683</v>
      </c>
      <c r="E5" s="70">
        <f>IFERROR(INDEX(退院予定有無×在院期間区分[#All],MATCH($AI6,退院予定有無×在院期間区分[[#All],[行ラベル]],0),MATCH($AN$4,退院予定有無×在院期間区分[#Headers],0)),0)+IFERROR(INDEX(退院予定有無×在院期間区分[#All],MATCH($AI6,退院予定有無×在院期間区分[[#All],[行ラベル]],0),MATCH($AO$4,退院予定有無×在院期間区分[#Headers],0)),0)+IFERROR(INDEX(退院予定有無×在院期間区分[#All],MATCH($AI6,退院予定有無×在院期間区分[[#All],[行ラベル]],0),MATCH($AP$4,退院予定有無×在院期間区分[#Headers],0)),0)+IFERROR(INDEX(退院予定有無×在院期間区分[#All],MATCH($AI6,退院予定有無×在院期間区分[[#All],[行ラベル]],0),MATCH($AQ$4,退院予定有無×在院期間区分[#Headers],0)),0)+IFERROR(INDEX(退院予定有無×在院期間区分[#All],MATCH($AI6,退院予定有無×在院期間区分[[#All],[行ラベル]],0),MATCH($AR$4,退院予定有無×在院期間区分[#Headers],0)),0)</f>
        <v>3822</v>
      </c>
      <c r="F5" s="69">
        <f>IFERROR(E5/E$7,"-")</f>
        <v>0.79212435233160616</v>
      </c>
      <c r="G5" s="70">
        <f>IFERROR(INDEX(退院予定有無×在院期間区分[#All],MATCH($AI6,退院予定有無×在院期間区分[[#All],[行ラベル]],0),MATCH($AS$4,退院予定有無×在院期間区分[#Headers],0))+INDEX(退院予定有無×在院期間区分[#All],MATCH($AI6,退院予定有無×在院期間区分[[#All],[行ラベル]],0),MATCH($AT$4,退院予定有無×在院期間区分[#Headers],0)),0)+IFERROR(INDEX(退院予定有無×在院期間区分[#All],MATCH($AI6,退院予定有無×在院期間区分[[#All],[行ラベル]],0),MATCH($AU$4,退院予定有無×在院期間区分[#Headers],0)),0)+IFERROR(INDEX(退院予定有無×在院期間区分[#All],MATCH($AI6,退院予定有無×在院期間区分[[#All],[行ラベル]],0),MATCH($AV$4,退院予定有無×在院期間区分[#Headers],0)),0)+IFERROR(INDEX(退院予定有無×在院期間区分[#All],MATCH($AI6,退院予定有無×在院期間区分[[#All],[行ラベル]],0),MATCH($AW$4,退院予定有無×在院期間区分[#Headers],0)),0)</f>
        <v>1632</v>
      </c>
      <c r="H5" s="73">
        <f>IFERROR(G5/G$7,"-")</f>
        <v>0.81073025335320414</v>
      </c>
      <c r="I5" s="70">
        <f>IFERROR(INDEX(退院予定有無×在院期間区分[#All],MATCH($AI6,退院予定有無×在院期間区分[[#All],[行ラベル]],0),MATCH($AX$4,退院予定有無×在院期間区分[#Headers],0)),0)+IFERROR(INDEX(退院予定有無×在院期間区分[#All],MATCH($AI6,退院予定有無×在院期間区分[[#All],[行ラベル]],0),MATCH($AY$4,退院予定有無×在院期間区分[#Headers],0)),0)</f>
        <v>1844</v>
      </c>
      <c r="J5" s="75">
        <f>IFERROR(I5/I$7,"-")</f>
        <v>0.80034722222222221</v>
      </c>
      <c r="K5" s="39">
        <f>C5+E5+G5+I5</f>
        <v>11300</v>
      </c>
      <c r="L5" s="34">
        <v>98</v>
      </c>
      <c r="M5" s="60">
        <v>1007</v>
      </c>
      <c r="N5" s="60">
        <v>955</v>
      </c>
      <c r="O5" s="60">
        <v>896</v>
      </c>
      <c r="P5" s="60">
        <v>1144</v>
      </c>
      <c r="Q5" s="60">
        <v>801</v>
      </c>
      <c r="R5" s="60">
        <v>649</v>
      </c>
      <c r="S5" s="60">
        <v>1093</v>
      </c>
      <c r="T5" s="60">
        <v>765</v>
      </c>
      <c r="U5" s="60">
        <v>514</v>
      </c>
      <c r="V5" s="60">
        <v>431</v>
      </c>
      <c r="W5" s="60">
        <v>372</v>
      </c>
      <c r="X5" s="60">
        <v>312</v>
      </c>
      <c r="Y5" s="60">
        <v>269</v>
      </c>
      <c r="Z5" s="60">
        <v>248</v>
      </c>
      <c r="AA5" s="60">
        <v>1130</v>
      </c>
      <c r="AB5" s="60">
        <v>714</v>
      </c>
      <c r="AI5" s="34">
        <v>97</v>
      </c>
      <c r="AJ5" s="56"/>
    </row>
    <row r="6" spans="2:51" ht="18.75" customHeight="1" x14ac:dyDescent="0.15">
      <c r="B6" s="113" t="s">
        <v>36</v>
      </c>
      <c r="C6" s="114">
        <f>IFERROR(INDEX(退院予定有無×在院期間区分[#All],MATCH($AI7,退院予定有無×在院期間区分[[#All],[行ラベル]],0),MATCH($AJ$4,退院予定有無×在院期間区分[#Headers],0)),)+IFERROR(INDEX(退院予定有無×在院期間区分[#All],MATCH($AI7,退院予定有無×在院期間区分[[#All],[行ラベル]],0),MATCH($AK$4,退院予定有無×在院期間区分[#Headers],0)),0)+IFERROR(INDEX(退院予定有無×在院期間区分[#All],MATCH($AI7,退院予定有無×在院期間区分[[#All],[行ラベル]],0),MATCH($AL$4,退院予定有無×在院期間区分[#Headers],0)),0)+IFERROR(INDEX(退院予定有無×在院期間区分[#All],MATCH($AI7,退院予定有無×在院期間区分[[#All],[行ラベル]],0),MATCH($AM$4,退院予定有無×在院期間区分[#Headers],0)),0)</f>
        <v>1598</v>
      </c>
      <c r="D6" s="82">
        <f>IFERROR(C6/C$7,"-")</f>
        <v>0.24535544296023337</v>
      </c>
      <c r="E6" s="68">
        <f>IFERROR(INDEX(退院予定有無×在院期間区分[#All],MATCH($AI7,退院予定有無×在院期間区分[[#All],[行ラベル]],0),MATCH($AN$4,退院予定有無×在院期間区分[#Headers],0)),0)+IFERROR(INDEX(退院予定有無×在院期間区分[#All],MATCH($AI7,退院予定有無×在院期間区分[[#All],[行ラベル]],0),MATCH($AO$4,退院予定有無×在院期間区分[#Headers],0)),0)+IFERROR(INDEX(退院予定有無×在院期間区分[#All],MATCH($AI7,退院予定有無×在院期間区分[[#All],[行ラベル]],0),MATCH($AP$4,退院予定有無×在院期間区分[#Headers],0)),0)+IFERROR(INDEX(退院予定有無×在院期間区分[#All],MATCH($AI7,退院予定有無×在院期間区分[[#All],[行ラベル]],0),MATCH($AQ$4,退院予定有無×在院期間区分[#Headers],0)),0)+IFERROR(INDEX(退院予定有無×在院期間区分[#All],MATCH($AI7,退院予定有無×在院期間区分[[#All],[行ラベル]],0),MATCH($AR$4,退院予定有無×在院期間区分[#Headers],0)),0)</f>
        <v>171</v>
      </c>
      <c r="F6" s="77">
        <f>IFERROR(E6/E$7,"-")</f>
        <v>3.5440414507772022E-2</v>
      </c>
      <c r="G6" s="68">
        <f>IFERROR(INDEX(退院予定有無×在院期間区分[#All],MATCH($AI7,退院予定有無×在院期間区分[[#All],[行ラベル]],0),MATCH($AS$4,退院予定有無×在院期間区分[#Headers],0))+INDEX(退院予定有無×在院期間区分[#All],MATCH($AI7,退院予定有無×在院期間区分[[#All],[行ラベル]],0),MATCH($AT$4,退院予定有無×在院期間区分[#Headers],0)),0)+IFERROR(INDEX(退院予定有無×在院期間区分[#All],MATCH($AI7,退院予定有無×在院期間区分[[#All],[行ラベル]],0),MATCH($AU$4,退院予定有無×在院期間区分[#Headers],0)),0)+IFERROR(INDEX(退院予定有無×在院期間区分[#All],MATCH($AI7,退院予定有無×在院期間区分[[#All],[行ラベル]],0),MATCH($AV$4,退院予定有無×在院期間区分[#Headers],0)),0)+IFERROR(INDEX(退院予定有無×在院期間区分[#All],MATCH($AI7,退院予定有無×在院期間区分[[#All],[行ラベル]],0),MATCH($AW$4,退院予定有無×在院期間区分[#Headers],0)),0)</f>
        <v>47</v>
      </c>
      <c r="H6" s="77">
        <f>IFERROR(G6/G$7,"-")</f>
        <v>2.334823646299056E-2</v>
      </c>
      <c r="I6" s="68">
        <f>IFERROR(INDEX(退院予定有無×在院期間区分[#All],MATCH($AI7,退院予定有無×在院期間区分[[#All],[行ラベル]],0),MATCH($AX$4,退院予定有無×在院期間区分[#Headers],0)),0)+IFERROR(INDEX(退院予定有無×在院期間区分[#All],MATCH($AI7,退院予定有無×在院期間区分[[#All],[行ラベル]],0),MATCH($AY$4,退院予定有無×在院期間区分[#Headers],0)),0)</f>
        <v>25</v>
      </c>
      <c r="J6" s="77">
        <f>IFERROR(I6/I$7,"-")</f>
        <v>1.0850694444444444E-2</v>
      </c>
      <c r="K6" s="39">
        <f>C6+E6+G6+I6</f>
        <v>1841</v>
      </c>
      <c r="L6" s="34">
        <v>99</v>
      </c>
      <c r="M6" s="60">
        <v>549</v>
      </c>
      <c r="N6" s="60">
        <v>624</v>
      </c>
      <c r="O6" s="60">
        <v>248</v>
      </c>
      <c r="P6" s="60">
        <v>177</v>
      </c>
      <c r="Q6" s="60">
        <v>64</v>
      </c>
      <c r="R6" s="60">
        <v>34</v>
      </c>
      <c r="S6" s="60">
        <v>39</v>
      </c>
      <c r="T6" s="60">
        <v>16</v>
      </c>
      <c r="U6" s="60">
        <v>18</v>
      </c>
      <c r="V6" s="60">
        <v>18</v>
      </c>
      <c r="W6" s="60">
        <v>9</v>
      </c>
      <c r="X6" s="60">
        <v>2</v>
      </c>
      <c r="Y6" s="60">
        <v>7</v>
      </c>
      <c r="Z6" s="60">
        <v>11</v>
      </c>
      <c r="AA6" s="60">
        <v>13</v>
      </c>
      <c r="AB6" s="60">
        <v>12</v>
      </c>
      <c r="AI6" s="34">
        <v>98</v>
      </c>
      <c r="AJ6" s="56"/>
    </row>
    <row r="7" spans="2:51" ht="18.75" customHeight="1" x14ac:dyDescent="0.15">
      <c r="B7" s="115" t="s">
        <v>162</v>
      </c>
      <c r="C7" s="94">
        <f t="shared" ref="C7:J7" si="0">SUM(C4:C6)</f>
        <v>6513</v>
      </c>
      <c r="D7" s="95">
        <f t="shared" si="0"/>
        <v>1</v>
      </c>
      <c r="E7" s="96">
        <f t="shared" si="0"/>
        <v>4825</v>
      </c>
      <c r="F7" s="95">
        <f t="shared" si="0"/>
        <v>1</v>
      </c>
      <c r="G7" s="116">
        <f t="shared" si="0"/>
        <v>2013</v>
      </c>
      <c r="H7" s="117">
        <f t="shared" si="0"/>
        <v>1</v>
      </c>
      <c r="I7" s="96">
        <f t="shared" si="0"/>
        <v>2304</v>
      </c>
      <c r="J7" s="95">
        <f t="shared" si="0"/>
        <v>1</v>
      </c>
      <c r="K7" s="39">
        <f>C7+E7+G7+I7</f>
        <v>15655</v>
      </c>
      <c r="L7" s="34"/>
      <c r="M7" s="43"/>
      <c r="N7" s="43"/>
      <c r="O7" s="43"/>
      <c r="P7" s="43"/>
      <c r="Q7" s="43"/>
      <c r="R7" s="43"/>
      <c r="S7" s="43"/>
      <c r="T7" s="43"/>
      <c r="U7" s="43"/>
      <c r="V7" s="43"/>
      <c r="W7" s="43"/>
      <c r="X7" s="43"/>
      <c r="Y7" s="43"/>
      <c r="Z7" s="43"/>
      <c r="AA7" s="43"/>
      <c r="AB7" s="43"/>
      <c r="AI7" s="34">
        <v>99</v>
      </c>
      <c r="AJ7" s="56"/>
    </row>
    <row r="8" spans="2:51" ht="18.75" customHeight="1" thickBot="1" x14ac:dyDescent="0.2">
      <c r="B8" s="97"/>
      <c r="C8" s="98"/>
      <c r="D8" s="99"/>
      <c r="E8" s="100"/>
      <c r="F8" s="99"/>
      <c r="G8" s="100"/>
      <c r="H8" s="99"/>
      <c r="I8" s="100"/>
      <c r="J8" s="99"/>
      <c r="K8" s="39"/>
      <c r="L8" s="34"/>
      <c r="M8" s="43"/>
      <c r="N8" s="43"/>
      <c r="O8" s="43"/>
      <c r="P8" s="43"/>
      <c r="Q8" s="43"/>
      <c r="R8" s="43"/>
      <c r="S8" s="43"/>
      <c r="T8" s="43"/>
      <c r="U8" s="43"/>
      <c r="V8" s="43"/>
      <c r="W8" s="43"/>
      <c r="X8" s="43"/>
      <c r="Y8" s="43"/>
      <c r="Z8" s="43"/>
      <c r="AA8" s="43"/>
      <c r="AB8" s="43"/>
      <c r="AI8" s="34"/>
      <c r="AJ8" s="56"/>
    </row>
    <row r="9" spans="2:51" ht="18.75" customHeight="1" thickTop="1" thickBot="1" x14ac:dyDescent="0.2">
      <c r="B9" s="101" t="s">
        <v>243</v>
      </c>
      <c r="C9" s="665"/>
      <c r="D9" s="666"/>
      <c r="E9" s="666"/>
      <c r="F9" s="666"/>
      <c r="G9" s="666"/>
      <c r="H9" s="666"/>
      <c r="I9" s="666"/>
      <c r="J9" s="667"/>
      <c r="K9" s="39"/>
      <c r="L9" s="503" t="s">
        <v>371</v>
      </c>
      <c r="M9" s="56" t="s">
        <v>183</v>
      </c>
      <c r="N9" s="56" t="s">
        <v>184</v>
      </c>
      <c r="O9" s="56" t="s">
        <v>185</v>
      </c>
      <c r="P9" s="56" t="s">
        <v>186</v>
      </c>
      <c r="Q9" s="56" t="s">
        <v>187</v>
      </c>
      <c r="R9" s="56" t="s">
        <v>188</v>
      </c>
      <c r="S9" s="56" t="s">
        <v>189</v>
      </c>
      <c r="T9" s="56" t="s">
        <v>190</v>
      </c>
      <c r="U9" s="56" t="s">
        <v>191</v>
      </c>
      <c r="V9" s="56" t="s">
        <v>192</v>
      </c>
      <c r="W9" s="56" t="s">
        <v>193</v>
      </c>
      <c r="X9" s="56" t="s">
        <v>194</v>
      </c>
      <c r="Y9" s="56" t="s">
        <v>195</v>
      </c>
      <c r="Z9" s="56" t="s">
        <v>196</v>
      </c>
      <c r="AA9" s="56" t="s">
        <v>197</v>
      </c>
      <c r="AB9" s="56" t="s">
        <v>198</v>
      </c>
      <c r="AI9" s="34"/>
      <c r="AJ9" s="56"/>
    </row>
    <row r="10" spans="2:51" ht="18.75" customHeight="1" thickTop="1" x14ac:dyDescent="0.15">
      <c r="B10" s="118" t="s">
        <v>34</v>
      </c>
      <c r="C10" s="109">
        <f>IFERROR(INDEX(阻害要因有無×在院期間区分[#All],MATCH($AI11,阻害要因有無×在院期間区分[[#All],[行ラベル]],0),MATCH($AJ$4,阻害要因有無×在院期間区分[#Headers],0)),0)+IFERROR(INDEX(阻害要因有無×在院期間区分[#All],MATCH($AI11,阻害要因有無×在院期間区分[[#All],[行ラベル]],0),MATCH($AK$4,阻害要因有無×在院期間区分[#Headers],0)),0)+IFERROR(INDEX(阻害要因有無×在院期間区分[#All],MATCH($AI11,阻害要因有無×在院期間区分[[#All],[行ラベル]],0),MATCH($AL$4,阻害要因有無×在院期間区分[#Headers],0)),0)+IFERROR(INDEX(阻害要因有無×在院期間区分[#All],MATCH($AI11,阻害要因有無×在院期間区分[[#All],[行ラベル]],0),MATCH($AM$4,阻害要因有無×在院期間区分[#Headers],0)),0)</f>
        <v>767</v>
      </c>
      <c r="D10" s="90">
        <f>IFERROR(C10/C$4,"-")</f>
        <v>0.84008762322015329</v>
      </c>
      <c r="E10" s="89">
        <f>IFERROR(INDEX(阻害要因有無×在院期間区分[#All],MATCH($AI11,阻害要因有無×在院期間区分[[#All],[行ラベル]],0),MATCH($AN$4,阻害要因有無×在院期間区分[#Headers],0)),0)+IFERROR(INDEX(阻害要因有無×在院期間区分[#All],MATCH($AI11,阻害要因有無×在院期間区分[[#All],[行ラベル]],0),MATCH($AO$4,阻害要因有無×在院期間区分[#Headers],0)),0)+IFERROR(INDEX(阻害要因有無×在院期間区分[#All],MATCH($AI11,阻害要因有無×在院期間区分[[#All],[行ラベル]],0),MATCH($AP$4,阻害要因有無×在院期間区分[#Headers],0)),0)+IFERROR(INDEX(阻害要因有無×在院期間区分[#All],MATCH($AI11,阻害要因有無×在院期間区分[[#All],[行ラベル]],0),MATCH($AQ$4,阻害要因有無×在院期間区分[#Headers],0)),0)+IFERROR(INDEX(阻害要因有無×在院期間区分[#All],MATCH($AI11,阻害要因有無×在院期間区分[[#All],[行ラベル]],0),MATCH($AR$4,阻害要因有無×在院期間区分[#Headers],0)),0)</f>
        <v>799</v>
      </c>
      <c r="F10" s="90">
        <f>IFERROR(E10/E$4,"-")</f>
        <v>0.96033653846153844</v>
      </c>
      <c r="G10" s="89">
        <f>IFERROR(INDEX(阻害要因有無×在院期間区分[#All],MATCH($AI11,阻害要因有無×在院期間区分[[#All],[行ラベル]],0),MATCH($AS$4,阻害要因有無×在院期間区分[#Headers],0)),0)+IFERROR(INDEX(阻害要因有無×在院期間区分[#All],MATCH($AI11,阻害要因有無×在院期間区分[[#All],[行ラベル]],0),MATCH($AT$4,阻害要因有無×在院期間区分[#Headers],0)),0)+IFERROR(INDEX(阻害要因有無×在院期間区分[#All],MATCH($AI11,阻害要因有無×在院期間区分[[#All],[行ラベル]],0),MATCH($AU$4,阻害要因有無×在院期間区分[#Headers],0)),0)+IFERROR(INDEX(阻害要因有無×在院期間区分[#All],MATCH($AI11,阻害要因有無×在院期間区分[[#All],[行ラベル]],0),MATCH($AV$4,阻害要因有無×在院期間区分[#Headers],0)),0)+IFERROR(INDEX(阻害要因有無×在院期間区分[#All],MATCH($AI11,阻害要因有無×在院期間区分[[#All],[行ラベル]],0),MATCH($AW$4,阻害要因有無×在院期間区分[#Headers],0)),0)</f>
        <v>327</v>
      </c>
      <c r="H10" s="90">
        <f>IFERROR(G10/G$4,"-")</f>
        <v>0.97904191616766467</v>
      </c>
      <c r="I10" s="89">
        <f>IFERROR(INDEX(阻害要因有無×在院期間区分[#All],MATCH($AI11,阻害要因有無×在院期間区分[[#All],[行ラベル]],0),MATCH($AX$4,阻害要因有無×在院期間区分[#Headers],0)),0)+IFERROR(INDEX(阻害要因有無×在院期間区分[#All],MATCH($AI11,阻害要因有無×在院期間区分[[#All],[行ラベル]],0),MATCH($AY$4,阻害要因有無×在院期間区分[#Headers],0)),0)</f>
        <v>425</v>
      </c>
      <c r="J10" s="90">
        <f>IFERROR(I10/I$4,"-")</f>
        <v>0.97701149425287359</v>
      </c>
      <c r="K10" s="39">
        <f>C10+E10+G10+I10</f>
        <v>2318</v>
      </c>
      <c r="L10" s="34">
        <v>91</v>
      </c>
      <c r="M10" s="60">
        <v>141</v>
      </c>
      <c r="N10" s="60">
        <v>160</v>
      </c>
      <c r="O10" s="60">
        <v>204</v>
      </c>
      <c r="P10" s="60">
        <v>262</v>
      </c>
      <c r="Q10" s="60">
        <v>194</v>
      </c>
      <c r="R10" s="60">
        <v>156</v>
      </c>
      <c r="S10" s="60">
        <v>201</v>
      </c>
      <c r="T10" s="60">
        <v>148</v>
      </c>
      <c r="U10" s="60">
        <v>100</v>
      </c>
      <c r="V10" s="60">
        <v>95</v>
      </c>
      <c r="W10" s="60">
        <v>75</v>
      </c>
      <c r="X10" s="60">
        <v>61</v>
      </c>
      <c r="Y10" s="60">
        <v>58</v>
      </c>
      <c r="Z10" s="60">
        <v>38</v>
      </c>
      <c r="AA10" s="60">
        <v>261</v>
      </c>
      <c r="AB10" s="60">
        <v>164</v>
      </c>
      <c r="AI10" s="34"/>
      <c r="AJ10" s="56"/>
    </row>
    <row r="11" spans="2:51" ht="18.75" customHeight="1" x14ac:dyDescent="0.15">
      <c r="B11" s="119" t="s">
        <v>35</v>
      </c>
      <c r="C11" s="112">
        <f>IFERROR(INDEX(阻害要因有無×在院期間区分[#All],MATCH($AI12,阻害要因有無×在院期間区分[[#All],[行ラベル]],0),MATCH($AJ$4,阻害要因有無×在院期間区分[#Headers],0)),0)+IFERROR(INDEX(阻害要因有無×在院期間区分[#All],MATCH($AI12,阻害要因有無×在院期間区分[[#All],[行ラベル]],0),MATCH($AK$4,阻害要因有無×在院期間区分[#Headers],0)),0)+IFERROR(INDEX(阻害要因有無×在院期間区分[#All],MATCH($AI12,阻害要因有無×在院期間区分[[#All],[行ラベル]],0),MATCH($AL$4,阻害要因有無×在院期間区分[#Headers],0)),0)+IFERROR(INDEX(阻害要因有無×在院期間区分[#All],MATCH($AI12,阻害要因有無×在院期間区分[[#All],[行ラベル]],0),MATCH($AM$4,阻害要因有無×在院期間区分[#Headers],0)),0)</f>
        <v>146</v>
      </c>
      <c r="D11" s="69">
        <f>IFERROR(C11/C$4,"-")</f>
        <v>0.15991237677984665</v>
      </c>
      <c r="E11" s="72">
        <f>IFERROR(INDEX(阻害要因有無×在院期間区分[#All],MATCH($AI12,阻害要因有無×在院期間区分[[#All],[行ラベル]],0),MATCH($AN$4,阻害要因有無×在院期間区分[#Headers],0)),0)+IFERROR(INDEX(阻害要因有無×在院期間区分[#All],MATCH($AI12,阻害要因有無×在院期間区分[[#All],[行ラベル]],0),MATCH($AO$4,阻害要因有無×在院期間区分[#Headers],0)),0)+IFERROR(INDEX(阻害要因有無×在院期間区分[#All],MATCH($AI12,阻害要因有無×在院期間区分[[#All],[行ラベル]],0),MATCH($AP$4,阻害要因有無×在院期間区分[#Headers],0)),0)+IFERROR(INDEX(阻害要因有無×在院期間区分[#All],MATCH($AI12,阻害要因有無×在院期間区分[[#All],[行ラベル]],0),MATCH($AQ$4,阻害要因有無×在院期間区分[#Headers],0)),0)+IFERROR(INDEX(阻害要因有無×在院期間区分[#All],MATCH($AI12,阻害要因有無×在院期間区分[[#All],[行ラベル]],0),MATCH($AR$4,阻害要因有無×在院期間区分[#Headers],0)),0)</f>
        <v>33</v>
      </c>
      <c r="F11" s="82">
        <f>IFERROR(E11/E$4,"-")</f>
        <v>3.9663461538461536E-2</v>
      </c>
      <c r="G11" s="72">
        <f>IFERROR(INDEX(阻害要因有無×在院期間区分[#All],MATCH($AI12,阻害要因有無×在院期間区分[[#All],[行ラベル]],0),MATCH($AS$4,阻害要因有無×在院期間区分[#Headers],0)),0)+IFERROR(INDEX(阻害要因有無×在院期間区分[#All],MATCH($AI12,阻害要因有無×在院期間区分[[#All],[行ラベル]],0),MATCH($AT$4,阻害要因有無×在院期間区分[#Headers],0)),0)+IFERROR(INDEX(阻害要因有無×在院期間区分[#All],MATCH($AI12,阻害要因有無×在院期間区分[[#All],[行ラベル]],0),MATCH($AU$4,阻害要因有無×在院期間区分[#Headers],0)),0)+IFERROR(INDEX(阻害要因有無×在院期間区分[#All],MATCH($AI12,阻害要因有無×在院期間区分[[#All],[行ラベル]],0),MATCH($AV$4,阻害要因有無×在院期間区分[#Headers],0)),0)+IFERROR(INDEX(阻害要因有無×在院期間区分[#All],MATCH($AI12,阻害要因有無×在院期間区分[[#All],[行ラベル]],0),MATCH($AW$4,阻害要因有無×在院期間区分[#Headers],0)),0)</f>
        <v>7</v>
      </c>
      <c r="H11" s="82">
        <f>IFERROR(G11/G$4,"-")</f>
        <v>2.0958083832335328E-2</v>
      </c>
      <c r="I11" s="72">
        <f>IFERROR(INDEX(阻害要因有無×在院期間区分[#All],MATCH($AI12,阻害要因有無×在院期間区分[[#All],[行ラベル]],0),MATCH($AX$4,阻害要因有無×在院期間区分[#Headers],0)),0)+IFERROR(INDEX(阻害要因有無×在院期間区分[#All],MATCH($AI12,阻害要因有無×在院期間区分[[#All],[行ラベル]],0),MATCH($AY$4,阻害要因有無×在院期間区分[#Headers],0)),0)</f>
        <v>10</v>
      </c>
      <c r="J11" s="82">
        <f>IFERROR(I11/I$4,"-")</f>
        <v>2.2988505747126436E-2</v>
      </c>
      <c r="K11" s="39">
        <f>C11+E11+G11+I11</f>
        <v>196</v>
      </c>
      <c r="L11" s="34">
        <v>90</v>
      </c>
      <c r="M11" s="60">
        <v>48</v>
      </c>
      <c r="N11" s="60">
        <v>50</v>
      </c>
      <c r="O11" s="60">
        <v>27</v>
      </c>
      <c r="P11" s="60">
        <v>21</v>
      </c>
      <c r="Q11" s="60">
        <v>17</v>
      </c>
      <c r="R11" s="60">
        <v>4</v>
      </c>
      <c r="S11" s="60">
        <v>7</v>
      </c>
      <c r="T11" s="60">
        <v>3</v>
      </c>
      <c r="U11" s="60">
        <v>2</v>
      </c>
      <c r="V11" s="60">
        <v>3</v>
      </c>
      <c r="W11" s="60">
        <v>2</v>
      </c>
      <c r="X11" s="60">
        <v>0</v>
      </c>
      <c r="Y11" s="60">
        <v>0</v>
      </c>
      <c r="Z11" s="60">
        <v>2</v>
      </c>
      <c r="AA11" s="60">
        <v>7</v>
      </c>
      <c r="AB11" s="60">
        <v>3</v>
      </c>
      <c r="AI11" s="34">
        <v>91</v>
      </c>
      <c r="AJ11" s="56"/>
    </row>
    <row r="12" spans="2:51" ht="18.75" customHeight="1" thickBot="1" x14ac:dyDescent="0.2">
      <c r="B12" s="103" t="s">
        <v>265</v>
      </c>
      <c r="C12" s="665"/>
      <c r="D12" s="666"/>
      <c r="E12" s="666"/>
      <c r="F12" s="666"/>
      <c r="G12" s="666"/>
      <c r="H12" s="666"/>
      <c r="I12" s="666"/>
      <c r="J12" s="667"/>
      <c r="K12" s="39"/>
      <c r="AI12" s="34">
        <v>90</v>
      </c>
      <c r="AJ12" s="56"/>
    </row>
    <row r="13" spans="2:51" ht="18.75" customHeight="1" thickTop="1" thickBot="1" x14ac:dyDescent="0.2">
      <c r="B13" s="662" t="s">
        <v>275</v>
      </c>
      <c r="C13" s="663"/>
      <c r="D13" s="663"/>
      <c r="E13" s="663"/>
      <c r="F13" s="663"/>
      <c r="G13" s="663"/>
      <c r="H13" s="663"/>
      <c r="I13" s="663"/>
      <c r="J13" s="664"/>
      <c r="K13" s="39"/>
      <c r="L13" s="503" t="s">
        <v>380</v>
      </c>
      <c r="M13" s="56" t="s">
        <v>183</v>
      </c>
      <c r="N13" s="56" t="s">
        <v>184</v>
      </c>
      <c r="O13" s="56" t="s">
        <v>185</v>
      </c>
      <c r="P13" s="56" t="s">
        <v>186</v>
      </c>
      <c r="Q13" s="56" t="s">
        <v>187</v>
      </c>
      <c r="R13" s="56" t="s">
        <v>188</v>
      </c>
      <c r="S13" s="56" t="s">
        <v>189</v>
      </c>
      <c r="T13" s="56" t="s">
        <v>190</v>
      </c>
      <c r="U13" s="56" t="s">
        <v>191</v>
      </c>
      <c r="V13" s="56" t="s">
        <v>192</v>
      </c>
      <c r="W13" s="56" t="s">
        <v>193</v>
      </c>
      <c r="X13" s="56" t="s">
        <v>194</v>
      </c>
      <c r="Y13" s="56" t="s">
        <v>195</v>
      </c>
      <c r="Z13" s="56" t="s">
        <v>196</v>
      </c>
      <c r="AA13" s="56" t="s">
        <v>197</v>
      </c>
      <c r="AB13" s="56" t="s">
        <v>198</v>
      </c>
      <c r="AJ13" s="56"/>
    </row>
    <row r="14" spans="2:51" ht="37.5" customHeight="1" thickTop="1" x14ac:dyDescent="0.15">
      <c r="B14" s="104" t="s">
        <v>236</v>
      </c>
      <c r="C14" s="410">
        <f>IFERROR(INDEX(阻害要因×在院期間区分[#All],MATCH($AI15,阻害要因×在院期間区分[[#All],[値]],0),MATCH($AJ$4,阻害要因×在院期間区分[#Headers],0)),0)+IFERROR(INDEX(阻害要因×在院期間区分[#All],MATCH($AI15,阻害要因×在院期間区分[[#All],[値]],0),MATCH($AK$4,阻害要因×在院期間区分[#Headers],0)),0)+IFERROR(INDEX(阻害要因×在院期間区分[#All],MATCH($AI15,阻害要因×在院期間区分[[#All],[値]],0),MATCH($AL$4,阻害要因×在院期間区分[#Headers],0)),0)+IFERROR(INDEX(阻害要因×在院期間区分[#All],MATCH($AI15,阻害要因×在院期間区分[[#All],[値]],0),MATCH($AM$4,阻害要因×在院期間区分[#Headers],0)),0)</f>
        <v>323</v>
      </c>
      <c r="D14" s="76">
        <f t="shared" ref="D14:D31" si="1">IFERROR(C14/C$10,"-")</f>
        <v>0.42112125162972619</v>
      </c>
      <c r="E14" s="65">
        <f>IFERROR(INDEX(阻害要因×在院期間区分[#All],MATCH($AI15,阻害要因×在院期間区分[[#All],[値]],0),MATCH($AN$4,阻害要因×在院期間区分[#Headers],0)),0)+IFERROR(INDEX(阻害要因×在院期間区分[#All],MATCH($AI15,阻害要因×在院期間区分[[#All],[値]],0),MATCH($AO$4,阻害要因×在院期間区分[#Headers],0)),0)+IFERROR(INDEX(阻害要因×在院期間区分[#All],MATCH($AI15,阻害要因×在院期間区分[[#All],[値]],0),MATCH($AP$4,阻害要因×在院期間区分[#Headers],0)),0)+IFERROR(INDEX(阻害要因×在院期間区分[#All],MATCH($AI15,阻害要因×在院期間区分[[#All],[値]],0),MATCH($AQ$4,阻害要因×在院期間区分[#Headers],0)),0)+IFERROR(INDEX(阻害要因×在院期間区分[#All],MATCH($AI15,阻害要因×在院期間区分[[#All],[値]],0),MATCH($AR$4,阻害要因×在院期間区分[#Headers],0)),0)</f>
        <v>284</v>
      </c>
      <c r="F14" s="76">
        <f t="shared" ref="F14:F31" si="2">IFERROR(E14/E$10,"-")</f>
        <v>0.35544430538172717</v>
      </c>
      <c r="G14" s="65">
        <f>IFERROR(INDEX(阻害要因×在院期間区分[#All],MATCH($AI15,阻害要因×在院期間区分[[#All],[値]],0),MATCH($AS$4,阻害要因×在院期間区分[#Headers],0)),0)+IFERROR(INDEX(阻害要因×在院期間区分[#All],MATCH($AI15,阻害要因×在院期間区分[[#All],[値]],0),MATCH($AT$4,阻害要因×在院期間区分[#Headers],0)),0)+IFERROR(INDEX(阻害要因×在院期間区分[#All],MATCH($AI15,阻害要因×在院期間区分[[#All],[値]],0),MATCH($AU$4,阻害要因×在院期間区分[#Headers],0)),0)+IFERROR(INDEX(阻害要因×在院期間区分[#All],MATCH($AI15,阻害要因×在院期間区分[[#All],[値]],0),MATCH($AV$4,阻害要因×在院期間区分[#Headers],0)),0)+IFERROR(INDEX(阻害要因×在院期間区分[#All],MATCH($AI15,阻害要因×在院期間区分[[#All],[値]],0),MATCH($AW$4,阻害要因×在院期間区分[#Headers],0)),0)</f>
        <v>121</v>
      </c>
      <c r="H14" s="76">
        <f t="shared" ref="H14:H31" si="3">IFERROR(G14/G$10,"-")</f>
        <v>0.37003058103975534</v>
      </c>
      <c r="I14" s="65">
        <f>IFERROR(INDEX(阻害要因×在院期間区分[#All],MATCH($AI15,阻害要因×在院期間区分[[#All],[値]],0),MATCH($AX$4,阻害要因×在院期間区分[#Headers],0)),0)+IFERROR(INDEX(阻害要因×在院期間区分[#All],MATCH($AI15,阻害要因×在院期間区分[[#All],[値]],0),MATCH($AY$4,阻害要因×在院期間区分[#Headers],0)),0)</f>
        <v>162</v>
      </c>
      <c r="J14" s="76">
        <f t="shared" ref="J14:J31" si="4">IFERROR(I14/I$10,"-")</f>
        <v>0.38117647058823528</v>
      </c>
      <c r="K14" s="39">
        <f>C14+E14+G14+I14</f>
        <v>890</v>
      </c>
      <c r="L14" s="34" t="s">
        <v>310</v>
      </c>
      <c r="M14" s="66">
        <v>80</v>
      </c>
      <c r="N14" s="66">
        <v>70</v>
      </c>
      <c r="O14" s="66">
        <v>75</v>
      </c>
      <c r="P14" s="66">
        <v>98</v>
      </c>
      <c r="Q14" s="66">
        <v>71</v>
      </c>
      <c r="R14" s="66">
        <v>54</v>
      </c>
      <c r="S14" s="66">
        <v>71</v>
      </c>
      <c r="T14" s="66">
        <v>57</v>
      </c>
      <c r="U14" s="66">
        <v>31</v>
      </c>
      <c r="V14" s="66">
        <v>37</v>
      </c>
      <c r="W14" s="66">
        <v>35</v>
      </c>
      <c r="X14" s="66">
        <v>21</v>
      </c>
      <c r="Y14" s="66">
        <v>18</v>
      </c>
      <c r="Z14" s="66">
        <v>10</v>
      </c>
      <c r="AA14" s="66">
        <v>111</v>
      </c>
      <c r="AB14" s="66">
        <v>51</v>
      </c>
      <c r="AJ14" s="56"/>
    </row>
    <row r="15" spans="2:51" ht="18.75" customHeight="1" x14ac:dyDescent="0.15">
      <c r="B15" s="105" t="s">
        <v>66</v>
      </c>
      <c r="C15" s="120">
        <f>IFERROR(INDEX(阻害要因×在院期間区分[#All],MATCH($AI16,阻害要因×在院期間区分[[#All],[値]],0),MATCH($AJ$4,阻害要因×在院期間区分[#Headers],0)),0)+IFERROR(INDEX(阻害要因×在院期間区分[#All],MATCH($AI16,阻害要因×在院期間区分[[#All],[値]],0),MATCH($AK$4,阻害要因×在院期間区分[#Headers],0)),0)+IFERROR(INDEX(阻害要因×在院期間区分[#All],MATCH($AI16,阻害要因×在院期間区分[[#All],[値]],0),MATCH($AL$4,阻害要因×在院期間区分[#Headers],0)),0)+IFERROR(INDEX(阻害要因×在院期間区分[#All],MATCH($AI16,阻害要因×在院期間区分[[#All],[値]],0),MATCH($AM$4,阻害要因×在院期間区分[#Headers],0)),0)</f>
        <v>235</v>
      </c>
      <c r="D15" s="69">
        <f t="shared" si="1"/>
        <v>0.30638852672750977</v>
      </c>
      <c r="E15" s="71">
        <f>IFERROR(INDEX(阻害要因×在院期間区分[#All],MATCH($AI16,阻害要因×在院期間区分[[#All],[値]],0),MATCH($AN$4,阻害要因×在院期間区分[#Headers],0)),0)+IFERROR(INDEX(阻害要因×在院期間区分[#All],MATCH($AI16,阻害要因×在院期間区分[[#All],[値]],0),MATCH($AO$4,阻害要因×在院期間区分[#Headers],0)),0)+IFERROR(INDEX(阻害要因×在院期間区分[#All],MATCH($AI16,阻害要因×在院期間区分[[#All],[値]],0),MATCH($AP$4,阻害要因×在院期間区分[#Headers],0)),0)+IFERROR(INDEX(阻害要因×在院期間区分[#All],MATCH($AI16,阻害要因×在院期間区分[[#All],[値]],0),MATCH($AQ$4,阻害要因×在院期間区分[#Headers],0)),0)+IFERROR(INDEX(阻害要因×在院期間区分[#All],MATCH($AI16,阻害要因×在院期間区分[[#All],[値]],0),MATCH($AR$4,阻害要因×在院期間区分[#Headers],0)),0)</f>
        <v>255</v>
      </c>
      <c r="F15" s="69">
        <f t="shared" si="2"/>
        <v>0.31914893617021278</v>
      </c>
      <c r="G15" s="72">
        <f>IFERROR(INDEX(阻害要因×在院期間区分[#All],MATCH($AI16,阻害要因×在院期間区分[[#All],[値]],0),MATCH($AS$4,阻害要因×在院期間区分[#Headers],0)),0)+IFERROR(INDEX(阻害要因×在院期間区分[#All],MATCH($AI16,阻害要因×在院期間区分[[#All],[値]],0),MATCH($AT$4,阻害要因×在院期間区分[#Headers],0)),0)+IFERROR(INDEX(阻害要因×在院期間区分[#All],MATCH($AI16,阻害要因×在院期間区分[[#All],[値]],0),MATCH($AU$4,阻害要因×在院期間区分[#Headers],0)),0)+IFERROR(INDEX(阻害要因×在院期間区分[#All],MATCH($AI16,阻害要因×在院期間区分[[#All],[値]],0),MATCH($AV$4,阻害要因×在院期間区分[#Headers],0)),0)+IFERROR(INDEX(阻害要因×在院期間区分[#All],MATCH($AI16,阻害要因×在院期間区分[[#All],[値]],0),MATCH($AW$4,阻害要因×在院期間区分[#Headers],0)),0)</f>
        <v>90</v>
      </c>
      <c r="H15" s="69">
        <f t="shared" si="3"/>
        <v>0.27522935779816515</v>
      </c>
      <c r="I15" s="72">
        <f>IFERROR(INDEX(阻害要因×在院期間区分[#All],MATCH($AI16,阻害要因×在院期間区分[[#All],[値]],0),MATCH($AX$4,阻害要因×在院期間区分[#Headers],0)),0)+IFERROR(INDEX(阻害要因×在院期間区分[#All],MATCH($AI16,阻害要因×在院期間区分[[#All],[値]],0),MATCH($AY$4,阻害要因×在院期間区分[#Headers],0)),0)</f>
        <v>153</v>
      </c>
      <c r="J15" s="69">
        <f t="shared" si="4"/>
        <v>0.36</v>
      </c>
      <c r="K15" s="39">
        <f t="shared" ref="K15:K31" si="5">SUM(C15,E15,G15,I15)</f>
        <v>733</v>
      </c>
      <c r="L15" s="56" t="s">
        <v>311</v>
      </c>
      <c r="M15" s="66">
        <v>47</v>
      </c>
      <c r="N15" s="66">
        <v>54</v>
      </c>
      <c r="O15" s="66">
        <v>55</v>
      </c>
      <c r="P15" s="66">
        <v>79</v>
      </c>
      <c r="Q15" s="66">
        <v>54</v>
      </c>
      <c r="R15" s="66">
        <v>58</v>
      </c>
      <c r="S15" s="66">
        <v>63</v>
      </c>
      <c r="T15" s="66">
        <v>45</v>
      </c>
      <c r="U15" s="66">
        <v>35</v>
      </c>
      <c r="V15" s="66">
        <v>21</v>
      </c>
      <c r="W15" s="66">
        <v>23</v>
      </c>
      <c r="X15" s="66">
        <v>14</v>
      </c>
      <c r="Y15" s="66">
        <v>19</v>
      </c>
      <c r="Z15" s="66">
        <v>13</v>
      </c>
      <c r="AA15" s="66">
        <v>98</v>
      </c>
      <c r="AB15" s="66">
        <v>55</v>
      </c>
      <c r="AI15" s="384" t="s">
        <v>310</v>
      </c>
      <c r="AJ15" s="56"/>
    </row>
    <row r="16" spans="2:51" ht="18.75" customHeight="1" x14ac:dyDescent="0.15">
      <c r="B16" s="105" t="s">
        <v>38</v>
      </c>
      <c r="C16" s="114">
        <f>IFERROR(INDEX(阻害要因×在院期間区分[#All],MATCH($AI17,阻害要因×在院期間区分[[#All],[値]],0),MATCH($AJ$4,阻害要因×在院期間区分[#Headers],0)),0)+IFERROR(INDEX(阻害要因×在院期間区分[#All],MATCH($AI17,阻害要因×在院期間区分[[#All],[値]],0),MATCH($AK$4,阻害要因×在院期間区分[#Headers],0)),0)+IFERROR(INDEX(阻害要因×在院期間区分[#All],MATCH($AI17,阻害要因×在院期間区分[[#All],[値]],0),MATCH($AL$4,阻害要因×在院期間区分[#Headers],0)),0)+IFERROR(INDEX(阻害要因×在院期間区分[#All],MATCH($AI17,阻害要因×在院期間区分[[#All],[値]],0),MATCH($AM$4,阻害要因×在院期間区分[#Headers],0)),0)</f>
        <v>69</v>
      </c>
      <c r="D16" s="69">
        <f t="shared" si="1"/>
        <v>8.9960886571056067E-2</v>
      </c>
      <c r="E16" s="70">
        <f>IFERROR(INDEX(阻害要因×在院期間区分[#All],MATCH($AI17,阻害要因×在院期間区分[[#All],[値]],0),MATCH($AN$4,阻害要因×在院期間区分[#Headers],0)),0)+IFERROR(INDEX(阻害要因×在院期間区分[#All],MATCH($AI17,阻害要因×在院期間区分[[#All],[値]],0),MATCH($AO$4,阻害要因×在院期間区分[#Headers],0)),0)+IFERROR(INDEX(阻害要因×在院期間区分[#All],MATCH($AI17,阻害要因×在院期間区分[[#All],[値]],0),MATCH($AP$4,阻害要因×在院期間区分[#Headers],0)),0)+IFERROR(INDEX(阻害要因×在院期間区分[#All],MATCH($AI17,阻害要因×在院期間区分[[#All],[値]],0),MATCH($AQ$4,阻害要因×在院期間区分[#Headers],0)),0)+IFERROR(INDEX(阻害要因×在院期間区分[#All],MATCH($AI17,阻害要因×在院期間区分[[#All],[値]],0),MATCH($AR$4,阻害要因×在院期間区分[#Headers],0)),0)</f>
        <v>48</v>
      </c>
      <c r="F16" s="69">
        <f t="shared" si="2"/>
        <v>6.0075093867334166E-2</v>
      </c>
      <c r="G16" s="70">
        <f>IFERROR(INDEX(阻害要因×在院期間区分[#All],MATCH($AI17,阻害要因×在院期間区分[[#All],[値]],0),MATCH($AS$4,阻害要因×在院期間区分[#Headers],0)),0)+IFERROR(INDEX(阻害要因×在院期間区分[#All],MATCH($AI17,阻害要因×在院期間区分[[#All],[値]],0),MATCH($AT$4,阻害要因×在院期間区分[#Headers],0)),0)+IFERROR(INDEX(阻害要因×在院期間区分[#All],MATCH($AI17,阻害要因×在院期間区分[[#All],[値]],0),MATCH($AU$4,阻害要因×在院期間区分[#Headers],0)),0)+IFERROR(INDEX(阻害要因×在院期間区分[#All],MATCH($AI17,阻害要因×在院期間区分[[#All],[値]],0),MATCH($AV$4,阻害要因×在院期間区分[#Headers],0)),0)+IFERROR(INDEX(阻害要因×在院期間区分[#All],MATCH($AI17,阻害要因×在院期間区分[[#All],[値]],0),MATCH($AW$4,阻害要因×在院期間区分[#Headers],0)),0)</f>
        <v>27</v>
      </c>
      <c r="H16" s="69">
        <f t="shared" si="3"/>
        <v>8.2568807339449546E-2</v>
      </c>
      <c r="I16" s="70">
        <f>IFERROR(INDEX(阻害要因×在院期間区分[#All],MATCH($AI17,阻害要因×在院期間区分[[#All],[値]],0),MATCH($AX$4,阻害要因×在院期間区分[#Headers],0)),0)+IFERROR(INDEX(阻害要因×在院期間区分[#All],MATCH($AI17,阻害要因×在院期間区分[[#All],[値]],0),MATCH($AY$4,阻害要因×在院期間区分[#Headers],0)),0)</f>
        <v>22</v>
      </c>
      <c r="J16" s="69">
        <f t="shared" si="4"/>
        <v>5.1764705882352942E-2</v>
      </c>
      <c r="K16" s="39">
        <f t="shared" si="5"/>
        <v>166</v>
      </c>
      <c r="L16" s="56" t="s">
        <v>167</v>
      </c>
      <c r="M16" s="66">
        <v>18</v>
      </c>
      <c r="N16" s="66">
        <v>13</v>
      </c>
      <c r="O16" s="66">
        <v>16</v>
      </c>
      <c r="P16" s="66">
        <v>22</v>
      </c>
      <c r="Q16" s="66">
        <v>7</v>
      </c>
      <c r="R16" s="66">
        <v>16</v>
      </c>
      <c r="S16" s="66">
        <v>14</v>
      </c>
      <c r="T16" s="66">
        <v>8</v>
      </c>
      <c r="U16" s="66">
        <v>3</v>
      </c>
      <c r="V16" s="66">
        <v>6</v>
      </c>
      <c r="W16" s="66">
        <v>9</v>
      </c>
      <c r="X16" s="66">
        <v>7</v>
      </c>
      <c r="Y16" s="66">
        <v>2</v>
      </c>
      <c r="Z16" s="66">
        <v>3</v>
      </c>
      <c r="AA16" s="66">
        <v>15</v>
      </c>
      <c r="AB16" s="66">
        <v>7</v>
      </c>
      <c r="AI16" s="384" t="s">
        <v>311</v>
      </c>
      <c r="AJ16" s="56"/>
    </row>
    <row r="17" spans="2:36" ht="18.75" customHeight="1" x14ac:dyDescent="0.15">
      <c r="B17" s="105" t="s">
        <v>39</v>
      </c>
      <c r="C17" s="112">
        <f>IFERROR(INDEX(阻害要因×在院期間区分[#All],MATCH($AI18,阻害要因×在院期間区分[[#All],[値]],0),MATCH($AJ$4,阻害要因×在院期間区分[#Headers],0)),0)+IFERROR(INDEX(阻害要因×在院期間区分[#All],MATCH($AI18,阻害要因×在院期間区分[[#All],[値]],0),MATCH($AK$4,阻害要因×在院期間区分[#Headers],0)),0)+IFERROR(INDEX(阻害要因×在院期間区分[#All],MATCH($AI18,阻害要因×在院期間区分[[#All],[値]],0),MATCH($AL$4,阻害要因×在院期間区分[#Headers],0)),0)+IFERROR(INDEX(阻害要因×在院期間区分[#All],MATCH($AI18,阻害要因×在院期間区分[[#All],[値]],0),MATCH($AM$4,阻害要因×在院期間区分[#Headers],0)),0)</f>
        <v>195</v>
      </c>
      <c r="D17" s="69">
        <f t="shared" si="1"/>
        <v>0.25423728813559321</v>
      </c>
      <c r="E17" s="70">
        <f>IFERROR(INDEX(阻害要因×在院期間区分[#All],MATCH($AI18,阻害要因×在院期間区分[[#All],[値]],0),MATCH($AN$4,阻害要因×在院期間区分[#Headers],0)),0)+IFERROR(INDEX(阻害要因×在院期間区分[#All],MATCH($AI18,阻害要因×在院期間区分[[#All],[値]],0),MATCH($AO$4,阻害要因×在院期間区分[#Headers],0)),0)+IFERROR(INDEX(阻害要因×在院期間区分[#All],MATCH($AI18,阻害要因×在院期間区分[[#All],[値]],0),MATCH($AP$4,阻害要因×在院期間区分[#Headers],0)),0)+IFERROR(INDEX(阻害要因×在院期間区分[#All],MATCH($AI18,阻害要因×在院期間区分[[#All],[値]],0),MATCH($AQ$4,阻害要因×在院期間区分[#Headers],0)),0)+IFERROR(INDEX(阻害要因×在院期間区分[#All],MATCH($AI18,阻害要因×在院期間区分[[#All],[値]],0),MATCH($AR$4,阻害要因×在院期間区分[#Headers],0)),0)</f>
        <v>285</v>
      </c>
      <c r="F17" s="69">
        <f t="shared" si="2"/>
        <v>0.35669586983729662</v>
      </c>
      <c r="G17" s="70">
        <f>IFERROR(INDEX(阻害要因×在院期間区分[#All],MATCH($AI18,阻害要因×在院期間区分[[#All],[値]],0),MATCH($AS$4,阻害要因×在院期間区分[#Headers],0)),0)+IFERROR(INDEX(阻害要因×在院期間区分[#All],MATCH($AI18,阻害要因×在院期間区分[[#All],[値]],0),MATCH($AT$4,阻害要因×在院期間区分[#Headers],0)),0)+IFERROR(INDEX(阻害要因×在院期間区分[#All],MATCH($AI18,阻害要因×在院期間区分[[#All],[値]],0),MATCH($AU$4,阻害要因×在院期間区分[#Headers],0)),0)+IFERROR(INDEX(阻害要因×在院期間区分[#All],MATCH($AI18,阻害要因×在院期間区分[[#All],[値]],0),MATCH($AV$4,阻害要因×在院期間区分[#Headers],0)),0)+IFERROR(INDEX(阻害要因×在院期間区分[#All],MATCH($AI18,阻害要因×在院期間区分[[#All],[値]],0),MATCH($AW$4,阻害要因×在院期間区分[#Headers],0)),0)</f>
        <v>155</v>
      </c>
      <c r="H17" s="69">
        <f t="shared" si="3"/>
        <v>0.47400611620795108</v>
      </c>
      <c r="I17" s="70">
        <f>IFERROR(INDEX(阻害要因×在院期間区分[#All],MATCH($AI18,阻害要因×在院期間区分[[#All],[値]],0),MATCH($AX$4,阻害要因×在院期間区分[#Headers],0)),0)+IFERROR(INDEX(阻害要因×在院期間区分[#All],MATCH($AI18,阻害要因×在院期間区分[[#All],[値]],0),MATCH($AY$4,阻害要因×在院期間区分[#Headers],0)),0)</f>
        <v>220</v>
      </c>
      <c r="J17" s="69">
        <f t="shared" si="4"/>
        <v>0.51764705882352946</v>
      </c>
      <c r="K17" s="39">
        <f t="shared" si="5"/>
        <v>855</v>
      </c>
      <c r="L17" s="56" t="s">
        <v>168</v>
      </c>
      <c r="M17" s="66">
        <v>36</v>
      </c>
      <c r="N17" s="66">
        <v>34</v>
      </c>
      <c r="O17" s="66">
        <v>48</v>
      </c>
      <c r="P17" s="66">
        <v>77</v>
      </c>
      <c r="Q17" s="66">
        <v>61</v>
      </c>
      <c r="R17" s="66">
        <v>52</v>
      </c>
      <c r="S17" s="66">
        <v>83</v>
      </c>
      <c r="T17" s="66">
        <v>57</v>
      </c>
      <c r="U17" s="66">
        <v>32</v>
      </c>
      <c r="V17" s="66">
        <v>41</v>
      </c>
      <c r="W17" s="66">
        <v>42</v>
      </c>
      <c r="X17" s="66">
        <v>32</v>
      </c>
      <c r="Y17" s="66">
        <v>25</v>
      </c>
      <c r="Z17" s="66">
        <v>15</v>
      </c>
      <c r="AA17" s="66">
        <v>137</v>
      </c>
      <c r="AB17" s="66">
        <v>83</v>
      </c>
      <c r="AI17" s="384" t="s">
        <v>167</v>
      </c>
      <c r="AJ17" s="56"/>
    </row>
    <row r="18" spans="2:36" ht="18.75" customHeight="1" x14ac:dyDescent="0.15">
      <c r="B18" s="105" t="s">
        <v>40</v>
      </c>
      <c r="C18" s="112">
        <f>IFERROR(INDEX(阻害要因×在院期間区分[#All],MATCH($AI19,阻害要因×在院期間区分[[#All],[値]],0),MATCH($AJ$4,阻害要因×在院期間区分[#Headers],0)),0)+IFERROR(INDEX(阻害要因×在院期間区分[#All],MATCH($AI19,阻害要因×在院期間区分[[#All],[値]],0),MATCH($AK$4,阻害要因×在院期間区分[#Headers],0)),0)+IFERROR(INDEX(阻害要因×在院期間区分[#All],MATCH($AI19,阻害要因×在院期間区分[[#All],[値]],0),MATCH($AL$4,阻害要因×在院期間区分[#Headers],0)),0)+IFERROR(INDEX(阻害要因×在院期間区分[#All],MATCH($AI19,阻害要因×在院期間区分[[#All],[値]],0),MATCH($AM$4,阻害要因×在院期間区分[#Headers],0)),0)</f>
        <v>320</v>
      </c>
      <c r="D18" s="69">
        <f t="shared" si="1"/>
        <v>0.41720990873533248</v>
      </c>
      <c r="E18" s="70">
        <f>IFERROR(INDEX(阻害要因×在院期間区分[#All],MATCH($AI19,阻害要因×在院期間区分[[#All],[値]],0),MATCH($AN$4,阻害要因×在院期間区分[#Headers],0)),0)+IFERROR(INDEX(阻害要因×在院期間区分[#All],MATCH($AI19,阻害要因×在院期間区分[[#All],[値]],0),MATCH($AO$4,阻害要因×在院期間区分[#Headers],0)),0)+IFERROR(INDEX(阻害要因×在院期間区分[#All],MATCH($AI19,阻害要因×在院期間区分[[#All],[値]],0),MATCH($AP$4,阻害要因×在院期間区分[#Headers],0)),0)+IFERROR(INDEX(阻害要因×在院期間区分[#All],MATCH($AI19,阻害要因×在院期間区分[[#All],[値]],0),MATCH($AQ$4,阻害要因×在院期間区分[#Headers],0)),0)+IFERROR(INDEX(阻害要因×在院期間区分[#All],MATCH($AI19,阻害要因×在院期間区分[[#All],[値]],0),MATCH($AR$4,阻害要因×在院期間区分[#Headers],0)),0)</f>
        <v>348</v>
      </c>
      <c r="F18" s="69">
        <f t="shared" si="2"/>
        <v>0.43554443053817271</v>
      </c>
      <c r="G18" s="70">
        <f>IFERROR(INDEX(阻害要因×在院期間区分[#All],MATCH($AI19,阻害要因×在院期間区分[[#All],[値]],0),MATCH($AS$4,阻害要因×在院期間区分[#Headers],0)),0)+IFERROR(INDEX(阻害要因×在院期間区分[#All],MATCH($AI19,阻害要因×在院期間区分[[#All],[値]],0),MATCH($AT$4,阻害要因×在院期間区分[#Headers],0)),0)+IFERROR(INDEX(阻害要因×在院期間区分[#All],MATCH($AI19,阻害要因×在院期間区分[[#All],[値]],0),MATCH($AU$4,阻害要因×在院期間区分[#Headers],0)),0)+IFERROR(INDEX(阻害要因×在院期間区分[#All],MATCH($AI19,阻害要因×在院期間区分[[#All],[値]],0),MATCH($AV$4,阻害要因×在院期間区分[#Headers],0)),0)+IFERROR(INDEX(阻害要因×在院期間区分[#All],MATCH($AI19,阻害要因×在院期間区分[[#All],[値]],0),MATCH($AW$4,阻害要因×在院期間区分[#Headers],0)),0)</f>
        <v>145</v>
      </c>
      <c r="H18" s="69">
        <f t="shared" si="3"/>
        <v>0.44342507645259938</v>
      </c>
      <c r="I18" s="70">
        <f>IFERROR(INDEX(阻害要因×在院期間区分[#All],MATCH($AI19,阻害要因×在院期間区分[[#All],[値]],0),MATCH($AX$4,阻害要因×在院期間区分[#Headers],0)),0)+IFERROR(INDEX(阻害要因×在院期間区分[#All],MATCH($AI19,阻害要因×在院期間区分[[#All],[値]],0),MATCH($AY$4,阻害要因×在院期間区分[#Headers],0)),0)</f>
        <v>220</v>
      </c>
      <c r="J18" s="69">
        <f t="shared" si="4"/>
        <v>0.51764705882352946</v>
      </c>
      <c r="K18" s="39">
        <f t="shared" si="5"/>
        <v>1033</v>
      </c>
      <c r="L18" s="56" t="s">
        <v>169</v>
      </c>
      <c r="M18" s="66">
        <v>65</v>
      </c>
      <c r="N18" s="66">
        <v>71</v>
      </c>
      <c r="O18" s="66">
        <v>75</v>
      </c>
      <c r="P18" s="66">
        <v>109</v>
      </c>
      <c r="Q18" s="66">
        <v>77</v>
      </c>
      <c r="R18" s="66">
        <v>79</v>
      </c>
      <c r="S18" s="66">
        <v>92</v>
      </c>
      <c r="T18" s="66">
        <v>67</v>
      </c>
      <c r="U18" s="66">
        <v>33</v>
      </c>
      <c r="V18" s="66">
        <v>36</v>
      </c>
      <c r="W18" s="66">
        <v>33</v>
      </c>
      <c r="X18" s="66">
        <v>31</v>
      </c>
      <c r="Y18" s="66">
        <v>25</v>
      </c>
      <c r="Z18" s="66">
        <v>20</v>
      </c>
      <c r="AA18" s="66">
        <v>133</v>
      </c>
      <c r="AB18" s="66">
        <v>87</v>
      </c>
      <c r="AI18" s="384" t="s">
        <v>168</v>
      </c>
      <c r="AJ18" s="56"/>
    </row>
    <row r="19" spans="2:36" ht="18.75" customHeight="1" x14ac:dyDescent="0.15">
      <c r="B19" s="105" t="s">
        <v>41</v>
      </c>
      <c r="C19" s="121">
        <f>IFERROR(INDEX(阻害要因×在院期間区分[#All],MATCH($AI20,阻害要因×在院期間区分[[#All],[値]],0),MATCH($AJ$4,阻害要因×在院期間区分[#Headers],0)),0)+IFERROR(INDEX(阻害要因×在院期間区分[#All],MATCH($AI20,阻害要因×在院期間区分[[#All],[値]],0),MATCH($AK$4,阻害要因×在院期間区分[#Headers],0)),0)+IFERROR(INDEX(阻害要因×在院期間区分[#All],MATCH($AI20,阻害要因×在院期間区分[[#All],[値]],0),MATCH($AL$4,阻害要因×在院期間区分[#Headers],0)),0)+IFERROR(INDEX(阻害要因×在院期間区分[#All],MATCH($AI20,阻害要因×在院期間区分[[#All],[値]],0),MATCH($AM$4,阻害要因×在院期間区分[#Headers],0)),0)</f>
        <v>214</v>
      </c>
      <c r="D19" s="69">
        <f t="shared" si="1"/>
        <v>0.27900912646675358</v>
      </c>
      <c r="E19" s="72">
        <f>IFERROR(INDEX(阻害要因×在院期間区分[#All],MATCH($AI20,阻害要因×在院期間区分[[#All],[値]],0),MATCH($AN$4,阻害要因×在院期間区分[#Headers],0)),0)+IFERROR(INDEX(阻害要因×在院期間区分[#All],MATCH($AI20,阻害要因×在院期間区分[[#All],[値]],0),MATCH($AO$4,阻害要因×在院期間区分[#Headers],0)),0)+IFERROR(INDEX(阻害要因×在院期間区分[#All],MATCH($AI20,阻害要因×在院期間区分[[#All],[値]],0),MATCH($AP$4,阻害要因×在院期間区分[#Headers],0)),0)+IFERROR(INDEX(阻害要因×在院期間区分[#All],MATCH($AI20,阻害要因×在院期間区分[[#All],[値]],0),MATCH($AQ$4,阻害要因×在院期間区分[#Headers],0)),0)+IFERROR(INDEX(阻害要因×在院期間区分[#All],MATCH($AI20,阻害要因×在院期間区分[[#All],[値]],0),MATCH($AR$4,阻害要因×在院期間区分[#Headers],0)),0)</f>
        <v>243</v>
      </c>
      <c r="F19" s="69">
        <f t="shared" si="2"/>
        <v>0.30413016270337923</v>
      </c>
      <c r="G19" s="72">
        <f>IFERROR(INDEX(阻害要因×在院期間区分[#All],MATCH($AI20,阻害要因×在院期間区分[[#All],[値]],0),MATCH($AS$4,阻害要因×在院期間区分[#Headers],0)),0)+IFERROR(INDEX(阻害要因×在院期間区分[#All],MATCH($AI20,阻害要因×在院期間区分[[#All],[値]],0),MATCH($AT$4,阻害要因×在院期間区分[#Headers],0)),0)+IFERROR(INDEX(阻害要因×在院期間区分[#All],MATCH($AI20,阻害要因×在院期間区分[[#All],[値]],0),MATCH($AU$4,阻害要因×在院期間区分[#Headers],0)),0)+IFERROR(INDEX(阻害要因×在院期間区分[#All],MATCH($AI20,阻害要因×在院期間区分[[#All],[値]],0),MATCH($AV$4,阻害要因×在院期間区分[#Headers],0)),0)+IFERROR(INDEX(阻害要因×在院期間区分[#All],MATCH($AI20,阻害要因×在院期間区分[[#All],[値]],0),MATCH($AW$4,阻害要因×在院期間区分[#Headers],0)),0)</f>
        <v>125</v>
      </c>
      <c r="H19" s="69">
        <f t="shared" si="3"/>
        <v>0.38226299694189603</v>
      </c>
      <c r="I19" s="72">
        <f>IFERROR(INDEX(阻害要因×在院期間区分[#All],MATCH($AI20,阻害要因×在院期間区分[[#All],[値]],0),MATCH($AX$4,阻害要因×在院期間区分[#Headers],0)),0)+IFERROR(INDEX(阻害要因×在院期間区分[#All],MATCH($AI20,阻害要因×在院期間区分[[#All],[値]],0),MATCH($AY$4,阻害要因×在院期間区分[#Headers],0)),0)</f>
        <v>163</v>
      </c>
      <c r="J19" s="69">
        <f t="shared" si="4"/>
        <v>0.3835294117647059</v>
      </c>
      <c r="K19" s="39">
        <f t="shared" si="5"/>
        <v>745</v>
      </c>
      <c r="L19" s="56" t="s">
        <v>170</v>
      </c>
      <c r="M19" s="66">
        <v>47</v>
      </c>
      <c r="N19" s="66">
        <v>34</v>
      </c>
      <c r="O19" s="66">
        <v>58</v>
      </c>
      <c r="P19" s="66">
        <v>75</v>
      </c>
      <c r="Q19" s="66">
        <v>55</v>
      </c>
      <c r="R19" s="66">
        <v>41</v>
      </c>
      <c r="S19" s="66">
        <v>71</v>
      </c>
      <c r="T19" s="66">
        <v>46</v>
      </c>
      <c r="U19" s="66">
        <v>30</v>
      </c>
      <c r="V19" s="66">
        <v>35</v>
      </c>
      <c r="W19" s="66">
        <v>34</v>
      </c>
      <c r="X19" s="66">
        <v>21</v>
      </c>
      <c r="Y19" s="66">
        <v>19</v>
      </c>
      <c r="Z19" s="66">
        <v>16</v>
      </c>
      <c r="AA19" s="66">
        <v>95</v>
      </c>
      <c r="AB19" s="66">
        <v>68</v>
      </c>
      <c r="AI19" s="384" t="s">
        <v>169</v>
      </c>
      <c r="AJ19" s="56"/>
    </row>
    <row r="20" spans="2:36" ht="18.75" customHeight="1" x14ac:dyDescent="0.15">
      <c r="B20" s="105" t="s">
        <v>42</v>
      </c>
      <c r="C20" s="112">
        <f>IFERROR(INDEX(阻害要因×在院期間区分[#All],MATCH($AI21,阻害要因×在院期間区分[[#All],[値]],0),MATCH($AJ$4,阻害要因×在院期間区分[#Headers],0)),0)+IFERROR(INDEX(阻害要因×在院期間区分[#All],MATCH($AI21,阻害要因×在院期間区分[[#All],[値]],0),MATCH($AK$4,阻害要因×在院期間区分[#Headers],0)),0)+IFERROR(INDEX(阻害要因×在院期間区分[#All],MATCH($AI21,阻害要因×在院期間区分[[#All],[値]],0),MATCH($AL$4,阻害要因×在院期間区分[#Headers],0)),0)+IFERROR(INDEX(阻害要因×在院期間区分[#All],MATCH($AI21,阻害要因×在院期間区分[[#All],[値]],0),MATCH($AM$4,阻害要因×在院期間区分[#Headers],0)),0)</f>
        <v>92</v>
      </c>
      <c r="D20" s="69">
        <f t="shared" si="1"/>
        <v>0.11994784876140809</v>
      </c>
      <c r="E20" s="70">
        <f>IFERROR(INDEX(阻害要因×在院期間区分[#All],MATCH($AI21,阻害要因×在院期間区分[[#All],[値]],0),MATCH($AN$4,阻害要因×在院期間区分[#Headers],0)),0)+IFERROR(INDEX(阻害要因×在院期間区分[#All],MATCH($AI21,阻害要因×在院期間区分[[#All],[値]],0),MATCH($AO$4,阻害要因×在院期間区分[#Headers],0)),0)+IFERROR(INDEX(阻害要因×在院期間区分[#All],MATCH($AI21,阻害要因×在院期間区分[[#All],[値]],0),MATCH($AP$4,阻害要因×在院期間区分[#Headers],0)),0)+IFERROR(INDEX(阻害要因×在院期間区分[#All],MATCH($AI21,阻害要因×在院期間区分[[#All],[値]],0),MATCH($AQ$4,阻害要因×在院期間区分[#Headers],0)),0)+IFERROR(INDEX(阻害要因×在院期間区分[#All],MATCH($AI21,阻害要因×在院期間区分[[#All],[値]],0),MATCH($AR$4,阻害要因×在院期間区分[#Headers],0)),0)</f>
        <v>78</v>
      </c>
      <c r="F20" s="69">
        <f t="shared" si="2"/>
        <v>9.7622027534418024E-2</v>
      </c>
      <c r="G20" s="70">
        <f>IFERROR(INDEX(阻害要因×在院期間区分[#All],MATCH($AI21,阻害要因×在院期間区分[[#All],[値]],0),MATCH($AS$4,阻害要因×在院期間区分[#Headers],0)),0)+IFERROR(INDEX(阻害要因×在院期間区分[#All],MATCH($AI21,阻害要因×在院期間区分[[#All],[値]],0),MATCH($AT$4,阻害要因×在院期間区分[#Headers],0)),0)+IFERROR(INDEX(阻害要因×在院期間区分[#All],MATCH($AI21,阻害要因×在院期間区分[[#All],[値]],0),MATCH($AU$4,阻害要因×在院期間区分[#Headers],0)),0)+IFERROR(INDEX(阻害要因×在院期間区分[#All],MATCH($AI21,阻害要因×在院期間区分[[#All],[値]],0),MATCH($AV$4,阻害要因×在院期間区分[#Headers],0)),0)+IFERROR(INDEX(阻害要因×在院期間区分[#All],MATCH($AI21,阻害要因×在院期間区分[[#All],[値]],0),MATCH($AW$4,阻害要因×在院期間区分[#Headers],0)),0)</f>
        <v>39</v>
      </c>
      <c r="H20" s="69">
        <f t="shared" si="3"/>
        <v>0.11926605504587157</v>
      </c>
      <c r="I20" s="70">
        <f>IFERROR(INDEX(阻害要因×在院期間区分[#All],MATCH($AI21,阻害要因×在院期間区分[[#All],[値]],0),MATCH($AX$4,阻害要因×在院期間区分[#Headers],0)),0)+IFERROR(INDEX(阻害要因×在院期間区分[#All],MATCH($AI21,阻害要因×在院期間区分[[#All],[値]],0),MATCH($AY$4,阻害要因×在院期間区分[#Headers],0)),0)</f>
        <v>40</v>
      </c>
      <c r="J20" s="69">
        <f t="shared" si="4"/>
        <v>9.4117647058823528E-2</v>
      </c>
      <c r="K20" s="39">
        <f t="shared" si="5"/>
        <v>249</v>
      </c>
      <c r="L20" s="56" t="s">
        <v>171</v>
      </c>
      <c r="M20" s="66">
        <v>18</v>
      </c>
      <c r="N20" s="66">
        <v>22</v>
      </c>
      <c r="O20" s="66">
        <v>26</v>
      </c>
      <c r="P20" s="66">
        <v>26</v>
      </c>
      <c r="Q20" s="66">
        <v>26</v>
      </c>
      <c r="R20" s="66">
        <v>22</v>
      </c>
      <c r="S20" s="66">
        <v>14</v>
      </c>
      <c r="T20" s="66">
        <v>11</v>
      </c>
      <c r="U20" s="66">
        <v>5</v>
      </c>
      <c r="V20" s="66">
        <v>9</v>
      </c>
      <c r="W20" s="66">
        <v>11</v>
      </c>
      <c r="X20" s="66">
        <v>8</v>
      </c>
      <c r="Y20" s="66">
        <v>5</v>
      </c>
      <c r="Z20" s="66">
        <v>6</v>
      </c>
      <c r="AA20" s="66">
        <v>25</v>
      </c>
      <c r="AB20" s="66">
        <v>15</v>
      </c>
      <c r="AI20" s="384" t="s">
        <v>170</v>
      </c>
    </row>
    <row r="21" spans="2:36" ht="18.75" customHeight="1" x14ac:dyDescent="0.15">
      <c r="B21" s="105" t="s">
        <v>43</v>
      </c>
      <c r="C21" s="112">
        <f>IFERROR(INDEX(阻害要因×在院期間区分[#All],MATCH($AI22,阻害要因×在院期間区分[[#All],[値]],0),MATCH($AJ$4,阻害要因×在院期間区分[#Headers],0)),0)+IFERROR(INDEX(阻害要因×在院期間区分[#All],MATCH($AI22,阻害要因×在院期間区分[[#All],[値]],0),MATCH($AK$4,阻害要因×在院期間区分[#Headers],0)),0)+IFERROR(INDEX(阻害要因×在院期間区分[#All],MATCH($AI22,阻害要因×在院期間区分[[#All],[値]],0),MATCH($AL$4,阻害要因×在院期間区分[#Headers],0)),0)+IFERROR(INDEX(阻害要因×在院期間区分[#All],MATCH($AI22,阻害要因×在院期間区分[[#All],[値]],0),MATCH($AM$4,阻害要因×在院期間区分[#Headers],0)),0)</f>
        <v>248</v>
      </c>
      <c r="D21" s="69">
        <f t="shared" si="1"/>
        <v>0.32333767926988266</v>
      </c>
      <c r="E21" s="70">
        <f>IFERROR(INDEX(阻害要因×在院期間区分[#All],MATCH($AI22,阻害要因×在院期間区分[[#All],[値]],0),MATCH($AN$4,阻害要因×在院期間区分[#Headers],0)),0)+IFERROR(INDEX(阻害要因×在院期間区分[#All],MATCH($AI22,阻害要因×在院期間区分[[#All],[値]],0),MATCH($AO$4,阻害要因×在院期間区分[#Headers],0)),0)+IFERROR(INDEX(阻害要因×在院期間区分[#All],MATCH($AI22,阻害要因×在院期間区分[[#All],[値]],0),MATCH($AP$4,阻害要因×在院期間区分[#Headers],0)),0)+IFERROR(INDEX(阻害要因×在院期間区分[#All],MATCH($AI22,阻害要因×在院期間区分[[#All],[値]],0),MATCH($AQ$4,阻害要因×在院期間区分[#Headers],0)),0)+IFERROR(INDEX(阻害要因×在院期間区分[#All],MATCH($AI22,阻害要因×在院期間区分[[#All],[値]],0),MATCH($AR$4,阻害要因×在院期間区分[#Headers],0)),0)</f>
        <v>307</v>
      </c>
      <c r="F21" s="69">
        <f t="shared" si="2"/>
        <v>0.38423028785982477</v>
      </c>
      <c r="G21" s="70">
        <f>IFERROR(INDEX(阻害要因×在院期間区分[#All],MATCH($AI22,阻害要因×在院期間区分[[#All],[値]],0),MATCH($AS$4,阻害要因×在院期間区分[#Headers],0)),0)+IFERROR(INDEX(阻害要因×在院期間区分[#All],MATCH($AI22,阻害要因×在院期間区分[[#All],[値]],0),MATCH($AT$4,阻害要因×在院期間区分[#Headers],0)),0)+IFERROR(INDEX(阻害要因×在院期間区分[#All],MATCH($AI22,阻害要因×在院期間区分[[#All],[値]],0),MATCH($AU$4,阻害要因×在院期間区分[#Headers],0)),0)+IFERROR(INDEX(阻害要因×在院期間区分[#All],MATCH($AI22,阻害要因×在院期間区分[[#All],[値]],0),MATCH($AV$4,阻害要因×在院期間区分[#Headers],0)),0)+IFERROR(INDEX(阻害要因×在院期間区分[#All],MATCH($AI22,阻害要因×在院期間区分[[#All],[値]],0),MATCH($AW$4,阻害要因×在院期間区分[#Headers],0)),0)</f>
        <v>125</v>
      </c>
      <c r="H21" s="69">
        <f t="shared" si="3"/>
        <v>0.38226299694189603</v>
      </c>
      <c r="I21" s="70">
        <f>IFERROR(INDEX(阻害要因×在院期間区分[#All],MATCH($AI22,阻害要因×在院期間区分[[#All],[値]],0),MATCH($AX$4,阻害要因×在院期間区分[#Headers],0)),0)+IFERROR(INDEX(阻害要因×在院期間区分[#All],MATCH($AI22,阻害要因×在院期間区分[[#All],[値]],0),MATCH($AY$4,阻害要因×在院期間区分[#Headers],0)),0)</f>
        <v>167</v>
      </c>
      <c r="J21" s="69">
        <f t="shared" si="4"/>
        <v>0.39294117647058824</v>
      </c>
      <c r="K21" s="39">
        <f t="shared" si="5"/>
        <v>847</v>
      </c>
      <c r="L21" s="56" t="s">
        <v>172</v>
      </c>
      <c r="M21" s="66">
        <v>50</v>
      </c>
      <c r="N21" s="66">
        <v>52</v>
      </c>
      <c r="O21" s="66">
        <v>62</v>
      </c>
      <c r="P21" s="66">
        <v>84</v>
      </c>
      <c r="Q21" s="66">
        <v>73</v>
      </c>
      <c r="R21" s="66">
        <v>53</v>
      </c>
      <c r="S21" s="66">
        <v>85</v>
      </c>
      <c r="T21" s="66">
        <v>55</v>
      </c>
      <c r="U21" s="66">
        <v>41</v>
      </c>
      <c r="V21" s="66">
        <v>37</v>
      </c>
      <c r="W21" s="66">
        <v>23</v>
      </c>
      <c r="X21" s="66">
        <v>25</v>
      </c>
      <c r="Y21" s="66">
        <v>25</v>
      </c>
      <c r="Z21" s="66">
        <v>15</v>
      </c>
      <c r="AA21" s="66">
        <v>96</v>
      </c>
      <c r="AB21" s="66">
        <v>71</v>
      </c>
      <c r="AI21" s="384" t="s">
        <v>171</v>
      </c>
    </row>
    <row r="22" spans="2:36" ht="18.75" customHeight="1" x14ac:dyDescent="0.15">
      <c r="B22" s="105" t="s">
        <v>44</v>
      </c>
      <c r="C22" s="112">
        <f>IFERROR(INDEX(阻害要因×在院期間区分[#All],MATCH($AI23,阻害要因×在院期間区分[[#All],[値]],0),MATCH($AJ$4,阻害要因×在院期間区分[#Headers],0)),0)+IFERROR(INDEX(阻害要因×在院期間区分[#All],MATCH($AI23,阻害要因×在院期間区分[[#All],[値]],0),MATCH($AK$4,阻害要因×在院期間区分[#Headers],0)),0)+IFERROR(INDEX(阻害要因×在院期間区分[#All],MATCH($AI23,阻害要因×在院期間区分[[#All],[値]],0),MATCH($AL$4,阻害要因×在院期間区分[#Headers],0)),0)+IFERROR(INDEX(阻害要因×在院期間区分[#All],MATCH($AI23,阻害要因×在院期間区分[[#All],[値]],0),MATCH($AM$4,阻害要因×在院期間区分[#Headers],0)),0)</f>
        <v>109</v>
      </c>
      <c r="D22" s="69">
        <f t="shared" si="1"/>
        <v>0.14211212516297261</v>
      </c>
      <c r="E22" s="70">
        <f>IFERROR(INDEX(阻害要因×在院期間区分[#All],MATCH($AI23,阻害要因×在院期間区分[[#All],[値]],0),MATCH($AN$4,阻害要因×在院期間区分[#Headers],0)),0)+IFERROR(INDEX(阻害要因×在院期間区分[#All],MATCH($AI23,阻害要因×在院期間区分[[#All],[値]],0),MATCH($AO$4,阻害要因×在院期間区分[#Headers],0)),0)+IFERROR(INDEX(阻害要因×在院期間区分[#All],MATCH($AI23,阻害要因×在院期間区分[[#All],[値]],0),MATCH($AP$4,阻害要因×在院期間区分[#Headers],0)),0)+IFERROR(INDEX(阻害要因×在院期間区分[#All],MATCH($AI23,阻害要因×在院期間区分[[#All],[値]],0),MATCH($AQ$4,阻害要因×在院期間区分[#Headers],0)),0)+IFERROR(INDEX(阻害要因×在院期間区分[#All],MATCH($AI23,阻害要因×在院期間区分[[#All],[値]],0),MATCH($AR$4,阻害要因×在院期間区分[#Headers],0)),0)</f>
        <v>150</v>
      </c>
      <c r="F22" s="69">
        <f t="shared" si="2"/>
        <v>0.18773466833541927</v>
      </c>
      <c r="G22" s="70">
        <f>IFERROR(INDEX(阻害要因×在院期間区分[#All],MATCH($AI23,阻害要因×在院期間区分[[#All],[値]],0),MATCH($AS$4,阻害要因×在院期間区分[#Headers],0)),0)+IFERROR(INDEX(阻害要因×在院期間区分[#All],MATCH($AI23,阻害要因×在院期間区分[[#All],[値]],0),MATCH($AT$4,阻害要因×在院期間区分[#Headers],0)),0)+IFERROR(INDEX(阻害要因×在院期間区分[#All],MATCH($AI23,阻害要因×在院期間区分[[#All],[値]],0),MATCH($AU$4,阻害要因×在院期間区分[#Headers],0)),0)+IFERROR(INDEX(阻害要因×在院期間区分[#All],MATCH($AI23,阻害要因×在院期間区分[[#All],[値]],0),MATCH($AV$4,阻害要因×在院期間区分[#Headers],0)),0)+IFERROR(INDEX(阻害要因×在院期間区分[#All],MATCH($AI23,阻害要因×在院期間区分[[#All],[値]],0),MATCH($AW$4,阻害要因×在院期間区分[#Headers],0)),0)</f>
        <v>72</v>
      </c>
      <c r="H22" s="69">
        <f t="shared" si="3"/>
        <v>0.22018348623853212</v>
      </c>
      <c r="I22" s="70">
        <f>IFERROR(INDEX(阻害要因×在院期間区分[#All],MATCH($AI23,阻害要因×在院期間区分[[#All],[値]],0),MATCH($AX$4,阻害要因×在院期間区分[#Headers],0)),0)+IFERROR(INDEX(阻害要因×在院期間区分[#All],MATCH($AI23,阻害要因×在院期間区分[[#All],[値]],0),MATCH($AY$4,阻害要因×在院期間区分[#Headers],0)),0)</f>
        <v>94</v>
      </c>
      <c r="J22" s="69">
        <f t="shared" si="4"/>
        <v>0.22117647058823531</v>
      </c>
      <c r="K22" s="39">
        <f t="shared" si="5"/>
        <v>425</v>
      </c>
      <c r="L22" s="56" t="s">
        <v>173</v>
      </c>
      <c r="M22" s="66">
        <v>16</v>
      </c>
      <c r="N22" s="66">
        <v>18</v>
      </c>
      <c r="O22" s="66">
        <v>40</v>
      </c>
      <c r="P22" s="66">
        <v>35</v>
      </c>
      <c r="Q22" s="66">
        <v>39</v>
      </c>
      <c r="R22" s="66">
        <v>33</v>
      </c>
      <c r="S22" s="66">
        <v>33</v>
      </c>
      <c r="T22" s="66">
        <v>24</v>
      </c>
      <c r="U22" s="66">
        <v>21</v>
      </c>
      <c r="V22" s="66">
        <v>20</v>
      </c>
      <c r="W22" s="66">
        <v>18</v>
      </c>
      <c r="X22" s="66">
        <v>14</v>
      </c>
      <c r="Y22" s="66">
        <v>9</v>
      </c>
      <c r="Z22" s="66">
        <v>11</v>
      </c>
      <c r="AA22" s="66">
        <v>54</v>
      </c>
      <c r="AB22" s="66">
        <v>40</v>
      </c>
      <c r="AI22" s="384" t="s">
        <v>172</v>
      </c>
    </row>
    <row r="23" spans="2:36" ht="18.75" customHeight="1" x14ac:dyDescent="0.15">
      <c r="B23" s="105" t="s">
        <v>246</v>
      </c>
      <c r="C23" s="112">
        <f>IFERROR(INDEX(阻害要因×在院期間区分[#All],MATCH($AI24,阻害要因×在院期間区分[[#All],[値]],0),MATCH($AJ$4,阻害要因×在院期間区分[#Headers],0)),0)+IFERROR(INDEX(阻害要因×在院期間区分[#All],MATCH($AI24,阻害要因×在院期間区分[[#All],[値]],0),MATCH($AK$4,阻害要因×在院期間区分[#Headers],0)),0)+IFERROR(INDEX(阻害要因×在院期間区分[#All],MATCH($AI24,阻害要因×在院期間区分[[#All],[値]],0),MATCH($AL$4,阻害要因×在院期間区分[#Headers],0)),0)+IFERROR(INDEX(阻害要因×在院期間区分[#All],MATCH($AI24,阻害要因×在院期間区分[[#All],[値]],0),MATCH($AM$4,阻害要因×在院期間区分[#Headers],0)),0)</f>
        <v>121</v>
      </c>
      <c r="D23" s="69">
        <f t="shared" si="1"/>
        <v>0.15775749674054759</v>
      </c>
      <c r="E23" s="70">
        <f>IFERROR(INDEX(阻害要因×在院期間区分[#All],MATCH($AI24,阻害要因×在院期間区分[[#All],[値]],0),MATCH($AN$4,阻害要因×在院期間区分[#Headers],0)),0)+IFERROR(INDEX(阻害要因×在院期間区分[#All],MATCH($AI24,阻害要因×在院期間区分[[#All],[値]],0),MATCH($AO$4,阻害要因×在院期間区分[#Headers],0)),0)+IFERROR(INDEX(阻害要因×在院期間区分[#All],MATCH($AI24,阻害要因×在院期間区分[[#All],[値]],0),MATCH($AP$4,阻害要因×在院期間区分[#Headers],0)),0)+IFERROR(INDEX(阻害要因×在院期間区分[#All],MATCH($AI24,阻害要因×在院期間区分[[#All],[値]],0),MATCH($AQ$4,阻害要因×在院期間区分[#Headers],0)),0)+IFERROR(INDEX(阻害要因×在院期間区分[#All],MATCH($AI24,阻害要因×在院期間区分[[#All],[値]],0),MATCH($AR$4,阻害要因×在院期間区分[#Headers],0)),0)</f>
        <v>191</v>
      </c>
      <c r="F23" s="69">
        <f t="shared" si="2"/>
        <v>0.23904881101376721</v>
      </c>
      <c r="G23" s="70">
        <f>IFERROR(INDEX(阻害要因×在院期間区分[#All],MATCH($AI24,阻害要因×在院期間区分[[#All],[値]],0),MATCH($AS$4,阻害要因×在院期間区分[#Headers],0)),0)+IFERROR(INDEX(阻害要因×在院期間区分[#All],MATCH($AI24,阻害要因×在院期間区分[[#All],[値]],0),MATCH($AT$4,阻害要因×在院期間区分[#Headers],0)),0)+IFERROR(INDEX(阻害要因×在院期間区分[#All],MATCH($AI24,阻害要因×在院期間区分[[#All],[値]],0),MATCH($AU$4,阻害要因×在院期間区分[#Headers],0)),0)+IFERROR(INDEX(阻害要因×在院期間区分[#All],MATCH($AI24,阻害要因×在院期間区分[[#All],[値]],0),MATCH($AV$4,阻害要因×在院期間区分[#Headers],0)),0)+IFERROR(INDEX(阻害要因×在院期間区分[#All],MATCH($AI24,阻害要因×在院期間区分[[#All],[値]],0),MATCH($AW$4,阻害要因×在院期間区分[#Headers],0)),0)</f>
        <v>100</v>
      </c>
      <c r="H23" s="69">
        <f t="shared" si="3"/>
        <v>0.3058103975535168</v>
      </c>
      <c r="I23" s="70">
        <f>IFERROR(INDEX(阻害要因×在院期間区分[#All],MATCH($AI24,阻害要因×在院期間区分[[#All],[値]],0),MATCH($AX$4,阻害要因×在院期間区分[#Headers],0)),0)+IFERROR(INDEX(阻害要因×在院期間区分[#All],MATCH($AI24,阻害要因×在院期間区分[[#All],[値]],0),MATCH($AY$4,阻害要因×在院期間区分[#Headers],0)),0)</f>
        <v>105</v>
      </c>
      <c r="J23" s="69">
        <f t="shared" si="4"/>
        <v>0.24705882352941178</v>
      </c>
      <c r="K23" s="39">
        <f t="shared" si="5"/>
        <v>517</v>
      </c>
      <c r="L23" s="56" t="s">
        <v>174</v>
      </c>
      <c r="M23" s="66">
        <v>15</v>
      </c>
      <c r="N23" s="66">
        <v>22</v>
      </c>
      <c r="O23" s="66">
        <v>36</v>
      </c>
      <c r="P23" s="66">
        <v>48</v>
      </c>
      <c r="Q23" s="66">
        <v>48</v>
      </c>
      <c r="R23" s="66">
        <v>42</v>
      </c>
      <c r="S23" s="66">
        <v>51</v>
      </c>
      <c r="T23" s="66">
        <v>28</v>
      </c>
      <c r="U23" s="66">
        <v>22</v>
      </c>
      <c r="V23" s="66">
        <v>34</v>
      </c>
      <c r="W23" s="66">
        <v>16</v>
      </c>
      <c r="X23" s="66">
        <v>25</v>
      </c>
      <c r="Y23" s="66">
        <v>18</v>
      </c>
      <c r="Z23" s="66">
        <v>7</v>
      </c>
      <c r="AA23" s="66">
        <v>67</v>
      </c>
      <c r="AB23" s="66">
        <v>38</v>
      </c>
      <c r="AI23" s="384" t="s">
        <v>173</v>
      </c>
    </row>
    <row r="24" spans="2:36" ht="18.75" customHeight="1" x14ac:dyDescent="0.15">
      <c r="B24" s="105" t="s">
        <v>46</v>
      </c>
      <c r="C24" s="112">
        <f>IFERROR(INDEX(阻害要因×在院期間区分[#All],MATCH($AI25,阻害要因×在院期間区分[[#All],[値]],0),MATCH($AJ$4,阻害要因×在院期間区分[#Headers],0)),0)+IFERROR(INDEX(阻害要因×在院期間区分[#All],MATCH($AI25,阻害要因×在院期間区分[[#All],[値]],0),MATCH($AK$4,阻害要因×在院期間区分[#Headers],0)),0)+IFERROR(INDEX(阻害要因×在院期間区分[#All],MATCH($AI25,阻害要因×在院期間区分[[#All],[値]],0),MATCH($AL$4,阻害要因×在院期間区分[#Headers],0)),0)+IFERROR(INDEX(阻害要因×在院期間区分[#All],MATCH($AI25,阻害要因×在院期間区分[[#All],[値]],0),MATCH($AM$4,阻害要因×在院期間区分[#Headers],0)),0)</f>
        <v>331</v>
      </c>
      <c r="D24" s="69">
        <f t="shared" si="1"/>
        <v>0.43155149934810949</v>
      </c>
      <c r="E24" s="70">
        <f>IFERROR(INDEX(阻害要因×在院期間区分[#All],MATCH($AI25,阻害要因×在院期間区分[[#All],[値]],0),MATCH($AN$4,阻害要因×在院期間区分[#Headers],0)),0)+IFERROR(INDEX(阻害要因×在院期間区分[#All],MATCH($AI25,阻害要因×在院期間区分[[#All],[値]],0),MATCH($AO$4,阻害要因×在院期間区分[#Headers],0)),0)+IFERROR(INDEX(阻害要因×在院期間区分[#All],MATCH($AI25,阻害要因×在院期間区分[[#All],[値]],0),MATCH($AP$4,阻害要因×在院期間区分[#Headers],0)),0)+IFERROR(INDEX(阻害要因×在院期間区分[#All],MATCH($AI25,阻害要因×在院期間区分[[#All],[値]],0),MATCH($AQ$4,阻害要因×在院期間区分[#Headers],0)),0)+IFERROR(INDEX(阻害要因×在院期間区分[#All],MATCH($AI25,阻害要因×在院期間区分[[#All],[値]],0),MATCH($AR$4,阻害要因×在院期間区分[#Headers],0)),0)</f>
        <v>299</v>
      </c>
      <c r="F24" s="69">
        <f t="shared" si="2"/>
        <v>0.37421777221526908</v>
      </c>
      <c r="G24" s="70">
        <f>IFERROR(INDEX(阻害要因×在院期間区分[#All],MATCH($AI25,阻害要因×在院期間区分[[#All],[値]],0),MATCH($AS$4,阻害要因×在院期間区分[#Headers],0)),0)+IFERROR(INDEX(阻害要因×在院期間区分[#All],MATCH($AI25,阻害要因×在院期間区分[[#All],[値]],0),MATCH($AT$4,阻害要因×在院期間区分[#Headers],0)),0)+IFERROR(INDEX(阻害要因×在院期間区分[#All],MATCH($AI25,阻害要因×在院期間区分[[#All],[値]],0),MATCH($AU$4,阻害要因×在院期間区分[#Headers],0)),0)+IFERROR(INDEX(阻害要因×在院期間区分[#All],MATCH($AI25,阻害要因×在院期間区分[[#All],[値]],0),MATCH($AV$4,阻害要因×在院期間区分[#Headers],0)),0)+IFERROR(INDEX(阻害要因×在院期間区分[#All],MATCH($AI25,阻害要因×在院期間区分[[#All],[値]],0),MATCH($AW$4,阻害要因×在院期間区分[#Headers],0)),0)</f>
        <v>113</v>
      </c>
      <c r="H24" s="69">
        <f t="shared" si="3"/>
        <v>0.34556574923547401</v>
      </c>
      <c r="I24" s="70">
        <f>IFERROR(INDEX(阻害要因×在院期間区分[#All],MATCH($AI25,阻害要因×在院期間区分[[#All],[値]],0),MATCH($AX$4,阻害要因×在院期間区分[#Headers],0)),0)+IFERROR(INDEX(阻害要因×在院期間区分[#All],MATCH($AI25,阻害要因×在院期間区分[[#All],[値]],0),MATCH($AY$4,阻害要因×在院期間区分[#Headers],0)),0)</f>
        <v>113</v>
      </c>
      <c r="J24" s="69">
        <f t="shared" si="4"/>
        <v>0.26588235294117646</v>
      </c>
      <c r="K24" s="39">
        <f t="shared" si="5"/>
        <v>856</v>
      </c>
      <c r="L24" s="56" t="s">
        <v>175</v>
      </c>
      <c r="M24" s="66">
        <v>42</v>
      </c>
      <c r="N24" s="66">
        <v>73</v>
      </c>
      <c r="O24" s="66">
        <v>99</v>
      </c>
      <c r="P24" s="66">
        <v>117</v>
      </c>
      <c r="Q24" s="66">
        <v>76</v>
      </c>
      <c r="R24" s="66">
        <v>64</v>
      </c>
      <c r="S24" s="66">
        <v>83</v>
      </c>
      <c r="T24" s="66">
        <v>37</v>
      </c>
      <c r="U24" s="66">
        <v>39</v>
      </c>
      <c r="V24" s="66">
        <v>29</v>
      </c>
      <c r="W24" s="66">
        <v>27</v>
      </c>
      <c r="X24" s="66">
        <v>24</v>
      </c>
      <c r="Y24" s="66">
        <v>17</v>
      </c>
      <c r="Z24" s="66">
        <v>16</v>
      </c>
      <c r="AA24" s="66">
        <v>70</v>
      </c>
      <c r="AB24" s="66">
        <v>43</v>
      </c>
      <c r="AI24" s="384" t="s">
        <v>174</v>
      </c>
    </row>
    <row r="25" spans="2:36" ht="18.75" customHeight="1" x14ac:dyDescent="0.15">
      <c r="B25" s="105" t="s">
        <v>47</v>
      </c>
      <c r="C25" s="112">
        <f>IFERROR(INDEX(阻害要因×在院期間区分[#All],MATCH($AI26,阻害要因×在院期間区分[[#All],[値]],0),MATCH($AJ$4,阻害要因×在院期間区分[#Headers],0)),0)+IFERROR(INDEX(阻害要因×在院期間区分[#All],MATCH($AI26,阻害要因×在院期間区分[[#All],[値]],0),MATCH($AK$4,阻害要因×在院期間区分[#Headers],0)),0)+IFERROR(INDEX(阻害要因×在院期間区分[#All],MATCH($AI26,阻害要因×在院期間区分[[#All],[値]],0),MATCH($AL$4,阻害要因×在院期間区分[#Headers],0)),0)+IFERROR(INDEX(阻害要因×在院期間区分[#All],MATCH($AI26,阻害要因×在院期間区分[[#All],[値]],0),MATCH($AM$4,阻害要因×在院期間区分[#Headers],0)),0)</f>
        <v>27</v>
      </c>
      <c r="D25" s="69">
        <f t="shared" si="1"/>
        <v>3.5202086049543675E-2</v>
      </c>
      <c r="E25" s="70">
        <f>IFERROR(INDEX(阻害要因×在院期間区分[#All],MATCH($AI26,阻害要因×在院期間区分[[#All],[値]],0),MATCH($AN$4,阻害要因×在院期間区分[#Headers],0)),0)+IFERROR(INDEX(阻害要因×在院期間区分[#All],MATCH($AI26,阻害要因×在院期間区分[[#All],[値]],0),MATCH($AO$4,阻害要因×在院期間区分[#Headers],0)),0)+IFERROR(INDEX(阻害要因×在院期間区分[#All],MATCH($AI26,阻害要因×在院期間区分[[#All],[値]],0),MATCH($AP$4,阻害要因×在院期間区分[#Headers],0)),0)+IFERROR(INDEX(阻害要因×在院期間区分[#All],MATCH($AI26,阻害要因×在院期間区分[[#All],[値]],0),MATCH($AQ$4,阻害要因×在院期間区分[#Headers],0)),0)+IFERROR(INDEX(阻害要因×在院期間区分[#All],MATCH($AI26,阻害要因×在院期間区分[[#All],[値]],0),MATCH($AR$4,阻害要因×在院期間区分[#Headers],0)),0)</f>
        <v>45</v>
      </c>
      <c r="F25" s="69">
        <f t="shared" si="2"/>
        <v>5.6320400500625784E-2</v>
      </c>
      <c r="G25" s="70">
        <f>IFERROR(INDEX(阻害要因×在院期間区分[#All],MATCH($AI26,阻害要因×在院期間区分[[#All],[値]],0),MATCH($AS$4,阻害要因×在院期間区分[#Headers],0)),0)+IFERROR(INDEX(阻害要因×在院期間区分[#All],MATCH($AI26,阻害要因×在院期間区分[[#All],[値]],0),MATCH($AT$4,阻害要因×在院期間区分[#Headers],0)),0)+IFERROR(INDEX(阻害要因×在院期間区分[#All],MATCH($AI26,阻害要因×在院期間区分[[#All],[値]],0),MATCH($AU$4,阻害要因×在院期間区分[#Headers],0)),0)+IFERROR(INDEX(阻害要因×在院期間区分[#All],MATCH($AI26,阻害要因×在院期間区分[[#All],[値]],0),MATCH($AV$4,阻害要因×在院期間区分[#Headers],0)),0)+IFERROR(INDEX(阻害要因×在院期間区分[#All],MATCH($AI26,阻害要因×在院期間区分[[#All],[値]],0),MATCH($AW$4,阻害要因×在院期間区分[#Headers],0)),0)</f>
        <v>15</v>
      </c>
      <c r="H25" s="69">
        <f t="shared" si="3"/>
        <v>4.5871559633027525E-2</v>
      </c>
      <c r="I25" s="70">
        <f>IFERROR(INDEX(阻害要因×在院期間区分[#All],MATCH($AI26,阻害要因×在院期間区分[[#All],[値]],0),MATCH($AX$4,阻害要因×在院期間区分[#Headers],0)),0)+IFERROR(INDEX(阻害要因×在院期間区分[#All],MATCH($AI26,阻害要因×在院期間区分[[#All],[値]],0),MATCH($AY$4,阻害要因×在院期間区分[#Headers],0)),0)</f>
        <v>14</v>
      </c>
      <c r="J25" s="69">
        <f t="shared" si="4"/>
        <v>3.2941176470588238E-2</v>
      </c>
      <c r="K25" s="39">
        <f t="shared" si="5"/>
        <v>101</v>
      </c>
      <c r="L25" s="56" t="s">
        <v>176</v>
      </c>
      <c r="M25" s="66">
        <v>3</v>
      </c>
      <c r="N25" s="66">
        <v>7</v>
      </c>
      <c r="O25" s="66">
        <v>6</v>
      </c>
      <c r="P25" s="66">
        <v>11</v>
      </c>
      <c r="Q25" s="66">
        <v>10</v>
      </c>
      <c r="R25" s="66">
        <v>5</v>
      </c>
      <c r="S25" s="66">
        <v>19</v>
      </c>
      <c r="T25" s="66">
        <v>5</v>
      </c>
      <c r="U25" s="66">
        <v>6</v>
      </c>
      <c r="V25" s="66">
        <v>8</v>
      </c>
      <c r="W25" s="66">
        <v>3</v>
      </c>
      <c r="X25" s="66">
        <v>2</v>
      </c>
      <c r="Y25" s="66">
        <v>1</v>
      </c>
      <c r="Z25" s="66">
        <v>1</v>
      </c>
      <c r="AA25" s="66">
        <v>8</v>
      </c>
      <c r="AB25" s="66">
        <v>6</v>
      </c>
      <c r="AI25" s="384" t="s">
        <v>175</v>
      </c>
    </row>
    <row r="26" spans="2:36" ht="18.75" customHeight="1" x14ac:dyDescent="0.15">
      <c r="B26" s="105" t="s">
        <v>48</v>
      </c>
      <c r="C26" s="112">
        <f>IFERROR(INDEX(阻害要因×在院期間区分[#All],MATCH($AI27,阻害要因×在院期間区分[[#All],[値]],0),MATCH($AJ$4,阻害要因×在院期間区分[#Headers],0)),0)+IFERROR(INDEX(阻害要因×在院期間区分[#All],MATCH($AI27,阻害要因×在院期間区分[[#All],[値]],0),MATCH($AK$4,阻害要因×在院期間区分[#Headers],0)),0)+IFERROR(INDEX(阻害要因×在院期間区分[#All],MATCH($AI27,阻害要因×在院期間区分[[#All],[値]],0),MATCH($AL$4,阻害要因×在院期間区分[#Headers],0)),0)+IFERROR(INDEX(阻害要因×在院期間区分[#All],MATCH($AI27,阻害要因×在院期間区分[[#All],[値]],0),MATCH($AM$4,阻害要因×在院期間区分[#Headers],0)),0)</f>
        <v>70</v>
      </c>
      <c r="D26" s="69">
        <f t="shared" si="1"/>
        <v>9.126466753585398E-2</v>
      </c>
      <c r="E26" s="70">
        <f>IFERROR(INDEX(阻害要因×在院期間区分[#All],MATCH($AI27,阻害要因×在院期間区分[[#All],[値]],0),MATCH($AN$4,阻害要因×在院期間区分[#Headers],0)),0)+IFERROR(INDEX(阻害要因×在院期間区分[#All],MATCH($AI27,阻害要因×在院期間区分[[#All],[値]],0),MATCH($AO$4,阻害要因×在院期間区分[#Headers],0)),0)+IFERROR(INDEX(阻害要因×在院期間区分[#All],MATCH($AI27,阻害要因×在院期間区分[[#All],[値]],0),MATCH($AP$4,阻害要因×在院期間区分[#Headers],0)),0)+IFERROR(INDEX(阻害要因×在院期間区分[#All],MATCH($AI27,阻害要因×在院期間区分[[#All],[値]],0),MATCH($AQ$4,阻害要因×在院期間区分[#Headers],0)),0)+IFERROR(INDEX(阻害要因×在院期間区分[#All],MATCH($AI27,阻害要因×在院期間区分[[#All],[値]],0),MATCH($AR$4,阻害要因×在院期間区分[#Headers],0)),0)</f>
        <v>53</v>
      </c>
      <c r="F26" s="69">
        <f t="shared" si="2"/>
        <v>6.6332916145181484E-2</v>
      </c>
      <c r="G26" s="70">
        <f>IFERROR(INDEX(阻害要因×在院期間区分[#All],MATCH($AI27,阻害要因×在院期間区分[[#All],[値]],0),MATCH($AS$4,阻害要因×在院期間区分[#Headers],0)),0)+IFERROR(INDEX(阻害要因×在院期間区分[#All],MATCH($AI27,阻害要因×在院期間区分[[#All],[値]],0),MATCH($AT$4,阻害要因×在院期間区分[#Headers],0)),0)+IFERROR(INDEX(阻害要因×在院期間区分[#All],MATCH($AI27,阻害要因×在院期間区分[[#All],[値]],0),MATCH($AU$4,阻害要因×在院期間区分[#Headers],0)),0)+IFERROR(INDEX(阻害要因×在院期間区分[#All],MATCH($AI27,阻害要因×在院期間区分[[#All],[値]],0),MATCH($AV$4,阻害要因×在院期間区分[#Headers],0)),0)+IFERROR(INDEX(阻害要因×在院期間区分[#All],MATCH($AI27,阻害要因×在院期間区分[[#All],[値]],0),MATCH($AW$4,阻害要因×在院期間区分[#Headers],0)),0)</f>
        <v>19</v>
      </c>
      <c r="H26" s="69">
        <f t="shared" si="3"/>
        <v>5.8103975535168197E-2</v>
      </c>
      <c r="I26" s="70">
        <f>IFERROR(INDEX(阻害要因×在院期間区分[#All],MATCH($AI27,阻害要因×在院期間区分[[#All],[値]],0),MATCH($AX$4,阻害要因×在院期間区分[#Headers],0)),0)+IFERROR(INDEX(阻害要因×在院期間区分[#All],MATCH($AI27,阻害要因×在院期間区分[[#All],[値]],0),MATCH($AY$4,阻害要因×在院期間区分[#Headers],0)),0)</f>
        <v>23</v>
      </c>
      <c r="J26" s="69">
        <f t="shared" si="4"/>
        <v>5.4117647058823527E-2</v>
      </c>
      <c r="K26" s="39">
        <f t="shared" si="5"/>
        <v>165</v>
      </c>
      <c r="L26" s="56" t="s">
        <v>177</v>
      </c>
      <c r="M26" s="66">
        <v>14</v>
      </c>
      <c r="N26" s="66">
        <v>17</v>
      </c>
      <c r="O26" s="66">
        <v>21</v>
      </c>
      <c r="P26" s="66">
        <v>18</v>
      </c>
      <c r="Q26" s="66">
        <v>14</v>
      </c>
      <c r="R26" s="66">
        <v>15</v>
      </c>
      <c r="S26" s="66">
        <v>9</v>
      </c>
      <c r="T26" s="66">
        <v>8</v>
      </c>
      <c r="U26" s="66">
        <v>7</v>
      </c>
      <c r="V26" s="66">
        <v>7</v>
      </c>
      <c r="W26" s="66">
        <v>2</v>
      </c>
      <c r="X26" s="66">
        <v>3</v>
      </c>
      <c r="Y26" s="66">
        <v>5</v>
      </c>
      <c r="Z26" s="66">
        <v>2</v>
      </c>
      <c r="AA26" s="66">
        <v>12</v>
      </c>
      <c r="AB26" s="66">
        <v>11</v>
      </c>
      <c r="AI26" s="384" t="s">
        <v>176</v>
      </c>
    </row>
    <row r="27" spans="2:36" ht="18.75" customHeight="1" x14ac:dyDescent="0.15">
      <c r="B27" s="105" t="s">
        <v>49</v>
      </c>
      <c r="C27" s="114">
        <f>IFERROR(INDEX(阻害要因×在院期間区分[#All],MATCH($AI28,阻害要因×在院期間区分[[#All],[値]],0),MATCH($AJ$4,阻害要因×在院期間区分[#Headers],0)),0)+IFERROR(INDEX(阻害要因×在院期間区分[#All],MATCH($AI28,阻害要因×在院期間区分[[#All],[値]],0),MATCH($AK$4,阻害要因×在院期間区分[#Headers],0)),0)+IFERROR(INDEX(阻害要因×在院期間区分[#All],MATCH($AI28,阻害要因×在院期間区分[[#All],[値]],0),MATCH($AL$4,阻害要因×在院期間区分[#Headers],0)),0)+IFERROR(INDEX(阻害要因×在院期間区分[#All],MATCH($AI28,阻害要因×在院期間区分[[#All],[値]],0),MATCH($AM$4,阻害要因×在院期間区分[#Headers],0)),0)</f>
        <v>20</v>
      </c>
      <c r="D27" s="69">
        <f t="shared" si="1"/>
        <v>2.607561929595828E-2</v>
      </c>
      <c r="E27" s="68">
        <f>IFERROR(INDEX(阻害要因×在院期間区分[#All],MATCH($AI28,阻害要因×在院期間区分[[#All],[値]],0),MATCH($AN$4,阻害要因×在院期間区分[#Headers],0)),0)+IFERROR(INDEX(阻害要因×在院期間区分[#All],MATCH($AI28,阻害要因×在院期間区分[[#All],[値]],0),MATCH($AO$4,阻害要因×在院期間区分[#Headers],0)),0)+IFERROR(INDEX(阻害要因×在院期間区分[#All],MATCH($AI28,阻害要因×在院期間区分[[#All],[値]],0),MATCH($AP$4,阻害要因×在院期間区分[#Headers],0)),0)+IFERROR(INDEX(阻害要因×在院期間区分[#All],MATCH($AI28,阻害要因×在院期間区分[[#All],[値]],0),MATCH($AQ$4,阻害要因×在院期間区分[#Headers],0)),0)+IFERROR(INDEX(阻害要因×在院期間区分[#All],MATCH($AI28,阻害要因×在院期間区分[[#All],[値]],0),MATCH($AR$4,阻害要因×在院期間区分[#Headers],0)),0)</f>
        <v>6</v>
      </c>
      <c r="F27" s="69">
        <f t="shared" si="2"/>
        <v>7.5093867334167707E-3</v>
      </c>
      <c r="G27" s="68">
        <f>IFERROR(INDEX(阻害要因×在院期間区分[#All],MATCH($AI28,阻害要因×在院期間区分[[#All],[値]],0),MATCH($AS$4,阻害要因×在院期間区分[#Headers],0)),0)+IFERROR(INDEX(阻害要因×在院期間区分[#All],MATCH($AI28,阻害要因×在院期間区分[[#All],[値]],0),MATCH($AT$4,阻害要因×在院期間区分[#Headers],0)),0)+IFERROR(INDEX(阻害要因×在院期間区分[#All],MATCH($AI28,阻害要因×在院期間区分[[#All],[値]],0),MATCH($AU$4,阻害要因×在院期間区分[#Headers],0)),0)+IFERROR(INDEX(阻害要因×在院期間区分[#All],MATCH($AI28,阻害要因×在院期間区分[[#All],[値]],0),MATCH($AV$4,阻害要因×在院期間区分[#Headers],0)),0)+IFERROR(INDEX(阻害要因×在院期間区分[#All],MATCH($AI28,阻害要因×在院期間区分[[#All],[値]],0),MATCH($AW$4,阻害要因×在院期間区分[#Headers],0)),0)</f>
        <v>1</v>
      </c>
      <c r="H27" s="69">
        <f t="shared" si="3"/>
        <v>3.0581039755351682E-3</v>
      </c>
      <c r="I27" s="68">
        <f>IFERROR(INDEX(阻害要因×在院期間区分[#All],MATCH($AI28,阻害要因×在院期間区分[[#All],[値]],0),MATCH($AX$4,阻害要因×在院期間区分[#Headers],0)),0)+IFERROR(INDEX(阻害要因×在院期間区分[#All],MATCH($AI28,阻害要因×在院期間区分[[#All],[値]],0),MATCH($AY$4,阻害要因×在院期間区分[#Headers],0)),0)</f>
        <v>0</v>
      </c>
      <c r="J27" s="69">
        <f t="shared" si="4"/>
        <v>0</v>
      </c>
      <c r="K27" s="39">
        <f t="shared" si="5"/>
        <v>27</v>
      </c>
      <c r="L27" s="56" t="s">
        <v>178</v>
      </c>
      <c r="M27" s="66">
        <v>4</v>
      </c>
      <c r="N27" s="66">
        <v>5</v>
      </c>
      <c r="O27" s="66">
        <v>8</v>
      </c>
      <c r="P27" s="66">
        <v>3</v>
      </c>
      <c r="Q27" s="66">
        <v>3</v>
      </c>
      <c r="R27" s="66">
        <v>1</v>
      </c>
      <c r="S27" s="66">
        <v>0</v>
      </c>
      <c r="T27" s="66">
        <v>1</v>
      </c>
      <c r="U27" s="66">
        <v>1</v>
      </c>
      <c r="V27" s="66">
        <v>1</v>
      </c>
      <c r="W27" s="66">
        <v>0</v>
      </c>
      <c r="X27" s="66">
        <v>0</v>
      </c>
      <c r="Y27" s="66">
        <v>0</v>
      </c>
      <c r="Z27" s="66">
        <v>0</v>
      </c>
      <c r="AA27" s="66">
        <v>0</v>
      </c>
      <c r="AB27" s="66">
        <v>0</v>
      </c>
      <c r="AI27" s="384" t="s">
        <v>177</v>
      </c>
    </row>
    <row r="28" spans="2:36" ht="18.75" customHeight="1" x14ac:dyDescent="0.15">
      <c r="B28" s="105" t="s">
        <v>50</v>
      </c>
      <c r="C28" s="112">
        <f>IFERROR(INDEX(阻害要因×在院期間区分[#All],MATCH($AI29,阻害要因×在院期間区分[[#All],[値]],0),MATCH($AJ$4,阻害要因×在院期間区分[#Headers],0)),0)+IFERROR(INDEX(阻害要因×在院期間区分[#All],MATCH($AI29,阻害要因×在院期間区分[[#All],[値]],0),MATCH($AK$4,阻害要因×在院期間区分[#Headers],0)),0)+IFERROR(INDEX(阻害要因×在院期間区分[#All],MATCH($AI29,阻害要因×在院期間区分[[#All],[値]],0),MATCH($AL$4,阻害要因×在院期間区分[#Headers],0)),0)+IFERROR(INDEX(阻害要因×在院期間区分[#All],MATCH($AI29,阻害要因×在院期間区分[[#All],[値]],0),MATCH($AM$4,阻害要因×在院期間区分[#Headers],0)),0)</f>
        <v>92</v>
      </c>
      <c r="D28" s="69">
        <f t="shared" si="1"/>
        <v>0.11994784876140809</v>
      </c>
      <c r="E28" s="70">
        <f>IFERROR(INDEX(阻害要因×在院期間区分[#All],MATCH($AI29,阻害要因×在院期間区分[[#All],[値]],0),MATCH($AN$4,阻害要因×在院期間区分[#Headers],0)),0)+IFERROR(INDEX(阻害要因×在院期間区分[#All],MATCH($AI29,阻害要因×在院期間区分[[#All],[値]],0),MATCH($AO$4,阻害要因×在院期間区分[#Headers],0)),0)+IFERROR(INDEX(阻害要因×在院期間区分[#All],MATCH($AI29,阻害要因×在院期間区分[[#All],[値]],0),MATCH($AP$4,阻害要因×在院期間区分[#Headers],0)),0)+IFERROR(INDEX(阻害要因×在院期間区分[#All],MATCH($AI29,阻害要因×在院期間区分[[#All],[値]],0),MATCH($AQ$4,阻害要因×在院期間区分[#Headers],0)),0)+IFERROR(INDEX(阻害要因×在院期間区分[#All],MATCH($AI29,阻害要因×在院期間区分[[#All],[値]],0),MATCH($AR$4,阻害要因×在院期間区分[#Headers],0)),0)</f>
        <v>81</v>
      </c>
      <c r="F28" s="69">
        <f t="shared" si="2"/>
        <v>0.10137672090112641</v>
      </c>
      <c r="G28" s="70">
        <f>IFERROR(INDEX(阻害要因×在院期間区分[#All],MATCH($AI29,阻害要因×在院期間区分[[#All],[値]],0),MATCH($AS$4,阻害要因×在院期間区分[#Headers],0)),0)+IFERROR(INDEX(阻害要因×在院期間区分[#All],MATCH($AI29,阻害要因×在院期間区分[[#All],[値]],0),MATCH($AT$4,阻害要因×在院期間区分[#Headers],0)),0)+IFERROR(INDEX(阻害要因×在院期間区分[#All],MATCH($AI29,阻害要因×在院期間区分[[#All],[値]],0),MATCH($AU$4,阻害要因×在院期間区分[#Headers],0)),0)+IFERROR(INDEX(阻害要因×在院期間区分[#All],MATCH($AI29,阻害要因×在院期間区分[[#All],[値]],0),MATCH($AV$4,阻害要因×在院期間区分[#Headers],0)),0)+IFERROR(INDEX(阻害要因×在院期間区分[#All],MATCH($AI29,阻害要因×在院期間区分[[#All],[値]],0),MATCH($AW$4,阻害要因×在院期間区分[#Headers],0)),0)</f>
        <v>37</v>
      </c>
      <c r="H28" s="69">
        <f t="shared" si="3"/>
        <v>0.11314984709480122</v>
      </c>
      <c r="I28" s="70">
        <f>IFERROR(INDEX(阻害要因×在院期間区分[#All],MATCH($AI29,阻害要因×在院期間区分[[#All],[値]],0),MATCH($AX$4,阻害要因×在院期間区分[#Headers],0)),0)+IFERROR(INDEX(阻害要因×在院期間区分[#All],MATCH($AI29,阻害要因×在院期間区分[[#All],[値]],0),MATCH($AY$4,阻害要因×在院期間区分[#Headers],0)),0)</f>
        <v>41</v>
      </c>
      <c r="J28" s="69">
        <f t="shared" si="4"/>
        <v>9.6470588235294114E-2</v>
      </c>
      <c r="K28" s="39">
        <f t="shared" si="5"/>
        <v>251</v>
      </c>
      <c r="L28" s="56" t="s">
        <v>179</v>
      </c>
      <c r="M28" s="66">
        <v>18</v>
      </c>
      <c r="N28" s="66">
        <v>19</v>
      </c>
      <c r="O28" s="66">
        <v>28</v>
      </c>
      <c r="P28" s="66">
        <v>27</v>
      </c>
      <c r="Q28" s="66">
        <v>27</v>
      </c>
      <c r="R28" s="66">
        <v>20</v>
      </c>
      <c r="S28" s="66">
        <v>20</v>
      </c>
      <c r="T28" s="66">
        <v>6</v>
      </c>
      <c r="U28" s="66">
        <v>8</v>
      </c>
      <c r="V28" s="66">
        <v>10</v>
      </c>
      <c r="W28" s="66">
        <v>8</v>
      </c>
      <c r="X28" s="66">
        <v>6</v>
      </c>
      <c r="Y28" s="66">
        <v>6</v>
      </c>
      <c r="Z28" s="66">
        <v>7</v>
      </c>
      <c r="AA28" s="66">
        <v>25</v>
      </c>
      <c r="AB28" s="66">
        <v>16</v>
      </c>
      <c r="AI28" s="384" t="s">
        <v>178</v>
      </c>
    </row>
    <row r="29" spans="2:36" ht="18.75" customHeight="1" x14ac:dyDescent="0.15">
      <c r="B29" s="105" t="s">
        <v>51</v>
      </c>
      <c r="C29" s="112">
        <f>IFERROR(INDEX(阻害要因×在院期間区分[#All],MATCH($AI30,阻害要因×在院期間区分[[#All],[値]],0),MATCH($AJ$4,阻害要因×在院期間区分[#Headers],0)),0)+IFERROR(INDEX(阻害要因×在院期間区分[#All],MATCH($AI30,阻害要因×在院期間区分[[#All],[値]],0),MATCH($AK$4,阻害要因×在院期間区分[#Headers],0)),0)+IFERROR(INDEX(阻害要因×在院期間区分[#All],MATCH($AI30,阻害要因×在院期間区分[[#All],[値]],0),MATCH($AL$4,阻害要因×在院期間区分[#Headers],0)),0)+IFERROR(INDEX(阻害要因×在院期間区分[#All],MATCH($AI30,阻害要因×在院期間区分[[#All],[値]],0),MATCH($AM$4,阻害要因×在院期間区分[#Headers],0)),0)</f>
        <v>121</v>
      </c>
      <c r="D29" s="69">
        <f t="shared" si="1"/>
        <v>0.15775749674054759</v>
      </c>
      <c r="E29" s="70">
        <f>IFERROR(INDEX(阻害要因×在院期間区分[#All],MATCH($AI30,阻害要因×在院期間区分[[#All],[値]],0),MATCH($AN$4,阻害要因×在院期間区分[#Headers],0)),0)+IFERROR(INDEX(阻害要因×在院期間区分[#All],MATCH($AI30,阻害要因×在院期間区分[[#All],[値]],0),MATCH($AO$4,阻害要因×在院期間区分[#Headers],0)),0)+IFERROR(INDEX(阻害要因×在院期間区分[#All],MATCH($AI30,阻害要因×在院期間区分[[#All],[値]],0),MATCH($AP$4,阻害要因×在院期間区分[#Headers],0)),0)+IFERROR(INDEX(阻害要因×在院期間区分[#All],MATCH($AI30,阻害要因×在院期間区分[[#All],[値]],0),MATCH($AQ$4,阻害要因×在院期間区分[#Headers],0)),0)+IFERROR(INDEX(阻害要因×在院期間区分[#All],MATCH($AI30,阻害要因×在院期間区分[[#All],[値]],0),MATCH($AR$4,阻害要因×在院期間区分[#Headers],0)),0)</f>
        <v>82</v>
      </c>
      <c r="F29" s="69">
        <f t="shared" si="2"/>
        <v>0.10262828535669587</v>
      </c>
      <c r="G29" s="70">
        <f>IFERROR(INDEX(阻害要因×在院期間区分[#All],MATCH($AI30,阻害要因×在院期間区分[[#All],[値]],0),MATCH($AS$4,阻害要因×在院期間区分[#Headers],0)),0)+IFERROR(INDEX(阻害要因×在院期間区分[#All],MATCH($AI30,阻害要因×在院期間区分[[#All],[値]],0),MATCH($AT$4,阻害要因×在院期間区分[#Headers],0)),0)+IFERROR(INDEX(阻害要因×在院期間区分[#All],MATCH($AI30,阻害要因×在院期間区分[[#All],[値]],0),MATCH($AU$4,阻害要因×在院期間区分[#Headers],0)),0)+IFERROR(INDEX(阻害要因×在院期間区分[#All],MATCH($AI30,阻害要因×在院期間区分[[#All],[値]],0),MATCH($AV$4,阻害要因×在院期間区分[#Headers],0)),0)+IFERROR(INDEX(阻害要因×在院期間区分[#All],MATCH($AI30,阻害要因×在院期間区分[[#All],[値]],0),MATCH($AW$4,阻害要因×在院期間区分[#Headers],0)),0)</f>
        <v>37</v>
      </c>
      <c r="H29" s="69">
        <f t="shared" si="3"/>
        <v>0.11314984709480122</v>
      </c>
      <c r="I29" s="70">
        <f>IFERROR(INDEX(阻害要因×在院期間区分[#All],MATCH($AI30,阻害要因×在院期間区分[[#All],[値]],0),MATCH($AX$4,阻害要因×在院期間区分[#Headers],0)),0)+IFERROR(INDEX(阻害要因×在院期間区分[#All],MATCH($AI30,阻害要因×在院期間区分[[#All],[値]],0),MATCH($AY$4,阻害要因×在院期間区分[#Headers],0)),0)</f>
        <v>53</v>
      </c>
      <c r="J29" s="69">
        <f t="shared" si="4"/>
        <v>0.12470588235294118</v>
      </c>
      <c r="K29" s="39">
        <f t="shared" si="5"/>
        <v>293</v>
      </c>
      <c r="L29" s="56" t="s">
        <v>180</v>
      </c>
      <c r="M29" s="66">
        <v>17</v>
      </c>
      <c r="N29" s="66">
        <v>26</v>
      </c>
      <c r="O29" s="66">
        <v>38</v>
      </c>
      <c r="P29" s="66">
        <v>40</v>
      </c>
      <c r="Q29" s="66">
        <v>25</v>
      </c>
      <c r="R29" s="66">
        <v>11</v>
      </c>
      <c r="S29" s="66">
        <v>19</v>
      </c>
      <c r="T29" s="66">
        <v>14</v>
      </c>
      <c r="U29" s="66">
        <v>13</v>
      </c>
      <c r="V29" s="66">
        <v>13</v>
      </c>
      <c r="W29" s="66">
        <v>6</v>
      </c>
      <c r="X29" s="66">
        <v>10</v>
      </c>
      <c r="Y29" s="66">
        <v>7</v>
      </c>
      <c r="Z29" s="66">
        <v>1</v>
      </c>
      <c r="AA29" s="66">
        <v>32</v>
      </c>
      <c r="AB29" s="66">
        <v>21</v>
      </c>
      <c r="AI29" s="384" t="s">
        <v>179</v>
      </c>
    </row>
    <row r="30" spans="2:36" ht="18.75" customHeight="1" x14ac:dyDescent="0.15">
      <c r="B30" s="105" t="s">
        <v>248</v>
      </c>
      <c r="C30" s="112">
        <f>IFERROR(INDEX(阻害要因×在院期間区分[#All],MATCH($AI31,阻害要因×在院期間区分[[#All],[値]],0),MATCH($AJ$4,阻害要因×在院期間区分[#Headers],0)),0)+IFERROR(INDEX(阻害要因×在院期間区分[#All],MATCH($AI31,阻害要因×在院期間区分[[#All],[値]],0),MATCH($AK$4,阻害要因×在院期間区分[#Headers],0)),0)+IFERROR(INDEX(阻害要因×在院期間区分[#All],MATCH($AI31,阻害要因×在院期間区分[[#All],[値]],0),MATCH($AL$4,阻害要因×在院期間区分[#Headers],0)),0)+IFERROR(INDEX(阻害要因×在院期間区分[#All],MATCH($AI31,阻害要因×在院期間区分[[#All],[値]],0),MATCH($AM$4,阻害要因×在院期間区分[#Headers],0)),0)</f>
        <v>16</v>
      </c>
      <c r="D30" s="69">
        <f t="shared" si="1"/>
        <v>2.0860495436766623E-2</v>
      </c>
      <c r="E30" s="70">
        <f>IFERROR(INDEX(阻害要因×在院期間区分[#All],MATCH($AI31,阻害要因×在院期間区分[[#All],[値]],0),MATCH($AN$4,阻害要因×在院期間区分[#Headers],0)),0)+IFERROR(INDEX(阻害要因×在院期間区分[#All],MATCH($AI31,阻害要因×在院期間区分[[#All],[値]],0),MATCH($AO$4,阻害要因×在院期間区分[#Headers],0)),0)+IFERROR(INDEX(阻害要因×在院期間区分[#All],MATCH($AI31,阻害要因×在院期間区分[[#All],[値]],0),MATCH($AP$4,阻害要因×在院期間区分[#Headers],0)),0)+IFERROR(INDEX(阻害要因×在院期間区分[#All],MATCH($AI31,阻害要因×在院期間区分[[#All],[値]],0),MATCH($AQ$4,阻害要因×在院期間区分[#Headers],0)),0)+IFERROR(INDEX(阻害要因×在院期間区分[#All],MATCH($AI31,阻害要因×在院期間区分[[#All],[値]],0),MATCH($AR$4,阻害要因×在院期間区分[#Headers],0)),0)</f>
        <v>18</v>
      </c>
      <c r="F30" s="69">
        <f t="shared" si="2"/>
        <v>2.2528160200250311E-2</v>
      </c>
      <c r="G30" s="70">
        <f>IFERROR(INDEX(阻害要因×在院期間区分[#All],MATCH($AI31,阻害要因×在院期間区分[[#All],[値]],0),MATCH($AS$4,阻害要因×在院期間区分[#Headers],0)),0)+IFERROR(INDEX(阻害要因×在院期間区分[#All],MATCH($AI31,阻害要因×在院期間区分[[#All],[値]],0),MATCH($AT$4,阻害要因×在院期間区分[#Headers],0)),0)+IFERROR(INDEX(阻害要因×在院期間区分[#All],MATCH($AI31,阻害要因×在院期間区分[[#All],[値]],0),MATCH($AU$4,阻害要因×在院期間区分[#Headers],0)),0)+IFERROR(INDEX(阻害要因×在院期間区分[#All],MATCH($AI31,阻害要因×在院期間区分[[#All],[値]],0),MATCH($AV$4,阻害要因×在院期間区分[#Headers],0)),0)+IFERROR(INDEX(阻害要因×在院期間区分[#All],MATCH($AI31,阻害要因×在院期間区分[[#All],[値]],0),MATCH($AW$4,阻害要因×在院期間区分[#Headers],0)),0)</f>
        <v>10</v>
      </c>
      <c r="H30" s="69">
        <f t="shared" si="3"/>
        <v>3.0581039755351681E-2</v>
      </c>
      <c r="I30" s="70">
        <f>IFERROR(INDEX(阻害要因×在院期間区分[#All],MATCH($AI31,阻害要因×在院期間区分[[#All],[値]],0),MATCH($AX$4,阻害要因×在院期間区分[#Headers],0)),0)+IFERROR(INDEX(阻害要因×在院期間区分[#All],MATCH($AI31,阻害要因×在院期間区分[[#All],[値]],0),MATCH($AY$4,阻害要因×在院期間区分[#Headers],0)),0)</f>
        <v>7</v>
      </c>
      <c r="J30" s="69">
        <f t="shared" si="4"/>
        <v>1.6470588235294119E-2</v>
      </c>
      <c r="K30" s="39">
        <f t="shared" si="5"/>
        <v>51</v>
      </c>
      <c r="L30" s="56" t="s">
        <v>181</v>
      </c>
      <c r="M30" s="66">
        <v>2</v>
      </c>
      <c r="N30" s="66">
        <v>2</v>
      </c>
      <c r="O30" s="66">
        <v>6</v>
      </c>
      <c r="P30" s="66">
        <v>6</v>
      </c>
      <c r="Q30" s="66">
        <v>6</v>
      </c>
      <c r="R30" s="66">
        <v>3</v>
      </c>
      <c r="S30" s="66">
        <v>4</v>
      </c>
      <c r="T30" s="66">
        <v>3</v>
      </c>
      <c r="U30" s="66">
        <v>2</v>
      </c>
      <c r="V30" s="66">
        <v>4</v>
      </c>
      <c r="W30" s="66">
        <v>0</v>
      </c>
      <c r="X30" s="66">
        <v>4</v>
      </c>
      <c r="Y30" s="66">
        <v>1</v>
      </c>
      <c r="Z30" s="66">
        <v>1</v>
      </c>
      <c r="AA30" s="66">
        <v>5</v>
      </c>
      <c r="AB30" s="66">
        <v>2</v>
      </c>
      <c r="AI30" s="384" t="s">
        <v>180</v>
      </c>
    </row>
    <row r="31" spans="2:36" ht="18.75" customHeight="1" x14ac:dyDescent="0.15">
      <c r="B31" s="107" t="s">
        <v>53</v>
      </c>
      <c r="C31" s="74">
        <f>IFERROR(INDEX(阻害要因×在院期間区分[#All],MATCH($AI32,阻害要因×在院期間区分[[#All],[値]],0),MATCH($AJ$4,阻害要因×在院期間区分[#Headers],0)),0)+IFERROR(INDEX(阻害要因×在院期間区分[#All],MATCH($AI32,阻害要因×在院期間区分[[#All],[値]],0),MATCH($AK$4,阻害要因×在院期間区分[#Headers],0)),0)+IFERROR(INDEX(阻害要因×在院期間区分[#All],MATCH($AI32,阻害要因×在院期間区分[[#All],[値]],0),MATCH($AL$4,阻害要因×在院期間区分[#Headers],0)),0)+IFERROR(INDEX(阻害要因×在院期間区分[#All],MATCH($AI32,阻害要因×在院期間区分[[#All],[値]],0),MATCH($AM$4,阻害要因×在院期間区分[#Headers],0)),0)</f>
        <v>60</v>
      </c>
      <c r="D31" s="77">
        <f t="shared" si="1"/>
        <v>7.822685788787484E-2</v>
      </c>
      <c r="E31" s="74">
        <f>IFERROR(INDEX(阻害要因×在院期間区分[#All],MATCH($AI32,阻害要因×在院期間区分[[#All],[値]],0),MATCH($AN$4,阻害要因×在院期間区分[#Headers],0)),0)+IFERROR(INDEX(阻害要因×在院期間区分[#All],MATCH($AI32,阻害要因×在院期間区分[[#All],[値]],0),MATCH($AO$4,阻害要因×在院期間区分[#Headers],0)),0)+IFERROR(INDEX(阻害要因×在院期間区分[#All],MATCH($AI32,阻害要因×在院期間区分[[#All],[値]],0),MATCH($AP$4,阻害要因×在院期間区分[#Headers],0)),0)+IFERROR(INDEX(阻害要因×在院期間区分[#All],MATCH($AI32,阻害要因×在院期間区分[[#All],[値]],0),MATCH($AQ$4,阻害要因×在院期間区分[#Headers],0)),0)+IFERROR(INDEX(阻害要因×在院期間区分[#All],MATCH($AI32,阻害要因×在院期間区分[[#All],[値]],0),MATCH($AR$4,阻害要因×在院期間区分[#Headers],0)),0)</f>
        <v>67</v>
      </c>
      <c r="F31" s="77">
        <f t="shared" si="2"/>
        <v>8.3854818523153948E-2</v>
      </c>
      <c r="G31" s="74">
        <f>IFERROR(INDEX(阻害要因×在院期間区分[#All],MATCH($AI32,阻害要因×在院期間区分[[#All],[値]],0),MATCH($AS$4,阻害要因×在院期間区分[#Headers],0)),0)+IFERROR(INDEX(阻害要因×在院期間区分[#All],MATCH($AI32,阻害要因×在院期間区分[[#All],[値]],0),MATCH($AT$4,阻害要因×在院期間区分[#Headers],0)),0)+IFERROR(INDEX(阻害要因×在院期間区分[#All],MATCH($AI32,阻害要因×在院期間区分[[#All],[値]],0),MATCH($AU$4,阻害要因×在院期間区分[#Headers],0)),0)+IFERROR(INDEX(阻害要因×在院期間区分[#All],MATCH($AI32,阻害要因×在院期間区分[[#All],[値]],0),MATCH($AV$4,阻害要因×在院期間区分[#Headers],0)),0)+IFERROR(INDEX(阻害要因×在院期間区分[#All],MATCH($AI32,阻害要因×在院期間区分[[#All],[値]],0),MATCH($AW$4,阻害要因×在院期間区分[#Headers],0)),0)</f>
        <v>18</v>
      </c>
      <c r="H31" s="77">
        <f t="shared" si="3"/>
        <v>5.5045871559633031E-2</v>
      </c>
      <c r="I31" s="74">
        <f>IFERROR(INDEX(阻害要因×在院期間区分[#All],MATCH($AI32,阻害要因×在院期間区分[[#All],[値]],0),MATCH($AX$4,阻害要因×在院期間区分[#Headers],0)),0)+IFERROR(INDEX(阻害要因×在院期間区分[#All],MATCH($AI32,阻害要因×在院期間区分[[#All],[値]],0),MATCH($AY$4,阻害要因×在院期間区分[#Headers],0)),0)</f>
        <v>27</v>
      </c>
      <c r="J31" s="77">
        <f t="shared" si="4"/>
        <v>6.3529411764705876E-2</v>
      </c>
      <c r="K31" s="39">
        <f t="shared" si="5"/>
        <v>172</v>
      </c>
      <c r="L31" s="56" t="s">
        <v>182</v>
      </c>
      <c r="M31" s="66">
        <v>9</v>
      </c>
      <c r="N31" s="66">
        <v>10</v>
      </c>
      <c r="O31" s="66">
        <v>14</v>
      </c>
      <c r="P31" s="66">
        <v>27</v>
      </c>
      <c r="Q31" s="66">
        <v>9</v>
      </c>
      <c r="R31" s="66">
        <v>9</v>
      </c>
      <c r="S31" s="66">
        <v>21</v>
      </c>
      <c r="T31" s="66">
        <v>17</v>
      </c>
      <c r="U31" s="66">
        <v>11</v>
      </c>
      <c r="V31" s="66">
        <v>7</v>
      </c>
      <c r="W31" s="66">
        <v>2</v>
      </c>
      <c r="X31" s="66">
        <v>5</v>
      </c>
      <c r="Y31" s="66">
        <v>2</v>
      </c>
      <c r="Z31" s="66">
        <v>2</v>
      </c>
      <c r="AA31" s="66">
        <v>16</v>
      </c>
      <c r="AB31" s="66">
        <v>11</v>
      </c>
      <c r="AI31" s="384" t="s">
        <v>181</v>
      </c>
    </row>
    <row r="32" spans="2:36" ht="18.75" customHeight="1" x14ac:dyDescent="0.15">
      <c r="D32" s="20"/>
      <c r="E32" s="39"/>
      <c r="J32" s="20"/>
      <c r="K32" s="39"/>
      <c r="AI32" s="384" t="s">
        <v>182</v>
      </c>
    </row>
    <row r="33" spans="2:35" ht="18.75" customHeight="1" x14ac:dyDescent="0.15">
      <c r="B33" s="2" t="s">
        <v>79</v>
      </c>
      <c r="E33" s="122"/>
      <c r="K33" s="39"/>
    </row>
    <row r="34" spans="2:35" ht="18.75" customHeight="1" thickBot="1" x14ac:dyDescent="0.2">
      <c r="B34" s="640" t="s">
        <v>241</v>
      </c>
      <c r="C34" s="669" t="s">
        <v>64</v>
      </c>
      <c r="D34" s="670"/>
      <c r="E34" s="670"/>
      <c r="F34" s="670"/>
      <c r="G34" s="670"/>
      <c r="H34" s="670"/>
      <c r="I34" s="670"/>
      <c r="J34" s="671"/>
      <c r="K34" s="39"/>
      <c r="L34" s="53" t="s">
        <v>63</v>
      </c>
    </row>
    <row r="35" spans="2:35" ht="18.75" customHeight="1" thickTop="1" thickBot="1" x14ac:dyDescent="0.2">
      <c r="B35" s="668"/>
      <c r="C35" s="672" t="s">
        <v>69</v>
      </c>
      <c r="D35" s="673"/>
      <c r="E35" s="674" t="s">
        <v>271</v>
      </c>
      <c r="F35" s="675"/>
      <c r="G35" s="674" t="s">
        <v>272</v>
      </c>
      <c r="H35" s="675"/>
      <c r="I35" s="672" t="s">
        <v>72</v>
      </c>
      <c r="J35" s="673"/>
      <c r="K35" s="39"/>
      <c r="L35" s="503" t="s">
        <v>371</v>
      </c>
      <c r="M35" s="56" t="s">
        <v>183</v>
      </c>
      <c r="N35" s="56" t="s">
        <v>184</v>
      </c>
      <c r="O35" s="56" t="s">
        <v>185</v>
      </c>
      <c r="P35" s="56" t="s">
        <v>186</v>
      </c>
      <c r="Q35" s="56" t="s">
        <v>187</v>
      </c>
      <c r="R35" s="56" t="s">
        <v>188</v>
      </c>
      <c r="S35" s="56" t="s">
        <v>189</v>
      </c>
      <c r="T35" s="56" t="s">
        <v>190</v>
      </c>
      <c r="U35" s="56" t="s">
        <v>191</v>
      </c>
      <c r="V35" s="56" t="s">
        <v>192</v>
      </c>
      <c r="W35" s="56" t="s">
        <v>193</v>
      </c>
      <c r="X35" s="56" t="s">
        <v>194</v>
      </c>
      <c r="Y35" s="56" t="s">
        <v>195</v>
      </c>
      <c r="Z35" s="56" t="s">
        <v>196</v>
      </c>
      <c r="AA35" s="56" t="s">
        <v>197</v>
      </c>
      <c r="AB35" s="56" t="s">
        <v>198</v>
      </c>
    </row>
    <row r="36" spans="2:35" ht="37.5" customHeight="1" thickTop="1" x14ac:dyDescent="0.15">
      <c r="B36" s="88" t="s">
        <v>232</v>
      </c>
      <c r="C36" s="89">
        <f>IFERROR(INDEX(退院予定有無×在院期間区分＿寛解・院内寛解[#All],MATCH($AI37,退院予定有無×在院期間区分＿寛解・院内寛解[[#All],[行ラベル]],0),MATCH($AJ$4,退院予定有無×在院期間区分＿寛解・院内寛解[#Headers],0)),0)+IFERROR(INDEX(退院予定有無×在院期間区分＿寛解・院内寛解[#All],MATCH($AI37,退院予定有無×在院期間区分＿寛解・院内寛解[[#All],[行ラベル]],0),MATCH($AK$4,退院予定有無×在院期間区分＿寛解・院内寛解[#Headers],0)),0)+IFERROR(INDEX(退院予定有無×在院期間区分＿寛解・院内寛解[#All],MATCH($AI37,退院予定有無×在院期間区分＿寛解・院内寛解[[#All],[行ラベル]],0),MATCH($AL$4,退院予定有無×在院期間区分＿寛解・院内寛解[#Headers],0)),0)+IFERROR(INDEX(退院予定有無×在院期間区分＿寛解・院内寛解[#All],MATCH($AI37,退院予定有無×在院期間区分＿寛解・院内寛解[[#All],[行ラベル]],0),MATCH($AM$4,退院予定有無×在院期間区分＿寛解・院内寛解[#Headers],0)),0)</f>
        <v>291</v>
      </c>
      <c r="D36" s="90">
        <f>IFERROR(C36/C$39,"-")</f>
        <v>0.26334841628959277</v>
      </c>
      <c r="E36" s="89">
        <f>IFERROR(INDEX(退院予定有無×在院期間区分＿寛解・院内寛解[#All],MATCH($AI37,退院予定有無×在院期間区分＿寛解・院内寛解[[#All],[行ラベル]],0),MATCH($AN$4,退院予定有無×在院期間区分＿寛解・院内寛解[#Headers],0)),0)+IFERROR(INDEX(退院予定有無×在院期間区分＿寛解・院内寛解[#All],MATCH($AI37,退院予定有無×在院期間区分＿寛解・院内寛解[[#All],[行ラベル]],0),MATCH($AO$4,退院予定有無×在院期間区分＿寛解・院内寛解[#Headers],0)),0)+IFERROR(INDEX(退院予定有無×在院期間区分＿寛解・院内寛解[#All],MATCH($AI37,退院予定有無×在院期間区分＿寛解・院内寛解[[#All],[行ラベル]],0),MATCH($AP$4,退院予定有無×在院期間区分＿寛解・院内寛解[#Headers],0)),0)+IFERROR(INDEX(退院予定有無×在院期間区分＿寛解・院内寛解[#All],MATCH($AI37,退院予定有無×在院期間区分＿寛解・院内寛解[[#All],[行ラベル]],0),MATCH($AQ$4,退院予定有無×在院期間区分＿寛解・院内寛解[#Headers],0)),0)+IFERROR(INDEX(退院予定有無×在院期間区分＿寛解・院内寛解[#All],MATCH($AI37,退院予定有無×在院期間区分＿寛解・院内寛解[[#All],[行ラベル]],0),MATCH($AR$4,退院予定有無×在院期間区分＿寛解・院内寛解[#Headers],0)),0)</f>
        <v>220</v>
      </c>
      <c r="F36" s="90">
        <f>IFERROR(E36/E$39,"-")</f>
        <v>0.66465256797583083</v>
      </c>
      <c r="G36" s="89">
        <f>IFERROR(INDEX(退院予定有無×在院期間区分＿寛解・院内寛解[#All],MATCH($AI37,退院予定有無×在院期間区分＿寛解・院内寛解[[#All],[行ラベル]],0),MATCH($AS$4,退院予定有無×在院期間区分＿寛解・院内寛解[#Headers],0)),0)+IFERROR(INDEX(退院予定有無×在院期間区分＿寛解・院内寛解[#All],MATCH($AI37,退院予定有無×在院期間区分＿寛解・院内寛解[[#All],[行ラベル]],0),MATCH($AT$4,退院予定有無×在院期間区分＿寛解・院内寛解[#Headers],0)),0)+IFERROR(INDEX(退院予定有無×在院期間区分＿寛解・院内寛解[#All],MATCH($AI37,退院予定有無×在院期間区分＿寛解・院内寛解[[#All],[行ラベル]],0),MATCH($AU$4,退院予定有無×在院期間区分＿寛解・院内寛解[#Headers],0)),0)+IFERROR(INDEX(退院予定有無×在院期間区分＿寛解・院内寛解[#All],MATCH($AI37,退院予定有無×在院期間区分＿寛解・院内寛解[[#All],[行ラベル]],0),MATCH($AV$4,退院予定有無×在院期間区分＿寛解・院内寛解[#Headers],0)),0)+IFERROR(INDEX(退院予定有無×在院期間区分＿寛解・院内寛解[#All],MATCH($AI37,退院予定有無×在院期間区分＿寛解・院内寛解[[#All],[行ラベル]],0),MATCH($AW$4,退院予定有無×在院期間区分＿寛解・院内寛解[#Headers],0)),0)</f>
        <v>91</v>
      </c>
      <c r="H36" s="90">
        <f>IFERROR(G36/G$39,"-")</f>
        <v>0.81981981981981977</v>
      </c>
      <c r="I36" s="89">
        <f>IFERROR(INDEX(退院予定有無×在院期間区分＿寛解・院内寛解[#All],MATCH($AI37,退院予定有無×在院期間区分＿寛解・院内寛解[[#All],[行ラベル]],0),MATCH($AX$4,退院予定有無×在院期間区分＿寛解・院内寛解[#Headers],0)),0)+IFERROR(INDEX(退院予定有無×在院期間区分＿寛解・院内寛解[#All],MATCH($AI37,退院予定有無×在院期間区分＿寛解・院内寛解[[#All],[行ラベル]],0),MATCH($AY$4,退院予定有無×在院期間区分＿寛解・院内寛解[#Headers],0)),0)</f>
        <v>106</v>
      </c>
      <c r="J36" s="90">
        <f>IFERROR(I36/I$39,"-")</f>
        <v>0.80916030534351147</v>
      </c>
      <c r="K36" s="39">
        <f>SUM(C36,E36,G36,I36)</f>
        <v>708</v>
      </c>
      <c r="L36" s="34">
        <v>97</v>
      </c>
      <c r="M36" s="60">
        <v>53</v>
      </c>
      <c r="N36" s="60">
        <v>70</v>
      </c>
      <c r="O36" s="60">
        <v>69</v>
      </c>
      <c r="P36" s="60">
        <v>99</v>
      </c>
      <c r="Q36" s="60">
        <v>62</v>
      </c>
      <c r="R36" s="60">
        <v>45</v>
      </c>
      <c r="S36" s="60">
        <v>63</v>
      </c>
      <c r="T36" s="60">
        <v>35</v>
      </c>
      <c r="U36" s="60">
        <v>15</v>
      </c>
      <c r="V36" s="60">
        <v>29</v>
      </c>
      <c r="W36" s="60">
        <v>17</v>
      </c>
      <c r="X36" s="60">
        <v>14</v>
      </c>
      <c r="Y36" s="60">
        <v>22</v>
      </c>
      <c r="Z36" s="60">
        <v>9</v>
      </c>
      <c r="AA36" s="60">
        <v>74</v>
      </c>
      <c r="AB36" s="60">
        <v>32</v>
      </c>
    </row>
    <row r="37" spans="2:35" ht="18.75" customHeight="1" x14ac:dyDescent="0.15">
      <c r="B37" s="91" t="s">
        <v>242</v>
      </c>
      <c r="C37" s="70">
        <f>IFERROR(INDEX(退院予定有無×在院期間区分＿寛解・院内寛解[#All],MATCH($AI38,退院予定有無×在院期間区分＿寛解・院内寛解[[#All],[行ラベル]],0),MATCH($AJ$4,退院予定有無×在院期間区分＿寛解・院内寛解[#Headers],0)),0)+IFERROR(INDEX(退院予定有無×在院期間区分＿寛解・院内寛解[#All],MATCH($AI38,退院予定有無×在院期間区分＿寛解・院内寛解[[#All],[行ラベル]],0),MATCH($AK$4,退院予定有無×在院期間区分＿寛解・院内寛解[#Headers],0)),0)+IFERROR(INDEX(退院予定有無×在院期間区分＿寛解・院内寛解[#All],MATCH($AI38,退院予定有無×在院期間区分＿寛解・院内寛解[[#All],[行ラベル]],0),MATCH($AL$4,退院予定有無×在院期間区分＿寛解・院内寛解[#Headers],0)),0)+IFERROR(INDEX(退院予定有無×在院期間区分＿寛解・院内寛解[#All],MATCH($AI38,退院予定有無×在院期間区分＿寛解・院内寛解[[#All],[行ラベル]],0),MATCH($AM$4,退院予定有無×在院期間区分＿寛解・院内寛解[#Headers],0)),0)</f>
        <v>126</v>
      </c>
      <c r="D37" s="69">
        <f>IFERROR(C37/C$39,"-")</f>
        <v>0.11402714932126697</v>
      </c>
      <c r="E37" s="70">
        <f>IFERROR(INDEX(退院予定有無×在院期間区分＿寛解・院内寛解[#All],MATCH($AI38,退院予定有無×在院期間区分＿寛解・院内寛解[[#All],[行ラベル]],0),MATCH($AN$4,退院予定有無×在院期間区分＿寛解・院内寛解[#Headers],0)),0)+IFERROR(INDEX(退院予定有無×在院期間区分＿寛解・院内寛解[#All],MATCH($AI38,退院予定有無×在院期間区分＿寛解・院内寛解[[#All],[行ラベル]],0),MATCH($AO$4,退院予定有無×在院期間区分＿寛解・院内寛解[#Headers],0)),0)+IFERROR(INDEX(退院予定有無×在院期間区分＿寛解・院内寛解[#All],MATCH($AI38,退院予定有無×在院期間区分＿寛解・院内寛解[[#All],[行ラベル]],0),MATCH($AP$4,退院予定有無×在院期間区分＿寛解・院内寛解[#Headers],0)),0)+IFERROR(INDEX(退院予定有無×在院期間区分＿寛解・院内寛解[#All],MATCH($AI38,退院予定有無×在院期間区分＿寛解・院内寛解[[#All],[行ラベル]],0),MATCH($AQ$4,退院予定有無×在院期間区分＿寛解・院内寛解[#Headers],0)),0)+IFERROR(INDEX(退院予定有無×在院期間区分＿寛解・院内寛解[#All],MATCH($AI38,退院予定有無×在院期間区分＿寛解・院内寛解[[#All],[行ラベル]],0),MATCH($AR$4,退院予定有無×在院期間区分＿寛解・院内寛解[#Headers],0)),0)</f>
        <v>37</v>
      </c>
      <c r="F37" s="69">
        <f>IFERROR(E37/E$39,"-")</f>
        <v>0.11178247734138973</v>
      </c>
      <c r="G37" s="70">
        <f>IFERROR(INDEX(退院予定有無×在院期間区分＿寛解・院内寛解[#All],MATCH($AI38,退院予定有無×在院期間区分＿寛解・院内寛解[[#All],[行ラベル]],0),MATCH($AS$4,退院予定有無×在院期間区分＿寛解・院内寛解[#Headers],0)),0)+IFERROR(INDEX(退院予定有無×在院期間区分＿寛解・院内寛解[#All],MATCH($AI38,退院予定有無×在院期間区分＿寛解・院内寛解[[#All],[行ラベル]],0),MATCH($AT$4,退院予定有無×在院期間区分＿寛解・院内寛解[#Headers],0)),0)+IFERROR(INDEX(退院予定有無×在院期間区分＿寛解・院内寛解[#All],MATCH($AI38,退院予定有無×在院期間区分＿寛解・院内寛解[[#All],[行ラベル]],0),MATCH($AU$4,退院予定有無×在院期間区分＿寛解・院内寛解[#Headers],0)),0)+IFERROR(INDEX(退院予定有無×在院期間区分＿寛解・院内寛解[#All],MATCH($AI38,退院予定有無×在院期間区分＿寛解・院内寛解[[#All],[行ラベル]],0),MATCH($AV$4,退院予定有無×在院期間区分＿寛解・院内寛解[#Headers],0)),0)+IFERROR(INDEX(退院予定有無×在院期間区分＿寛解・院内寛解[#All],MATCH($AI38,退院予定有無×在院期間区分＿寛解・院内寛解[[#All],[行ラベル]],0),MATCH($AW$4,退院予定有無×在院期間区分＿寛解・院内寛解[#Headers],0)),0)</f>
        <v>6</v>
      </c>
      <c r="H37" s="69">
        <f>IFERROR(G37/G$39,"-")</f>
        <v>5.4054054054054057E-2</v>
      </c>
      <c r="I37" s="70">
        <f>IFERROR(INDEX(退院予定有無×在院期間区分＿寛解・院内寛解[#All],MATCH($AI38,退院予定有無×在院期間区分＿寛解・院内寛解[[#All],[行ラベル]],0),MATCH($AX$4,退院予定有無×在院期間区分＿寛解・院内寛解[#Headers],0)),0)+IFERROR(INDEX(退院予定有無×在院期間区分＿寛解・院内寛解[#All],MATCH($AI38,退院予定有無×在院期間区分＿寛解・院内寛解[[#All],[行ラベル]],0),MATCH($AY$4,退院予定有無×在院期間区分＿寛解・院内寛解[#Headers],0)),0)</f>
        <v>17</v>
      </c>
      <c r="J37" s="69">
        <f>IFERROR(I37/I$39,"-")</f>
        <v>0.12977099236641221</v>
      </c>
      <c r="K37" s="39">
        <f>SUM(C37,E37,G37,I37)</f>
        <v>186</v>
      </c>
      <c r="L37" s="34">
        <v>98</v>
      </c>
      <c r="M37" s="60">
        <v>39</v>
      </c>
      <c r="N37" s="60">
        <v>53</v>
      </c>
      <c r="O37" s="60">
        <v>16</v>
      </c>
      <c r="P37" s="60">
        <v>18</v>
      </c>
      <c r="Q37" s="60">
        <v>10</v>
      </c>
      <c r="R37" s="60">
        <v>4</v>
      </c>
      <c r="S37" s="60">
        <v>10</v>
      </c>
      <c r="T37" s="60">
        <v>8</v>
      </c>
      <c r="U37" s="60">
        <v>5</v>
      </c>
      <c r="V37" s="60">
        <v>2</v>
      </c>
      <c r="W37" s="60">
        <v>2</v>
      </c>
      <c r="X37" s="60">
        <v>0</v>
      </c>
      <c r="Y37" s="60">
        <v>1</v>
      </c>
      <c r="Z37" s="60">
        <v>1</v>
      </c>
      <c r="AA37" s="60">
        <v>7</v>
      </c>
      <c r="AB37" s="60">
        <v>10</v>
      </c>
      <c r="AI37" s="411">
        <v>97</v>
      </c>
    </row>
    <row r="38" spans="2:35" ht="18.75" customHeight="1" x14ac:dyDescent="0.15">
      <c r="B38" s="123" t="s">
        <v>36</v>
      </c>
      <c r="C38" s="124">
        <f>IFERROR(INDEX(退院予定有無×在院期間区分＿寛解・院内寛解[#All],MATCH($AI39,退院予定有無×在院期間区分＿寛解・院内寛解[[#All],[行ラベル]],0),MATCH($AJ$4,退院予定有無×在院期間区分＿寛解・院内寛解[#Headers],0)),0)+IFERROR(INDEX(退院予定有無×在院期間区分＿寛解・院内寛解[#All],MATCH($AI39,退院予定有無×在院期間区分＿寛解・院内寛解[[#All],[行ラベル]],0),MATCH($AK$4,退院予定有無×在院期間区分＿寛解・院内寛解[#Headers],0)),0)+IFERROR(INDEX(退院予定有無×在院期間区分＿寛解・院内寛解[#All],MATCH($AI39,退院予定有無×在院期間区分＿寛解・院内寛解[[#All],[行ラベル]],0),MATCH($AL$4,退院予定有無×在院期間区分＿寛解・院内寛解[#Headers],0)),0)+IFERROR(INDEX(退院予定有無×在院期間区分＿寛解・院内寛解[#All],MATCH($AI39,退院予定有無×在院期間区分＿寛解・院内寛解[[#All],[行ラベル]],0),MATCH($AM$4,退院予定有無×在院期間区分＿寛解・院内寛解[#Headers],0)),0)</f>
        <v>688</v>
      </c>
      <c r="D38" s="125">
        <f>IFERROR(C38/C$39,"-")</f>
        <v>0.62262443438914028</v>
      </c>
      <c r="E38" s="124">
        <f>IFERROR(INDEX(退院予定有無×在院期間区分＿寛解・院内寛解[#All],MATCH($AI39,退院予定有無×在院期間区分＿寛解・院内寛解[[#All],[行ラベル]],0),MATCH($AN$4,退院予定有無×在院期間区分＿寛解・院内寛解[#Headers],0)),0)+IFERROR(INDEX(退院予定有無×在院期間区分＿寛解・院内寛解[#All],MATCH($AI39,退院予定有無×在院期間区分＿寛解・院内寛解[[#All],[行ラベル]],0),MATCH($AO$4,退院予定有無×在院期間区分＿寛解・院内寛解[#Headers],0)),0)+IFERROR(INDEX(退院予定有無×在院期間区分＿寛解・院内寛解[#All],MATCH($AI39,退院予定有無×在院期間区分＿寛解・院内寛解[[#All],[行ラベル]],0),MATCH($AP$4,退院予定有無×在院期間区分＿寛解・院内寛解[#Headers],0)),0)+IFERROR(INDEX(退院予定有無×在院期間区分＿寛解・院内寛解[#All],MATCH($AI39,退院予定有無×在院期間区分＿寛解・院内寛解[[#All],[行ラベル]],0),MATCH($AQ$4,退院予定有無×在院期間区分＿寛解・院内寛解[#Headers],0)),0)+IFERROR(INDEX(退院予定有無×在院期間区分＿寛解・院内寛解[#All],MATCH($AI39,退院予定有無×在院期間区分＿寛解・院内寛解[[#All],[行ラベル]],0),MATCH($AR$4,退院予定有無×在院期間区分＿寛解・院内寛解[#Headers],0)),0)</f>
        <v>74</v>
      </c>
      <c r="F38" s="125">
        <f>IFERROR(E38/E$39,"-")</f>
        <v>0.22356495468277945</v>
      </c>
      <c r="G38" s="124">
        <f>IFERROR(INDEX(退院予定有無×在院期間区分＿寛解・院内寛解[#All],MATCH($AI39,退院予定有無×在院期間区分＿寛解・院内寛解[[#All],[行ラベル]],0),MATCH($AS$4,退院予定有無×在院期間区分＿寛解・院内寛解[#Headers],0)),0)+IFERROR(INDEX(退院予定有無×在院期間区分＿寛解・院内寛解[#All],MATCH($AI39,退院予定有無×在院期間区分＿寛解・院内寛解[[#All],[行ラベル]],0),MATCH($AT$4,退院予定有無×在院期間区分＿寛解・院内寛解[#Headers],0)),0)+IFERROR(INDEX(退院予定有無×在院期間区分＿寛解・院内寛解[#All],MATCH($AI39,退院予定有無×在院期間区分＿寛解・院内寛解[[#All],[行ラベル]],0),MATCH($AU$4,退院予定有無×在院期間区分＿寛解・院内寛解[#Headers],0)),0)+IFERROR(INDEX(退院予定有無×在院期間区分＿寛解・院内寛解[#All],MATCH($AI39,退院予定有無×在院期間区分＿寛解・院内寛解[[#All],[行ラベル]],0),MATCH($AV$4,退院予定有無×在院期間区分＿寛解・院内寛解[#Headers],0)),0)+IFERROR(INDEX(退院予定有無×在院期間区分＿寛解・院内寛解[#All],MATCH($AI39,退院予定有無×在院期間区分＿寛解・院内寛解[[#All],[行ラベル]],0),MATCH($AW$4,退院予定有無×在院期間区分＿寛解・院内寛解[#Headers],0)),0)</f>
        <v>14</v>
      </c>
      <c r="H38" s="125">
        <f>IFERROR(G38/G$39,"-")</f>
        <v>0.12612612612612611</v>
      </c>
      <c r="I38" s="124">
        <f>IFERROR(INDEX(退院予定有無×在院期間区分＿寛解・院内寛解[#All],MATCH($AI39,退院予定有無×在院期間区分＿寛解・院内寛解[[#All],[行ラベル]],0),MATCH($AX$4,退院予定有無×在院期間区分＿寛解・院内寛解[#Headers],0)),0)+IFERROR(INDEX(退院予定有無×在院期間区分＿寛解・院内寛解[#All],MATCH($AI39,退院予定有無×在院期間区分＿寛解・院内寛解[[#All],[行ラベル]],0),MATCH($AY$4,退院予定有無×在院期間区分＿寛解・院内寛解[#Headers],0)),0)</f>
        <v>8</v>
      </c>
      <c r="J38" s="125">
        <f>IFERROR(I38/I$39,"-")</f>
        <v>6.1068702290076333E-2</v>
      </c>
      <c r="K38" s="39">
        <f>SUM(C38,E38,G38,I38)</f>
        <v>784</v>
      </c>
      <c r="L38" s="34">
        <v>99</v>
      </c>
      <c r="M38" s="60">
        <v>245</v>
      </c>
      <c r="N38" s="60">
        <v>275</v>
      </c>
      <c r="O38" s="60">
        <v>101</v>
      </c>
      <c r="P38" s="60">
        <v>67</v>
      </c>
      <c r="Q38" s="60">
        <v>24</v>
      </c>
      <c r="R38" s="60">
        <v>19</v>
      </c>
      <c r="S38" s="60">
        <v>13</v>
      </c>
      <c r="T38" s="60">
        <v>8</v>
      </c>
      <c r="U38" s="60">
        <v>10</v>
      </c>
      <c r="V38" s="60">
        <v>5</v>
      </c>
      <c r="W38" s="60">
        <v>3</v>
      </c>
      <c r="X38" s="60">
        <v>2</v>
      </c>
      <c r="Y38" s="60">
        <v>1</v>
      </c>
      <c r="Z38" s="60">
        <v>3</v>
      </c>
      <c r="AA38" s="60">
        <v>4</v>
      </c>
      <c r="AB38" s="60">
        <v>4</v>
      </c>
      <c r="AI38" s="412">
        <v>98</v>
      </c>
    </row>
    <row r="39" spans="2:35" ht="18.75" customHeight="1" x14ac:dyDescent="0.15">
      <c r="B39" s="93" t="s">
        <v>162</v>
      </c>
      <c r="C39" s="94">
        <f t="shared" ref="C39:J39" si="6">SUM(C36:C38)</f>
        <v>1105</v>
      </c>
      <c r="D39" s="95">
        <f t="shared" si="6"/>
        <v>1</v>
      </c>
      <c r="E39" s="96">
        <f t="shared" si="6"/>
        <v>331</v>
      </c>
      <c r="F39" s="95">
        <f t="shared" si="6"/>
        <v>1</v>
      </c>
      <c r="G39" s="116">
        <f t="shared" si="6"/>
        <v>111</v>
      </c>
      <c r="H39" s="117">
        <f t="shared" si="6"/>
        <v>1</v>
      </c>
      <c r="I39" s="116">
        <f t="shared" si="6"/>
        <v>131</v>
      </c>
      <c r="J39" s="117">
        <f t="shared" si="6"/>
        <v>1</v>
      </c>
      <c r="K39" s="39">
        <f>SUM(C39,E39,G39,I39)</f>
        <v>1678</v>
      </c>
      <c r="L39" s="34"/>
      <c r="M39" s="43"/>
      <c r="N39" s="43"/>
      <c r="O39" s="43"/>
      <c r="P39" s="43"/>
      <c r="Q39" s="43"/>
      <c r="R39" s="43"/>
      <c r="S39" s="43"/>
      <c r="T39" s="43"/>
      <c r="U39" s="43"/>
      <c r="V39" s="43"/>
      <c r="W39" s="43"/>
      <c r="X39" s="43"/>
      <c r="Y39" s="43"/>
      <c r="Z39" s="43"/>
      <c r="AA39" s="43"/>
      <c r="AB39" s="43"/>
      <c r="AI39" s="412">
        <v>99</v>
      </c>
    </row>
    <row r="40" spans="2:35" ht="18.75" customHeight="1" thickBot="1" x14ac:dyDescent="0.2">
      <c r="B40" s="97"/>
      <c r="C40" s="98"/>
      <c r="D40" s="99"/>
      <c r="E40" s="100"/>
      <c r="F40" s="99"/>
      <c r="G40" s="100"/>
      <c r="H40" s="99"/>
      <c r="I40" s="100"/>
      <c r="J40" s="99"/>
      <c r="K40" s="39"/>
      <c r="L40" s="34"/>
      <c r="M40" s="43"/>
      <c r="N40" s="43"/>
      <c r="O40" s="43"/>
      <c r="P40" s="43"/>
      <c r="Q40" s="43"/>
      <c r="R40" s="43"/>
      <c r="S40" s="43"/>
      <c r="T40" s="43"/>
      <c r="U40" s="43"/>
      <c r="V40" s="43"/>
      <c r="W40" s="43"/>
      <c r="X40" s="43"/>
      <c r="Y40" s="43"/>
      <c r="Z40" s="43"/>
      <c r="AA40" s="43"/>
      <c r="AB40" s="43"/>
      <c r="AI40" s="412"/>
    </row>
    <row r="41" spans="2:35" ht="18.75" customHeight="1" thickTop="1" thickBot="1" x14ac:dyDescent="0.2">
      <c r="B41" s="101" t="s">
        <v>243</v>
      </c>
      <c r="C41" s="665"/>
      <c r="D41" s="666"/>
      <c r="E41" s="666"/>
      <c r="F41" s="666"/>
      <c r="G41" s="666"/>
      <c r="H41" s="666"/>
      <c r="I41" s="666"/>
      <c r="J41" s="667"/>
      <c r="K41" s="39"/>
      <c r="L41" s="503" t="s">
        <v>371</v>
      </c>
      <c r="M41" s="56" t="s">
        <v>183</v>
      </c>
      <c r="N41" s="56" t="s">
        <v>184</v>
      </c>
      <c r="O41" s="56" t="s">
        <v>185</v>
      </c>
      <c r="P41" s="56" t="s">
        <v>186</v>
      </c>
      <c r="Q41" s="56" t="s">
        <v>187</v>
      </c>
      <c r="R41" s="56" t="s">
        <v>188</v>
      </c>
      <c r="S41" s="56" t="s">
        <v>189</v>
      </c>
      <c r="T41" s="56" t="s">
        <v>190</v>
      </c>
      <c r="U41" s="56" t="s">
        <v>191</v>
      </c>
      <c r="V41" s="56" t="s">
        <v>192</v>
      </c>
      <c r="W41" s="56" t="s">
        <v>193</v>
      </c>
      <c r="X41" s="56" t="s">
        <v>194</v>
      </c>
      <c r="Y41" s="56" t="s">
        <v>195</v>
      </c>
      <c r="Z41" s="56" t="s">
        <v>196</v>
      </c>
      <c r="AA41" s="56" t="s">
        <v>197</v>
      </c>
      <c r="AB41" s="56" t="s">
        <v>198</v>
      </c>
      <c r="AI41" s="412"/>
    </row>
    <row r="42" spans="2:35" ht="18.75" customHeight="1" thickTop="1" x14ac:dyDescent="0.15">
      <c r="B42" s="102" t="s">
        <v>34</v>
      </c>
      <c r="C42" s="89">
        <f>IFERROR(INDEX(阻害要因有無×在院期間区分＿寛解・院内寛解[#All],MATCH($AI43,阻害要因有無×在院期間区分＿寛解・院内寛解[[#All],[行ラベル]],0),MATCH($AJ$4,阻害要因有無×在院期間区分＿寛解・院内寛解[#Headers],0)),0)+IFERROR(INDEX(阻害要因有無×在院期間区分＿寛解・院内寛解[#All],MATCH($AI43,阻害要因有無×在院期間区分＿寛解・院内寛解[[#All],[行ラベル]],0),MATCH($AK$4,阻害要因有無×在院期間区分＿寛解・院内寛解[#Headers],0)),0)+IFERROR(INDEX(阻害要因有無×在院期間区分＿寛解・院内寛解[#All],MATCH($AI43,阻害要因有無×在院期間区分＿寛解・院内寛解[[#All],[行ラベル]],0),MATCH($AL$4,阻害要因有無×在院期間区分＿寛解・院内寛解[#Headers],0)),0)+IFERROR(INDEX(阻害要因有無×在院期間区分＿寛解・院内寛解[#All],MATCH($AI43,阻害要因有無×在院期間区分＿寛解・院内寛解[[#All],[行ラベル]],0),MATCH($AM$4,阻害要因有無×在院期間区分＿寛解・院内寛解[#Headers],0)),0)</f>
        <v>253</v>
      </c>
      <c r="D42" s="90">
        <f>IFERROR(C42/C$36,"-")</f>
        <v>0.86941580756013748</v>
      </c>
      <c r="E42" s="89">
        <f>IFERROR(INDEX(阻害要因有無×在院期間区分＿寛解・院内寛解[#All],MATCH($AI43,阻害要因有無×在院期間区分＿寛解・院内寛解[[#All],[行ラベル]],0),MATCH($AN$4,阻害要因有無×在院期間区分＿寛解・院内寛解[#Headers],0)),0)+IFERROR(INDEX(阻害要因有無×在院期間区分＿寛解・院内寛解[#All],MATCH($AI43,阻害要因有無×在院期間区分＿寛解・院内寛解[[#All],[行ラベル]],0),MATCH($AO$4,阻害要因有無×在院期間区分＿寛解・院内寛解[#Headers],0)),0)+IFERROR(INDEX(阻害要因有無×在院期間区分＿寛解・院内寛解[#All],MATCH($AI43,阻害要因有無×在院期間区分＿寛解・院内寛解[[#All],[行ラベル]],0),MATCH($AP$4,阻害要因有無×在院期間区分＿寛解・院内寛解[#Headers],0)),0)+IFERROR(INDEX(阻害要因有無×在院期間区分＿寛解・院内寛解[#All],MATCH($AI43,阻害要因有無×在院期間区分＿寛解・院内寛解[[#All],[行ラベル]],0),MATCH($AQ$4,阻害要因有無×在院期間区分＿寛解・院内寛解[#Headers],0)),0)+IFERROR(INDEX(阻害要因有無×在院期間区分＿寛解・院内寛解[#All],MATCH($AI43,阻害要因有無×在院期間区分＿寛解・院内寛解[[#All],[行ラベル]],0),MATCH($AR$4,阻害要因有無×在院期間区分＿寛解・院内寛解[#Headers],0)),0)</f>
        <v>210</v>
      </c>
      <c r="F42" s="90">
        <f>IFERROR(E42/E$36,"-")</f>
        <v>0.95454545454545459</v>
      </c>
      <c r="G42" s="89">
        <f>IFERROR(INDEX(阻害要因有無×在院期間区分＿寛解・院内寛解[#All],MATCH($AI43,阻害要因有無×在院期間区分＿寛解・院内寛解[[#All],[行ラベル]],0),MATCH($AS$4,阻害要因有無×在院期間区分＿寛解・院内寛解[#Headers],0)),0)+IFERROR(INDEX(阻害要因有無×在院期間区分＿寛解・院内寛解[#All],MATCH($AI43,阻害要因有無×在院期間区分＿寛解・院内寛解[[#All],[行ラベル]],0),MATCH($AT$4,阻害要因有無×在院期間区分＿寛解・院内寛解[#Headers],0)),0)+IFERROR(INDEX(阻害要因有無×在院期間区分＿寛解・院内寛解[#All],MATCH($AI43,阻害要因有無×在院期間区分＿寛解・院内寛解[[#All],[行ラベル]],0),MATCH($AU$4,阻害要因有無×在院期間区分＿寛解・院内寛解[#Headers],0)),0)+IFERROR(INDEX(阻害要因有無×在院期間区分＿寛解・院内寛解[#All],MATCH($AI43,阻害要因有無×在院期間区分＿寛解・院内寛解[[#All],[行ラベル]],0),MATCH($AV$4,阻害要因有無×在院期間区分＿寛解・院内寛解[#Headers],0)),0)+IFERROR(INDEX(阻害要因有無×在院期間区分＿寛解・院内寛解[#All],MATCH($AI43,阻害要因有無×在院期間区分＿寛解・院内寛解[[#All],[行ラベル]],0),MATCH($AW$4,阻害要因有無×在院期間区分＿寛解・院内寛解[#Headers],0)),0)</f>
        <v>90</v>
      </c>
      <c r="H42" s="90">
        <f>IFERROR(G42/G$36,"-")</f>
        <v>0.98901098901098905</v>
      </c>
      <c r="I42" s="89">
        <f>IFERROR(INDEX(阻害要因有無×在院期間区分＿寛解・院内寛解[#All],MATCH($AI43,阻害要因有無×在院期間区分＿寛解・院内寛解[[#All],[行ラベル]],0),MATCH($AX$4,阻害要因有無×在院期間区分＿寛解・院内寛解[#Headers],0)),0)+IFERROR(INDEX(阻害要因有無×在院期間区分＿寛解・院内寛解[#All],MATCH($AI43,阻害要因有無×在院期間区分＿寛解・院内寛解[[#All],[行ラベル]],0),MATCH($AY$4,阻害要因有無×在院期間区分＿寛解・院内寛解[#Headers],0)),0)</f>
        <v>103</v>
      </c>
      <c r="J42" s="90">
        <f>IFERROR(I42/I$36,"-")</f>
        <v>0.97169811320754718</v>
      </c>
      <c r="K42" s="39">
        <f>SUM(C42,E42,G42,I42)</f>
        <v>656</v>
      </c>
      <c r="L42" s="34">
        <v>91</v>
      </c>
      <c r="M42" s="60">
        <v>42</v>
      </c>
      <c r="N42" s="60">
        <v>56</v>
      </c>
      <c r="O42" s="60">
        <v>62</v>
      </c>
      <c r="P42" s="60">
        <v>93</v>
      </c>
      <c r="Q42" s="60">
        <v>57</v>
      </c>
      <c r="R42" s="60">
        <v>44</v>
      </c>
      <c r="S42" s="60">
        <v>60</v>
      </c>
      <c r="T42" s="60">
        <v>35</v>
      </c>
      <c r="U42" s="60">
        <v>14</v>
      </c>
      <c r="V42" s="60">
        <v>29</v>
      </c>
      <c r="W42" s="60">
        <v>16</v>
      </c>
      <c r="X42" s="60">
        <v>14</v>
      </c>
      <c r="Y42" s="60">
        <v>22</v>
      </c>
      <c r="Z42" s="60">
        <v>9</v>
      </c>
      <c r="AA42" s="60">
        <v>71</v>
      </c>
      <c r="AB42" s="60">
        <v>32</v>
      </c>
      <c r="AI42" s="412"/>
    </row>
    <row r="43" spans="2:35" ht="18.75" customHeight="1" x14ac:dyDescent="0.15">
      <c r="B43" s="92" t="s">
        <v>35</v>
      </c>
      <c r="C43" s="70">
        <f>IFERROR(INDEX(阻害要因有無×在院期間区分＿寛解・院内寛解[#All],MATCH($AI44,阻害要因有無×在院期間区分＿寛解・院内寛解[[#All],[行ラベル]],0),MATCH($AJ$4,阻害要因有無×在院期間区分＿寛解・院内寛解[#Headers],0)),0)+IFERROR(INDEX(阻害要因有無×在院期間区分＿寛解・院内寛解[#All],MATCH($AI44,阻害要因有無×在院期間区分＿寛解・院内寛解[[#All],[行ラベル]],0),MATCH($AK$4,阻害要因有無×在院期間区分＿寛解・院内寛解[#Headers],0)),0)+IFERROR(INDEX(阻害要因有無×在院期間区分＿寛解・院内寛解[#All],MATCH($AI44,阻害要因有無×在院期間区分＿寛解・院内寛解[[#All],[行ラベル]],0),MATCH($AL$4,阻害要因有無×在院期間区分＿寛解・院内寛解[#Headers],0)),0)+IFERROR(INDEX(阻害要因有無×在院期間区分＿寛解・院内寛解[#All],MATCH($AI44,阻害要因有無×在院期間区分＿寛解・院内寛解[[#All],[行ラベル]],0),MATCH($AM$4,阻害要因有無×在院期間区分＿寛解・院内寛解[#Headers],0)),0)</f>
        <v>38</v>
      </c>
      <c r="D43" s="69">
        <f>IFERROR(C43/C$36,"-")</f>
        <v>0.13058419243986255</v>
      </c>
      <c r="E43" s="70">
        <f>IFERROR(INDEX(阻害要因有無×在院期間区分＿寛解・院内寛解[#All],MATCH($AI44,阻害要因有無×在院期間区分＿寛解・院内寛解[[#All],[行ラベル]],0),MATCH($AN$4,阻害要因有無×在院期間区分＿寛解・院内寛解[#Headers],0)),0)+IFERROR(INDEX(阻害要因有無×在院期間区分＿寛解・院内寛解[#All],MATCH($AI44,阻害要因有無×在院期間区分＿寛解・院内寛解[[#All],[行ラベル]],0),MATCH($AO$4,阻害要因有無×在院期間区分＿寛解・院内寛解[#Headers],0)),0)+IFERROR(INDEX(阻害要因有無×在院期間区分＿寛解・院内寛解[#All],MATCH($AI44,阻害要因有無×在院期間区分＿寛解・院内寛解[[#All],[行ラベル]],0),MATCH($AP$4,阻害要因有無×在院期間区分＿寛解・院内寛解[#Headers],0)),0)+IFERROR(INDEX(阻害要因有無×在院期間区分＿寛解・院内寛解[#All],MATCH($AI44,阻害要因有無×在院期間区分＿寛解・院内寛解[[#All],[行ラベル]],0),MATCH($AQ$4,阻害要因有無×在院期間区分＿寛解・院内寛解[#Headers],0)),0)+IFERROR(INDEX(阻害要因有無×在院期間区分＿寛解・院内寛解[#All],MATCH($AI44,阻害要因有無×在院期間区分＿寛解・院内寛解[[#All],[行ラベル]],0),MATCH($AR$4,阻害要因有無×在院期間区分＿寛解・院内寛解[#Headers],0)),0)</f>
        <v>10</v>
      </c>
      <c r="F43" s="69">
        <f>IFERROR(E43/E$36,"-")</f>
        <v>4.5454545454545456E-2</v>
      </c>
      <c r="G43" s="70">
        <f>IFERROR(INDEX(阻害要因有無×在院期間区分＿寛解・院内寛解[#All],MATCH($AI44,阻害要因有無×在院期間区分＿寛解・院内寛解[[#All],[行ラベル]],0),MATCH($AS$4,阻害要因有無×在院期間区分＿寛解・院内寛解[#Headers],0)),0)+IFERROR(INDEX(阻害要因有無×在院期間区分＿寛解・院内寛解[#All],MATCH($AI44,阻害要因有無×在院期間区分＿寛解・院内寛解[[#All],[行ラベル]],0),MATCH($AT$4,阻害要因有無×在院期間区分＿寛解・院内寛解[#Headers],0)),0)+IFERROR(INDEX(阻害要因有無×在院期間区分＿寛解・院内寛解[#All],MATCH($AI44,阻害要因有無×在院期間区分＿寛解・院内寛解[[#All],[行ラベル]],0),MATCH($AU$4,阻害要因有無×在院期間区分＿寛解・院内寛解[#Headers],0)),0)+IFERROR(INDEX(阻害要因有無×在院期間区分＿寛解・院内寛解[#All],MATCH($AI44,阻害要因有無×在院期間区分＿寛解・院内寛解[[#All],[行ラベル]],0),MATCH($AV$4,阻害要因有無×在院期間区分＿寛解・院内寛解[#Headers],0)),0)+IFERROR(INDEX(阻害要因有無×在院期間区分＿寛解・院内寛解[#All],MATCH($AI44,阻害要因有無×在院期間区分＿寛解・院内寛解[[#All],[行ラベル]],0),MATCH($AW$4,阻害要因有無×在院期間区分＿寛解・院内寛解[#Headers],0)),0)</f>
        <v>1</v>
      </c>
      <c r="H43" s="69">
        <f>IFERROR(G43/G$36,"-")</f>
        <v>1.098901098901099E-2</v>
      </c>
      <c r="I43" s="70">
        <f>IFERROR(INDEX(阻害要因有無×在院期間区分＿寛解・院内寛解[#All],MATCH($AI44,阻害要因有無×在院期間区分＿寛解・院内寛解[[#All],[行ラベル]],0),MATCH($AX$4,阻害要因有無×在院期間区分＿寛解・院内寛解[#Headers],0)),0)+IFERROR(INDEX(阻害要因有無×在院期間区分＿寛解・院内寛解[#All],MATCH($AI44,阻害要因有無×在院期間区分＿寛解・院内寛解[[#All],[行ラベル]],0),MATCH($AY$4,阻害要因有無×在院期間区分＿寛解・院内寛解[#Headers],0)),0)</f>
        <v>3</v>
      </c>
      <c r="J43" s="69">
        <f>IFERROR(I43/I$36,"-")</f>
        <v>2.8301886792452831E-2</v>
      </c>
      <c r="K43" s="39">
        <f>SUM(C43,E43,G43,I43)</f>
        <v>52</v>
      </c>
      <c r="L43" s="34">
        <v>90</v>
      </c>
      <c r="M43" s="60">
        <v>11</v>
      </c>
      <c r="N43" s="60">
        <v>14</v>
      </c>
      <c r="O43" s="60">
        <v>7</v>
      </c>
      <c r="P43" s="60">
        <v>6</v>
      </c>
      <c r="Q43" s="60">
        <v>5</v>
      </c>
      <c r="R43" s="60">
        <v>1</v>
      </c>
      <c r="S43" s="60">
        <v>3</v>
      </c>
      <c r="T43" s="60">
        <v>0</v>
      </c>
      <c r="U43" s="60">
        <v>1</v>
      </c>
      <c r="V43" s="60">
        <v>0</v>
      </c>
      <c r="W43" s="60">
        <v>1</v>
      </c>
      <c r="X43" s="60">
        <v>0</v>
      </c>
      <c r="Y43" s="60">
        <v>0</v>
      </c>
      <c r="Z43" s="60">
        <v>0</v>
      </c>
      <c r="AA43" s="60">
        <v>3</v>
      </c>
      <c r="AB43" s="60">
        <v>0</v>
      </c>
      <c r="AI43" s="412">
        <v>91</v>
      </c>
    </row>
    <row r="44" spans="2:35" ht="18.75" customHeight="1" thickBot="1" x14ac:dyDescent="0.2">
      <c r="B44" s="103" t="s">
        <v>265</v>
      </c>
      <c r="C44" s="665"/>
      <c r="D44" s="666"/>
      <c r="E44" s="666"/>
      <c r="F44" s="666"/>
      <c r="G44" s="666"/>
      <c r="H44" s="666"/>
      <c r="I44" s="666"/>
      <c r="J44" s="667"/>
      <c r="K44" s="39"/>
      <c r="AI44" s="412">
        <v>90</v>
      </c>
    </row>
    <row r="45" spans="2:35" ht="19.5" customHeight="1" thickTop="1" thickBot="1" x14ac:dyDescent="0.2">
      <c r="B45" s="662" t="s">
        <v>275</v>
      </c>
      <c r="C45" s="663"/>
      <c r="D45" s="663"/>
      <c r="E45" s="663"/>
      <c r="F45" s="663"/>
      <c r="G45" s="663"/>
      <c r="H45" s="663"/>
      <c r="I45" s="663"/>
      <c r="J45" s="664"/>
      <c r="K45" s="39">
        <f>SUM(C46,E46,G46,I46)</f>
        <v>217</v>
      </c>
      <c r="L45" s="503" t="s">
        <v>380</v>
      </c>
      <c r="M45" s="56" t="s">
        <v>183</v>
      </c>
      <c r="N45" s="56" t="s">
        <v>184</v>
      </c>
      <c r="O45" s="56" t="s">
        <v>185</v>
      </c>
      <c r="P45" s="56" t="s">
        <v>186</v>
      </c>
      <c r="Q45" s="56" t="s">
        <v>187</v>
      </c>
      <c r="R45" s="56" t="s">
        <v>188</v>
      </c>
      <c r="S45" s="56" t="s">
        <v>189</v>
      </c>
      <c r="T45" s="56" t="s">
        <v>190</v>
      </c>
      <c r="U45" s="56" t="s">
        <v>191</v>
      </c>
      <c r="V45" s="56" t="s">
        <v>192</v>
      </c>
      <c r="W45" s="56" t="s">
        <v>193</v>
      </c>
      <c r="X45" s="56" t="s">
        <v>194</v>
      </c>
      <c r="Y45" s="56" t="s">
        <v>195</v>
      </c>
      <c r="Z45" s="56" t="s">
        <v>196</v>
      </c>
      <c r="AA45" s="56" t="s">
        <v>197</v>
      </c>
      <c r="AB45" s="56" t="s">
        <v>198</v>
      </c>
      <c r="AI45" s="412"/>
    </row>
    <row r="46" spans="2:35" ht="37.5" customHeight="1" thickTop="1" x14ac:dyDescent="0.15">
      <c r="B46" s="104" t="s">
        <v>236</v>
      </c>
      <c r="C46" s="65">
        <f>IFERROR(INDEX(阻害要因×在院期間区分＿寛解・院内寛解[#All],MATCH($AI47,阻害要因×在院期間区分＿寛解・院内寛解[[#All],[値]],0),MATCH($AJ$4,阻害要因×在院期間区分＿寛解・院内寛解[#Headers],0)),0)+IFERROR(INDEX(阻害要因×在院期間区分＿寛解・院内寛解[#All],MATCH($AI47,阻害要因×在院期間区分＿寛解・院内寛解[[#All],[値]],0),MATCH($AK$4,阻害要因×在院期間区分＿寛解・院内寛解[#Headers],0)),0)+IFERROR(INDEX(阻害要因×在院期間区分＿寛解・院内寛解[#All],MATCH($AI47,阻害要因×在院期間区分＿寛解・院内寛解[[#All],[値]],0),MATCH($AL$4,阻害要因×在院期間区分＿寛解・院内寛解[#Headers],0)),0)+IFERROR(INDEX(阻害要因×在院期間区分＿寛解・院内寛解[#All],MATCH($AI47,阻害要因×在院期間区分＿寛解・院内寛解[[#All],[値]],0),MATCH($AM$4,阻害要因×在院期間区分＿寛解・院内寛解[#Headers],0)),0)</f>
        <v>93</v>
      </c>
      <c r="D46" s="64">
        <f t="shared" ref="D46:D63" si="7">IFERROR(C46/C$42,"-")</f>
        <v>0.3675889328063241</v>
      </c>
      <c r="E46" s="65">
        <f>IFERROR(INDEX(阻害要因×在院期間区分＿寛解・院内寛解[#All],MATCH($AI47,阻害要因×在院期間区分＿寛解・院内寛解[[#All],[値]],0),MATCH($AN$4,阻害要因×在院期間区分＿寛解・院内寛解[#Headers],0)),0)+IFERROR(INDEX(阻害要因×在院期間区分＿寛解・院内寛解[#All],MATCH($AI47,阻害要因×在院期間区分＿寛解・院内寛解[[#All],[値]],0),MATCH($AO$4,阻害要因×在院期間区分＿寛解・院内寛解[#Headers],0)),0)+IFERROR(INDEX(阻害要因×在院期間区分＿寛解・院内寛解[#All],MATCH($AI47,阻害要因×在院期間区分＿寛解・院内寛解[[#All],[値]],0),MATCH($AP$4,阻害要因×在院期間区分＿寛解・院内寛解[#Headers],0)),0)+IFERROR(INDEX(阻害要因×在院期間区分＿寛解・院内寛解[#All],MATCH($AI47,阻害要因×在院期間区分＿寛解・院内寛解[[#All],[値]],0),MATCH($AQ$4,阻害要因×在院期間区分＿寛解・院内寛解[#Headers],0)),0)+IFERROR(INDEX(阻害要因×在院期間区分＿寛解・院内寛解[#All],MATCH($AI47,阻害要因×在院期間区分＿寛解・院内寛解[[#All],[値]],0),MATCH($AR$4,阻害要因×在院期間区分＿寛解・院内寛解[#Headers],0)),0)</f>
        <v>63</v>
      </c>
      <c r="F46" s="64">
        <f t="shared" ref="F46:F63" si="8">IFERROR(E46/E$42,"-")</f>
        <v>0.3</v>
      </c>
      <c r="G46" s="65">
        <f>IFERROR(INDEX(阻害要因×在院期間区分＿寛解・院内寛解[#All],MATCH($AI47,阻害要因×在院期間区分＿寛解・院内寛解[[#All],[値]],0),MATCH($AS$4,阻害要因×在院期間区分＿寛解・院内寛解[#Headers],0)),0)+IFERROR(INDEX(阻害要因×在院期間区分＿寛解・院内寛解[#All],MATCH($AI47,阻害要因×在院期間区分＿寛解・院内寛解[[#All],[値]],0),MATCH($AT$4,阻害要因×在院期間区分＿寛解・院内寛解[#Headers],0)),0)+IFERROR(INDEX(阻害要因×在院期間区分＿寛解・院内寛解[#All],MATCH($AI47,阻害要因×在院期間区分＿寛解・院内寛解[[#All],[値]],0),MATCH($AU$4,阻害要因×在院期間区分＿寛解・院内寛解[#Headers],0)),0)+IFERROR(INDEX(阻害要因×在院期間区分＿寛解・院内寛解[#All],MATCH($AI47,阻害要因×在院期間区分＿寛解・院内寛解[[#All],[値]],0),MATCH($AV$4,阻害要因×在院期間区分＿寛解・院内寛解[#Headers],0)),0)+IFERROR(INDEX(阻害要因×在院期間区分＿寛解・院内寛解[#All],MATCH($AI47,阻害要因×在院期間区分＿寛解・院内寛解[[#All],[値]],0),MATCH($AW$4,阻害要因×在院期間区分＿寛解・院内寛解[#Headers],0)),0)</f>
        <v>28</v>
      </c>
      <c r="H46" s="64">
        <f t="shared" ref="H46:H63" si="9">IFERROR(G46/G$42,"-")</f>
        <v>0.31111111111111112</v>
      </c>
      <c r="I46" s="65">
        <f>IFERROR(INDEX(阻害要因×在院期間区分＿寛解・院内寛解[#All],MATCH($AI47,阻害要因×在院期間区分＿寛解・院内寛解[[#All],[値]],0),MATCH($AX$4,阻害要因×在院期間区分＿寛解・院内寛解[#Headers],0)),0)+IFERROR(INDEX(阻害要因×在院期間区分＿寛解・院内寛解[#All],MATCH($AI47,阻害要因×在院期間区分＿寛解・院内寛解[[#All],[値]],0),MATCH($AY$4,阻害要因×在院期間区分＿寛解・院内寛解[#Headers],0)),0)</f>
        <v>33</v>
      </c>
      <c r="J46" s="64">
        <f t="shared" ref="J46:J63" si="10">IFERROR(I46/I$42,"-")</f>
        <v>0.32038834951456313</v>
      </c>
      <c r="K46" s="39">
        <f>SUM(C47,E47,G47,I47)</f>
        <v>144</v>
      </c>
      <c r="L46" s="34" t="s">
        <v>310</v>
      </c>
      <c r="M46" s="66">
        <v>21</v>
      </c>
      <c r="N46" s="66">
        <v>22</v>
      </c>
      <c r="O46" s="66">
        <v>19</v>
      </c>
      <c r="P46" s="66">
        <v>31</v>
      </c>
      <c r="Q46" s="66">
        <v>14</v>
      </c>
      <c r="R46" s="66">
        <v>14</v>
      </c>
      <c r="S46" s="66">
        <v>12</v>
      </c>
      <c r="T46" s="66">
        <v>16</v>
      </c>
      <c r="U46" s="66">
        <v>7</v>
      </c>
      <c r="V46" s="66">
        <v>8</v>
      </c>
      <c r="W46" s="66">
        <v>6</v>
      </c>
      <c r="X46" s="66">
        <v>5</v>
      </c>
      <c r="Y46" s="66">
        <v>7</v>
      </c>
      <c r="Z46" s="66">
        <v>2</v>
      </c>
      <c r="AA46" s="66">
        <v>27</v>
      </c>
      <c r="AB46" s="66">
        <v>6</v>
      </c>
      <c r="AI46" s="412"/>
    </row>
    <row r="47" spans="2:35" ht="18.75" customHeight="1" x14ac:dyDescent="0.15">
      <c r="B47" s="105" t="s">
        <v>66</v>
      </c>
      <c r="C47" s="70">
        <f>IFERROR(INDEX(阻害要因×在院期間区分＿寛解・院内寛解[#All],MATCH($AI48,阻害要因×在院期間区分＿寛解・院内寛解[[#All],[値]],0),MATCH($AJ$4,阻害要因×在院期間区分＿寛解・院内寛解[#Headers],0)),0)+IFERROR(INDEX(阻害要因×在院期間区分＿寛解・院内寛解[#All],MATCH($AI48,阻害要因×在院期間区分＿寛解・院内寛解[[#All],[値]],0),MATCH($AK$4,阻害要因×在院期間区分＿寛解・院内寛解[#Headers],0)),0)+IFERROR(INDEX(阻害要因×在院期間区分＿寛解・院内寛解[#All],MATCH($AI48,阻害要因×在院期間区分＿寛解・院内寛解[[#All],[値]],0),MATCH($AL$4,阻害要因×在院期間区分＿寛解・院内寛解[#Headers],0)),0)+IFERROR(INDEX(阻害要因×在院期間区分＿寛解・院内寛解[#All],MATCH($AI48,阻害要因×在院期間区分＿寛解・院内寛解[[#All],[値]],0),MATCH($AM$4,阻害要因×在院期間区分＿寛解・院内寛解[#Headers],0)),0)</f>
        <v>52</v>
      </c>
      <c r="D47" s="73">
        <f t="shared" si="7"/>
        <v>0.20553359683794467</v>
      </c>
      <c r="E47" s="70">
        <f>IFERROR(INDEX(阻害要因×在院期間区分＿寛解・院内寛解[#All],MATCH($AI48,阻害要因×在院期間区分＿寛解・院内寛解[[#All],[値]],0),MATCH($AN$4,阻害要因×在院期間区分＿寛解・院内寛解[#Headers],0)),0)+IFERROR(INDEX(阻害要因×在院期間区分＿寛解・院内寛解[#All],MATCH($AI48,阻害要因×在院期間区分＿寛解・院内寛解[[#All],[値]],0),MATCH($AO$4,阻害要因×在院期間区分＿寛解・院内寛解[#Headers],0)),0)+IFERROR(INDEX(阻害要因×在院期間区分＿寛解・院内寛解[#All],MATCH($AI48,阻害要因×在院期間区分＿寛解・院内寛解[[#All],[値]],0),MATCH($AP$4,阻害要因×在院期間区分＿寛解・院内寛解[#Headers],0)),0)+IFERROR(INDEX(阻害要因×在院期間区分＿寛解・院内寛解[#All],MATCH($AI48,阻害要因×在院期間区分＿寛解・院内寛解[[#All],[値]],0),MATCH($AQ$4,阻害要因×在院期間区分＿寛解・院内寛解[#Headers],0)),0)+IFERROR(INDEX(阻害要因×在院期間区分＿寛解・院内寛解[#All],MATCH($AI48,阻害要因×在院期間区分＿寛解・院内寛解[[#All],[値]],0),MATCH($AR$4,阻害要因×在院期間区分＿寛解・院内寛解[#Headers],0)),0)</f>
        <v>49</v>
      </c>
      <c r="F47" s="73">
        <f t="shared" si="8"/>
        <v>0.23333333333333334</v>
      </c>
      <c r="G47" s="70">
        <f>IFERROR(INDEX(阻害要因×在院期間区分＿寛解・院内寛解[#All],MATCH($AI48,阻害要因×在院期間区分＿寛解・院内寛解[[#All],[値]],0),MATCH($AS$4,阻害要因×在院期間区分＿寛解・院内寛解[#Headers],0)),0)+IFERROR(INDEX(阻害要因×在院期間区分＿寛解・院内寛解[#All],MATCH($AI48,阻害要因×在院期間区分＿寛解・院内寛解[[#All],[値]],0),MATCH($AT$4,阻害要因×在院期間区分＿寛解・院内寛解[#Headers],0)),0)+IFERROR(INDEX(阻害要因×在院期間区分＿寛解・院内寛解[#All],MATCH($AI48,阻害要因×在院期間区分＿寛解・院内寛解[[#All],[値]],0),MATCH($AU$4,阻害要因×在院期間区分＿寛解・院内寛解[#Headers],0)),0)+IFERROR(INDEX(阻害要因×在院期間区分＿寛解・院内寛解[#All],MATCH($AI48,阻害要因×在院期間区分＿寛解・院内寛解[[#All],[値]],0),MATCH($AV$4,阻害要因×在院期間区分＿寛解・院内寛解[#Headers],0)),0)+IFERROR(INDEX(阻害要因×在院期間区分＿寛解・院内寛解[#All],MATCH($AI48,阻害要因×在院期間区分＿寛解・院内寛解[[#All],[値]],0),MATCH($AW$4,阻害要因×在院期間区分＿寛解・院内寛解[#Headers],0)),0)</f>
        <v>17</v>
      </c>
      <c r="H47" s="73">
        <f t="shared" si="9"/>
        <v>0.18888888888888888</v>
      </c>
      <c r="I47" s="70">
        <f>IFERROR(INDEX(阻害要因×在院期間区分＿寛解・院内寛解[#All],MATCH($AI48,阻害要因×在院期間区分＿寛解・院内寛解[[#All],[値]],0),MATCH($AX$4,阻害要因×在院期間区分＿寛解・院内寛解[#Headers],0)),0)+IFERROR(INDEX(阻害要因×在院期間区分＿寛解・院内寛解[#All],MATCH($AI48,阻害要因×在院期間区分＿寛解・院内寛解[[#All],[値]],0),MATCH($AY$4,阻害要因×在院期間区分＿寛解・院内寛解[#Headers],0)),0)</f>
        <v>26</v>
      </c>
      <c r="J47" s="73">
        <f t="shared" si="10"/>
        <v>0.25242718446601942</v>
      </c>
      <c r="K47" s="39">
        <f t="shared" ref="K47:K62" si="11">SUM(C48,E48,G48,I48)</f>
        <v>36</v>
      </c>
      <c r="L47" s="56" t="s">
        <v>311</v>
      </c>
      <c r="M47" s="66">
        <v>7</v>
      </c>
      <c r="N47" s="66">
        <v>11</v>
      </c>
      <c r="O47" s="66">
        <v>14</v>
      </c>
      <c r="P47" s="66">
        <v>20</v>
      </c>
      <c r="Q47" s="66">
        <v>9</v>
      </c>
      <c r="R47" s="66">
        <v>13</v>
      </c>
      <c r="S47" s="66">
        <v>16</v>
      </c>
      <c r="T47" s="66">
        <v>7</v>
      </c>
      <c r="U47" s="66">
        <v>4</v>
      </c>
      <c r="V47" s="66">
        <v>4</v>
      </c>
      <c r="W47" s="66">
        <v>4</v>
      </c>
      <c r="X47" s="66">
        <v>1</v>
      </c>
      <c r="Y47" s="66">
        <v>7</v>
      </c>
      <c r="Z47" s="66">
        <v>1</v>
      </c>
      <c r="AA47" s="66">
        <v>23</v>
      </c>
      <c r="AB47" s="66">
        <v>3</v>
      </c>
      <c r="AI47" s="412" t="s">
        <v>310</v>
      </c>
    </row>
    <row r="48" spans="2:35" ht="18.75" customHeight="1" x14ac:dyDescent="0.15">
      <c r="B48" s="105" t="s">
        <v>38</v>
      </c>
      <c r="C48" s="120">
        <f>IFERROR(INDEX(阻害要因×在院期間区分＿寛解・院内寛解[#All],MATCH($AI49,阻害要因×在院期間区分＿寛解・院内寛解[[#All],[値]],0),MATCH($AJ$4,阻害要因×在院期間区分＿寛解・院内寛解[#Headers],0)),0)+IFERROR(INDEX(阻害要因×在院期間区分＿寛解・院内寛解[#All],MATCH($AI49,阻害要因×在院期間区分＿寛解・院内寛解[[#All],[値]],0),MATCH($AK$4,阻害要因×在院期間区分＿寛解・院内寛解[#Headers],0)),0)+IFERROR(INDEX(阻害要因×在院期間区分＿寛解・院内寛解[#All],MATCH($AI49,阻害要因×在院期間区分＿寛解・院内寛解[[#All],[値]],0),MATCH($AL$4,阻害要因×在院期間区分＿寛解・院内寛解[#Headers],0)),0)+IFERROR(INDEX(阻害要因×在院期間区分＿寛解・院内寛解[#All],MATCH($AI49,阻害要因×在院期間区分＿寛解・院内寛解[[#All],[値]],0),MATCH($AM$4,阻害要因×在院期間区分＿寛解・院内寛解[#Headers],0)),0)</f>
        <v>18</v>
      </c>
      <c r="D48" s="73">
        <f t="shared" si="7"/>
        <v>7.1146245059288543E-2</v>
      </c>
      <c r="E48" s="71">
        <f>IFERROR(INDEX(阻害要因×在院期間区分＿寛解・院内寛解[#All],MATCH($AI49,阻害要因×在院期間区分＿寛解・院内寛解[[#All],[値]],0),MATCH($AN$4,阻害要因×在院期間区分＿寛解・院内寛解[#Headers],0)),0)+IFERROR(INDEX(阻害要因×在院期間区分＿寛解・院内寛解[#All],MATCH($AI49,阻害要因×在院期間区分＿寛解・院内寛解[[#All],[値]],0),MATCH($AO$4,阻害要因×在院期間区分＿寛解・院内寛解[#Headers],0)),0)+IFERROR(INDEX(阻害要因×在院期間区分＿寛解・院内寛解[#All],MATCH($AI49,阻害要因×在院期間区分＿寛解・院内寛解[[#All],[値]],0),MATCH($AP$4,阻害要因×在院期間区分＿寛解・院内寛解[#Headers],0)),0)+IFERROR(INDEX(阻害要因×在院期間区分＿寛解・院内寛解[#All],MATCH($AI49,阻害要因×在院期間区分＿寛解・院内寛解[[#All],[値]],0),MATCH($AQ$4,阻害要因×在院期間区分＿寛解・院内寛解[#Headers],0)),0)+IFERROR(INDEX(阻害要因×在院期間区分＿寛解・院内寛解[#All],MATCH($AI49,阻害要因×在院期間区分＿寛解・院内寛解[[#All],[値]],0),MATCH($AR$4,阻害要因×在院期間区分＿寛解・院内寛解[#Headers],0)),0)</f>
        <v>9</v>
      </c>
      <c r="F48" s="73">
        <f t="shared" si="8"/>
        <v>4.2857142857142858E-2</v>
      </c>
      <c r="G48" s="71">
        <f>IFERROR(INDEX(阻害要因×在院期間区分＿寛解・院内寛解[#All],MATCH($AI49,阻害要因×在院期間区分＿寛解・院内寛解[[#All],[値]],0),MATCH($AS$4,阻害要因×在院期間区分＿寛解・院内寛解[#Headers],0)),0)+IFERROR(INDEX(阻害要因×在院期間区分＿寛解・院内寛解[#All],MATCH($AI49,阻害要因×在院期間区分＿寛解・院内寛解[[#All],[値]],0),MATCH($AT$4,阻害要因×在院期間区分＿寛解・院内寛解[#Headers],0)),0)+IFERROR(INDEX(阻害要因×在院期間区分＿寛解・院内寛解[#All],MATCH($AI49,阻害要因×在院期間区分＿寛解・院内寛解[[#All],[値]],0),MATCH($AU$4,阻害要因×在院期間区分＿寛解・院内寛解[#Headers],0)),0)+IFERROR(INDEX(阻害要因×在院期間区分＿寛解・院内寛解[#All],MATCH($AI49,阻害要因×在院期間区分＿寛解・院内寛解[[#All],[値]],0),MATCH($AV$4,阻害要因×在院期間区分＿寛解・院内寛解[#Headers],0)),0)+IFERROR(INDEX(阻害要因×在院期間区分＿寛解・院内寛解[#All],MATCH($AI49,阻害要因×在院期間区分＿寛解・院内寛解[[#All],[値]],0),MATCH($AW$4,阻害要因×在院期間区分＿寛解・院内寛解[#Headers],0)),0)</f>
        <v>5</v>
      </c>
      <c r="H48" s="73">
        <f t="shared" si="9"/>
        <v>5.5555555555555552E-2</v>
      </c>
      <c r="I48" s="71">
        <f>IFERROR(INDEX(阻害要因×在院期間区分＿寛解・院内寛解[#All],MATCH($AI49,阻害要因×在院期間区分＿寛解・院内寛解[[#All],[値]],0),MATCH($AX$4,阻害要因×在院期間区分＿寛解・院内寛解[#Headers],0)),0)+IFERROR(INDEX(阻害要因×在院期間区分＿寛解・院内寛解[#All],MATCH($AI49,阻害要因×在院期間区分＿寛解・院内寛解[[#All],[値]],0),MATCH($AY$4,阻害要因×在院期間区分＿寛解・院内寛解[#Headers],0)),0)</f>
        <v>4</v>
      </c>
      <c r="J48" s="73">
        <f t="shared" si="10"/>
        <v>3.8834951456310676E-2</v>
      </c>
      <c r="K48" s="39">
        <f t="shared" si="11"/>
        <v>240</v>
      </c>
      <c r="L48" s="56" t="s">
        <v>167</v>
      </c>
      <c r="M48" s="66">
        <v>5</v>
      </c>
      <c r="N48" s="66">
        <v>2</v>
      </c>
      <c r="O48" s="66">
        <v>4</v>
      </c>
      <c r="P48" s="66">
        <v>7</v>
      </c>
      <c r="Q48" s="66">
        <v>1</v>
      </c>
      <c r="R48" s="66">
        <v>4</v>
      </c>
      <c r="S48" s="66">
        <v>3</v>
      </c>
      <c r="T48" s="66">
        <v>1</v>
      </c>
      <c r="U48" s="66">
        <v>0</v>
      </c>
      <c r="V48" s="66">
        <v>0</v>
      </c>
      <c r="W48" s="66">
        <v>1</v>
      </c>
      <c r="X48" s="66">
        <v>1</v>
      </c>
      <c r="Y48" s="66">
        <v>2</v>
      </c>
      <c r="Z48" s="66">
        <v>1</v>
      </c>
      <c r="AA48" s="66">
        <v>3</v>
      </c>
      <c r="AB48" s="66">
        <v>1</v>
      </c>
      <c r="AI48" s="412" t="s">
        <v>311</v>
      </c>
    </row>
    <row r="49" spans="2:35" ht="18.75" customHeight="1" x14ac:dyDescent="0.15">
      <c r="B49" s="105" t="s">
        <v>39</v>
      </c>
      <c r="C49" s="112">
        <f>IFERROR(INDEX(阻害要因×在院期間区分＿寛解・院内寛解[#All],MATCH($AI50,阻害要因×在院期間区分＿寛解・院内寛解[[#All],[値]],0),MATCH($AJ$4,阻害要因×在院期間区分＿寛解・院内寛解[#Headers],0)),0)+IFERROR(INDEX(阻害要因×在院期間区分＿寛解・院内寛解[#All],MATCH($AI50,阻害要因×在院期間区分＿寛解・院内寛解[[#All],[値]],0),MATCH($AK$4,阻害要因×在院期間区分＿寛解・院内寛解[#Headers],0)),0)+IFERROR(INDEX(阻害要因×在院期間区分＿寛解・院内寛解[#All],MATCH($AI50,阻害要因×在院期間区分＿寛解・院内寛解[[#All],[値]],0),MATCH($AL$4,阻害要因×在院期間区分＿寛解・院内寛解[#Headers],0)),0)+IFERROR(INDEX(阻害要因×在院期間区分＿寛解・院内寛解[#All],MATCH($AI50,阻害要因×在院期間区分＿寛解・院内寛解[[#All],[値]],0),MATCH($AM$4,阻害要因×在院期間区分＿寛解・院内寛解[#Headers],0)),0)</f>
        <v>57</v>
      </c>
      <c r="D49" s="73">
        <f t="shared" si="7"/>
        <v>0.22529644268774704</v>
      </c>
      <c r="E49" s="70">
        <f>IFERROR(INDEX(阻害要因×在院期間区分＿寛解・院内寛解[#All],MATCH($AI50,阻害要因×在院期間区分＿寛解・院内寛解[[#All],[値]],0),MATCH($AN$4,阻害要因×在院期間区分＿寛解・院内寛解[#Headers],0)),0)+IFERROR(INDEX(阻害要因×在院期間区分＿寛解・院内寛解[#All],MATCH($AI50,阻害要因×在院期間区分＿寛解・院内寛解[[#All],[値]],0),MATCH($AO$4,阻害要因×在院期間区分＿寛解・院内寛解[#Headers],0)),0)+IFERROR(INDEX(阻害要因×在院期間区分＿寛解・院内寛解[#All],MATCH($AI50,阻害要因×在院期間区分＿寛解・院内寛解[[#All],[値]],0),MATCH($AP$4,阻害要因×在院期間区分＿寛解・院内寛解[#Headers],0)),0)+IFERROR(INDEX(阻害要因×在院期間区分＿寛解・院内寛解[#All],MATCH($AI50,阻害要因×在院期間区分＿寛解・院内寛解[[#All],[値]],0),MATCH($AQ$4,阻害要因×在院期間区分＿寛解・院内寛解[#Headers],0)),0)+IFERROR(INDEX(阻害要因×在院期間区分＿寛解・院内寛解[#All],MATCH($AI50,阻害要因×在院期間区分＿寛解・院内寛解[[#All],[値]],0),MATCH($AR$4,阻害要因×在院期間区分＿寛解・院内寛解[#Headers],0)),0)</f>
        <v>79</v>
      </c>
      <c r="F49" s="73">
        <f t="shared" si="8"/>
        <v>0.37619047619047619</v>
      </c>
      <c r="G49" s="70">
        <f>IFERROR(INDEX(阻害要因×在院期間区分＿寛解・院内寛解[#All],MATCH($AI50,阻害要因×在院期間区分＿寛解・院内寛解[[#All],[値]],0),MATCH($AS$4,阻害要因×在院期間区分＿寛解・院内寛解[#Headers],0)),0)+IFERROR(INDEX(阻害要因×在院期間区分＿寛解・院内寛解[#All],MATCH($AI50,阻害要因×在院期間区分＿寛解・院内寛解[[#All],[値]],0),MATCH($AT$4,阻害要因×在院期間区分＿寛解・院内寛解[#Headers],0)),0)+IFERROR(INDEX(阻害要因×在院期間区分＿寛解・院内寛解[#All],MATCH($AI50,阻害要因×在院期間区分＿寛解・院内寛解[[#All],[値]],0),MATCH($AU$4,阻害要因×在院期間区分＿寛解・院内寛解[#Headers],0)),0)+IFERROR(INDEX(阻害要因×在院期間区分＿寛解・院内寛解[#All],MATCH($AI50,阻害要因×在院期間区分＿寛解・院内寛解[[#All],[値]],0),MATCH($AV$4,阻害要因×在院期間区分＿寛解・院内寛解[#Headers],0)),0)+IFERROR(INDEX(阻害要因×在院期間区分＿寛解・院内寛解[#All],MATCH($AI50,阻害要因×在院期間区分＿寛解・院内寛解[[#All],[値]],0),MATCH($AW$4,阻害要因×在院期間区分＿寛解・院内寛解[#Headers],0)),0)</f>
        <v>42</v>
      </c>
      <c r="H49" s="73">
        <f t="shared" si="9"/>
        <v>0.46666666666666667</v>
      </c>
      <c r="I49" s="70">
        <f>IFERROR(INDEX(阻害要因×在院期間区分＿寛解・院内寛解[#All],MATCH($AI50,阻害要因×在院期間区分＿寛解・院内寛解[[#All],[値]],0),MATCH($AX$4,阻害要因×在院期間区分＿寛解・院内寛解[#Headers],0)),0)+IFERROR(INDEX(阻害要因×在院期間区分＿寛解・院内寛解[#All],MATCH($AI50,阻害要因×在院期間区分＿寛解・院内寛解[[#All],[値]],0),MATCH($AY$4,阻害要因×在院期間区分＿寛解・院内寛解[#Headers],0)),0)</f>
        <v>62</v>
      </c>
      <c r="J49" s="73">
        <f t="shared" si="10"/>
        <v>0.60194174757281549</v>
      </c>
      <c r="K49" s="39">
        <f t="shared" si="11"/>
        <v>195</v>
      </c>
      <c r="L49" s="56" t="s">
        <v>168</v>
      </c>
      <c r="M49" s="66">
        <v>6</v>
      </c>
      <c r="N49" s="66">
        <v>11</v>
      </c>
      <c r="O49" s="66">
        <v>13</v>
      </c>
      <c r="P49" s="66">
        <v>27</v>
      </c>
      <c r="Q49" s="66">
        <v>16</v>
      </c>
      <c r="R49" s="66">
        <v>16</v>
      </c>
      <c r="S49" s="66">
        <v>26</v>
      </c>
      <c r="T49" s="66">
        <v>17</v>
      </c>
      <c r="U49" s="66">
        <v>4</v>
      </c>
      <c r="V49" s="66">
        <v>12</v>
      </c>
      <c r="W49" s="66">
        <v>9</v>
      </c>
      <c r="X49" s="66">
        <v>8</v>
      </c>
      <c r="Y49" s="66">
        <v>9</v>
      </c>
      <c r="Z49" s="66">
        <v>4</v>
      </c>
      <c r="AA49" s="66">
        <v>41</v>
      </c>
      <c r="AB49" s="66">
        <v>21</v>
      </c>
      <c r="AI49" s="412" t="s">
        <v>167</v>
      </c>
    </row>
    <row r="50" spans="2:35" ht="18.75" customHeight="1" x14ac:dyDescent="0.15">
      <c r="B50" s="105" t="s">
        <v>40</v>
      </c>
      <c r="C50" s="126">
        <f>IFERROR(INDEX(阻害要因×在院期間区分＿寛解・院内寛解[#All],MATCH($AI51,阻害要因×在院期間区分＿寛解・院内寛解[[#All],[値]],0),MATCH($AJ$4,阻害要因×在院期間区分＿寛解・院内寛解[#Headers],0)),0)+IFERROR(INDEX(阻害要因×在院期間区分＿寛解・院内寛解[#All],MATCH($AI51,阻害要因×在院期間区分＿寛解・院内寛解[[#All],[値]],0),MATCH($AK$4,阻害要因×在院期間区分＿寛解・院内寛解[#Headers],0)),0)+IFERROR(INDEX(阻害要因×在院期間区分＿寛解・院内寛解[#All],MATCH($AI51,阻害要因×在院期間区分＿寛解・院内寛解[[#All],[値]],0),MATCH($AL$4,阻害要因×在院期間区分＿寛解・院内寛解[#Headers],0)),0)+IFERROR(INDEX(阻害要因×在院期間区分＿寛解・院内寛解[#All],MATCH($AI51,阻害要因×在院期間区分＿寛解・院内寛解[[#All],[値]],0),MATCH($AM$4,阻害要因×在院期間区分＿寛解・院内寛解[#Headers],0)),0)</f>
        <v>70</v>
      </c>
      <c r="D50" s="73">
        <f t="shared" si="7"/>
        <v>0.27667984189723321</v>
      </c>
      <c r="E50" s="70">
        <f>IFERROR(INDEX(阻害要因×在院期間区分＿寛解・院内寛解[#All],MATCH($AI51,阻害要因×在院期間区分＿寛解・院内寛解[[#All],[値]],0),MATCH($AN$4,阻害要因×在院期間区分＿寛解・院内寛解[#Headers],0)),0)+IFERROR(INDEX(阻害要因×在院期間区分＿寛解・院内寛解[#All],MATCH($AI51,阻害要因×在院期間区分＿寛解・院内寛解[[#All],[値]],0),MATCH($AO$4,阻害要因×在院期間区分＿寛解・院内寛解[#Headers],0)),0)+IFERROR(INDEX(阻害要因×在院期間区分＿寛解・院内寛解[#All],MATCH($AI51,阻害要因×在院期間区分＿寛解・院内寛解[[#All],[値]],0),MATCH($AP$4,阻害要因×在院期間区分＿寛解・院内寛解[#Headers],0)),0)+IFERROR(INDEX(阻害要因×在院期間区分＿寛解・院内寛解[#All],MATCH($AI51,阻害要因×在院期間区分＿寛解・院内寛解[[#All],[値]],0),MATCH($AQ$4,阻害要因×在院期間区分＿寛解・院内寛解[#Headers],0)),0)+IFERROR(INDEX(阻害要因×在院期間区分＿寛解・院内寛解[#All],MATCH($AI51,阻害要因×在院期間区分＿寛解・院内寛解[[#All],[値]],0),MATCH($AR$4,阻害要因×在院期間区分＿寛解・院内寛解[#Headers],0)),0)</f>
        <v>64</v>
      </c>
      <c r="F50" s="73">
        <f t="shared" si="8"/>
        <v>0.30476190476190479</v>
      </c>
      <c r="G50" s="70">
        <f>IFERROR(INDEX(阻害要因×在院期間区分＿寛解・院内寛解[#All],MATCH($AI51,阻害要因×在院期間区分＿寛解・院内寛解[[#All],[値]],0),MATCH($AS$4,阻害要因×在院期間区分＿寛解・院内寛解[#Headers],0)),0)+IFERROR(INDEX(阻害要因×在院期間区分＿寛解・院内寛解[#All],MATCH($AI51,阻害要因×在院期間区分＿寛解・院内寛解[[#All],[値]],0),MATCH($AT$4,阻害要因×在院期間区分＿寛解・院内寛解[#Headers],0)),0)+IFERROR(INDEX(阻害要因×在院期間区分＿寛解・院内寛解[#All],MATCH($AI51,阻害要因×在院期間区分＿寛解・院内寛解[[#All],[値]],0),MATCH($AU$4,阻害要因×在院期間区分＿寛解・院内寛解[#Headers],0)),0)+IFERROR(INDEX(阻害要因×在院期間区分＿寛解・院内寛解[#All],MATCH($AI51,阻害要因×在院期間区分＿寛解・院内寛解[[#All],[値]],0),MATCH($AV$4,阻害要因×在院期間区分＿寛解・院内寛解[#Headers],0)),0)+IFERROR(INDEX(阻害要因×在院期間区分＿寛解・院内寛解[#All],MATCH($AI51,阻害要因×在院期間区分＿寛解・院内寛解[[#All],[値]],0),MATCH($AW$4,阻害要因×在院期間区分＿寛解・院内寛解[#Headers],0)),0)</f>
        <v>21</v>
      </c>
      <c r="H50" s="73">
        <f t="shared" si="9"/>
        <v>0.23333333333333334</v>
      </c>
      <c r="I50" s="70">
        <f>IFERROR(INDEX(阻害要因×在院期間区分＿寛解・院内寛解[#All],MATCH($AI51,阻害要因×在院期間区分＿寛解・院内寛解[[#All],[値]],0),MATCH($AX$4,阻害要因×在院期間区分＿寛解・院内寛解[#Headers],0)),0)+IFERROR(INDEX(阻害要因×在院期間区分＿寛解・院内寛解[#All],MATCH($AI51,阻害要因×在院期間区分＿寛解・院内寛解[[#All],[値]],0),MATCH($AY$4,阻害要因×在院期間区分＿寛解・院内寛解[#Headers],0)),0)</f>
        <v>40</v>
      </c>
      <c r="J50" s="73">
        <f t="shared" si="10"/>
        <v>0.38834951456310679</v>
      </c>
      <c r="K50" s="39">
        <f t="shared" si="11"/>
        <v>214</v>
      </c>
      <c r="L50" s="56" t="s">
        <v>169</v>
      </c>
      <c r="M50" s="66">
        <v>15</v>
      </c>
      <c r="N50" s="66">
        <v>17</v>
      </c>
      <c r="O50" s="66">
        <v>14</v>
      </c>
      <c r="P50" s="66">
        <v>24</v>
      </c>
      <c r="Q50" s="66">
        <v>11</v>
      </c>
      <c r="R50" s="66">
        <v>19</v>
      </c>
      <c r="S50" s="66">
        <v>19</v>
      </c>
      <c r="T50" s="66">
        <v>13</v>
      </c>
      <c r="U50" s="66">
        <v>2</v>
      </c>
      <c r="V50" s="66">
        <v>6</v>
      </c>
      <c r="W50" s="66">
        <v>3</v>
      </c>
      <c r="X50" s="66">
        <v>5</v>
      </c>
      <c r="Y50" s="66">
        <v>5</v>
      </c>
      <c r="Z50" s="66">
        <v>2</v>
      </c>
      <c r="AA50" s="66">
        <v>29</v>
      </c>
      <c r="AB50" s="66">
        <v>11</v>
      </c>
      <c r="AI50" s="412" t="s">
        <v>168</v>
      </c>
    </row>
    <row r="51" spans="2:35" ht="18.75" customHeight="1" x14ac:dyDescent="0.15">
      <c r="B51" s="105" t="s">
        <v>41</v>
      </c>
      <c r="C51" s="127">
        <f>IFERROR(INDEX(阻害要因×在院期間区分＿寛解・院内寛解[#All],MATCH($AI52,阻害要因×在院期間区分＿寛解・院内寛解[[#All],[値]],0),MATCH($AJ$4,阻害要因×在院期間区分＿寛解・院内寛解[#Headers],0)),0)+IFERROR(INDEX(阻害要因×在院期間区分＿寛解・院内寛解[#All],MATCH($AI52,阻害要因×在院期間区分＿寛解・院内寛解[[#All],[値]],0),MATCH($AK$4,阻害要因×在院期間区分＿寛解・院内寛解[#Headers],0)),0)+IFERROR(INDEX(阻害要因×在院期間区分＿寛解・院内寛解[#All],MATCH($AI52,阻害要因×在院期間区分＿寛解・院内寛解[[#All],[値]],0),MATCH($AL$4,阻害要因×在院期間区分＿寛解・院内寛解[#Headers],0)),0)+IFERROR(INDEX(阻害要因×在院期間区分＿寛解・院内寛解[#All],MATCH($AI52,阻害要因×在院期間区分＿寛解・院内寛解[[#All],[値]],0),MATCH($AM$4,阻害要因×在院期間区分＿寛解・院内寛解[#Headers],0)),0)</f>
        <v>64</v>
      </c>
      <c r="D51" s="73">
        <f t="shared" si="7"/>
        <v>0.25296442687747034</v>
      </c>
      <c r="E51" s="70">
        <f>IFERROR(INDEX(阻害要因×在院期間区分＿寛解・院内寛解[#All],MATCH($AI52,阻害要因×在院期間区分＿寛解・院内寛解[[#All],[値]],0),MATCH($AN$4,阻害要因×在院期間区分＿寛解・院内寛解[#Headers],0)),0)+IFERROR(INDEX(阻害要因×在院期間区分＿寛解・院内寛解[#All],MATCH($AI52,阻害要因×在院期間区分＿寛解・院内寛解[[#All],[値]],0),MATCH($AO$4,阻害要因×在院期間区分＿寛解・院内寛解[#Headers],0)),0)+IFERROR(INDEX(阻害要因×在院期間区分＿寛解・院内寛解[#All],MATCH($AI52,阻害要因×在院期間区分＿寛解・院内寛解[[#All],[値]],0),MATCH($AP$4,阻害要因×在院期間区分＿寛解・院内寛解[#Headers],0)),0)+IFERROR(INDEX(阻害要因×在院期間区分＿寛解・院内寛解[#All],MATCH($AI52,阻害要因×在院期間区分＿寛解・院内寛解[[#All],[値]],0),MATCH($AQ$4,阻害要因×在院期間区分＿寛解・院内寛解[#Headers],0)),0)+IFERROR(INDEX(阻害要因×在院期間区分＿寛解・院内寛解[#All],MATCH($AI52,阻害要因×在院期間区分＿寛解・院内寛解[[#All],[値]],0),MATCH($AR$4,阻害要因×在院期間区分＿寛解・院内寛解[#Headers],0)),0)</f>
        <v>68</v>
      </c>
      <c r="F51" s="73">
        <f t="shared" si="8"/>
        <v>0.32380952380952382</v>
      </c>
      <c r="G51" s="70">
        <f>IFERROR(INDEX(阻害要因×在院期間区分＿寛解・院内寛解[#All],MATCH($AI52,阻害要因×在院期間区分＿寛解・院内寛解[[#All],[値]],0),MATCH($AS$4,阻害要因×在院期間区分＿寛解・院内寛解[#Headers],0)),0)+IFERROR(INDEX(阻害要因×在院期間区分＿寛解・院内寛解[#All],MATCH($AI52,阻害要因×在院期間区分＿寛解・院内寛解[[#All],[値]],0),MATCH($AT$4,阻害要因×在院期間区分＿寛解・院内寛解[#Headers],0)),0)+IFERROR(INDEX(阻害要因×在院期間区分＿寛解・院内寛解[#All],MATCH($AI52,阻害要因×在院期間区分＿寛解・院内寛解[[#All],[値]],0),MATCH($AU$4,阻害要因×在院期間区分＿寛解・院内寛解[#Headers],0)),0)+IFERROR(INDEX(阻害要因×在院期間区分＿寛解・院内寛解[#All],MATCH($AI52,阻害要因×在院期間区分＿寛解・院内寛解[[#All],[値]],0),MATCH($AV$4,阻害要因×在院期間区分＿寛解・院内寛解[#Headers],0)),0)+IFERROR(INDEX(阻害要因×在院期間区分＿寛解・院内寛解[#All],MATCH($AI52,阻害要因×在院期間区分＿寛解・院内寛解[[#All],[値]],0),MATCH($AW$4,阻害要因×在院期間区分＿寛解・院内寛解[#Headers],0)),0)</f>
        <v>35</v>
      </c>
      <c r="H51" s="73">
        <f t="shared" si="9"/>
        <v>0.3888888888888889</v>
      </c>
      <c r="I51" s="70">
        <f>IFERROR(INDEX(阻害要因×在院期間区分＿寛解・院内寛解[#All],MATCH($AI52,阻害要因×在院期間区分＿寛解・院内寛解[[#All],[値]],0),MATCH($AX$4,阻害要因×在院期間区分＿寛解・院内寛解[#Headers],0)),0)+IFERROR(INDEX(阻害要因×在院期間区分＿寛解・院内寛解[#All],MATCH($AI52,阻害要因×在院期間区分＿寛解・院内寛解[[#All],[値]],0),MATCH($AY$4,阻害要因×在院期間区分＿寛解・院内寛解[#Headers],0)),0)</f>
        <v>47</v>
      </c>
      <c r="J51" s="73">
        <f t="shared" si="10"/>
        <v>0.4563106796116505</v>
      </c>
      <c r="K51" s="39">
        <f t="shared" si="11"/>
        <v>50</v>
      </c>
      <c r="L51" s="56" t="s">
        <v>170</v>
      </c>
      <c r="M51" s="66">
        <v>13</v>
      </c>
      <c r="N51" s="66">
        <v>12</v>
      </c>
      <c r="O51" s="66">
        <v>14</v>
      </c>
      <c r="P51" s="66">
        <v>25</v>
      </c>
      <c r="Q51" s="66">
        <v>16</v>
      </c>
      <c r="R51" s="66">
        <v>11</v>
      </c>
      <c r="S51" s="66">
        <v>23</v>
      </c>
      <c r="T51" s="66">
        <v>14</v>
      </c>
      <c r="U51" s="66">
        <v>4</v>
      </c>
      <c r="V51" s="66">
        <v>10</v>
      </c>
      <c r="W51" s="66">
        <v>8</v>
      </c>
      <c r="X51" s="66">
        <v>4</v>
      </c>
      <c r="Y51" s="66">
        <v>8</v>
      </c>
      <c r="Z51" s="66">
        <v>5</v>
      </c>
      <c r="AA51" s="66">
        <v>30</v>
      </c>
      <c r="AB51" s="66">
        <v>17</v>
      </c>
      <c r="AI51" s="412" t="s">
        <v>169</v>
      </c>
    </row>
    <row r="52" spans="2:35" ht="18.75" customHeight="1" x14ac:dyDescent="0.15">
      <c r="B52" s="105" t="s">
        <v>42</v>
      </c>
      <c r="C52" s="112">
        <f>IFERROR(INDEX(阻害要因×在院期間区分＿寛解・院内寛解[#All],MATCH($AI53,阻害要因×在院期間区分＿寛解・院内寛解[[#All],[値]],0),MATCH($AJ$4,阻害要因×在院期間区分＿寛解・院内寛解[#Headers],0)),0)+IFERROR(INDEX(阻害要因×在院期間区分＿寛解・院内寛解[#All],MATCH($AI53,阻害要因×在院期間区分＿寛解・院内寛解[[#All],[値]],0),MATCH($AK$4,阻害要因×在院期間区分＿寛解・院内寛解[#Headers],0)),0)+IFERROR(INDEX(阻害要因×在院期間区分＿寛解・院内寛解[#All],MATCH($AI53,阻害要因×在院期間区分＿寛解・院内寛解[[#All],[値]],0),MATCH($AL$4,阻害要因×在院期間区分＿寛解・院内寛解[#Headers],0)),0)+IFERROR(INDEX(阻害要因×在院期間区分＿寛解・院内寛解[#All],MATCH($AI53,阻害要因×在院期間区分＿寛解・院内寛解[[#All],[値]],0),MATCH($AM$4,阻害要因×在院期間区分＿寛解・院内寛解[#Headers],0)),0)</f>
        <v>17</v>
      </c>
      <c r="D52" s="73">
        <f t="shared" si="7"/>
        <v>6.7193675889328064E-2</v>
      </c>
      <c r="E52" s="72">
        <f>IFERROR(INDEX(阻害要因×在院期間区分＿寛解・院内寛解[#All],MATCH($AI53,阻害要因×在院期間区分＿寛解・院内寛解[[#All],[値]],0),MATCH($AN$4,阻害要因×在院期間区分＿寛解・院内寛解[#Headers],0)),0)+IFERROR(INDEX(阻害要因×在院期間区分＿寛解・院内寛解[#All],MATCH($AI53,阻害要因×在院期間区分＿寛解・院内寛解[[#All],[値]],0),MATCH($AO$4,阻害要因×在院期間区分＿寛解・院内寛解[#Headers],0)),0)+IFERROR(INDEX(阻害要因×在院期間区分＿寛解・院内寛解[#All],MATCH($AI53,阻害要因×在院期間区分＿寛解・院内寛解[[#All],[値]],0),MATCH($AP$4,阻害要因×在院期間区分＿寛解・院内寛解[#Headers],0)),0)+IFERROR(INDEX(阻害要因×在院期間区分＿寛解・院内寛解[#All],MATCH($AI53,阻害要因×在院期間区分＿寛解・院内寛解[[#All],[値]],0),MATCH($AQ$4,阻害要因×在院期間区分＿寛解・院内寛解[#Headers],0)),0)+IFERROR(INDEX(阻害要因×在院期間区分＿寛解・院内寛解[#All],MATCH($AI53,阻害要因×在院期間区分＿寛解・院内寛解[[#All],[値]],0),MATCH($AR$4,阻害要因×在院期間区分＿寛解・院内寛解[#Headers],0)),0)</f>
        <v>20</v>
      </c>
      <c r="F52" s="73">
        <f t="shared" si="8"/>
        <v>9.5238095238095233E-2</v>
      </c>
      <c r="G52" s="72">
        <f>IFERROR(INDEX(阻害要因×在院期間区分＿寛解・院内寛解[#All],MATCH($AI53,阻害要因×在院期間区分＿寛解・院内寛解[[#All],[値]],0),MATCH($AS$4,阻害要因×在院期間区分＿寛解・院内寛解[#Headers],0)),0)+IFERROR(INDEX(阻害要因×在院期間区分＿寛解・院内寛解[#All],MATCH($AI53,阻害要因×在院期間区分＿寛解・院内寛解[[#All],[値]],0),MATCH($AT$4,阻害要因×在院期間区分＿寛解・院内寛解[#Headers],0)),0)+IFERROR(INDEX(阻害要因×在院期間区分＿寛解・院内寛解[#All],MATCH($AI53,阻害要因×在院期間区分＿寛解・院内寛解[[#All],[値]],0),MATCH($AU$4,阻害要因×在院期間区分＿寛解・院内寛解[#Headers],0)),0)+IFERROR(INDEX(阻害要因×在院期間区分＿寛解・院内寛解[#All],MATCH($AI53,阻害要因×在院期間区分＿寛解・院内寛解[[#All],[値]],0),MATCH($AV$4,阻害要因×在院期間区分＿寛解・院内寛解[#Headers],0)),0)+IFERROR(INDEX(阻害要因×在院期間区分＿寛解・院内寛解[#All],MATCH($AI53,阻害要因×在院期間区分＿寛解・院内寛解[[#All],[値]],0),MATCH($AW$4,阻害要因×在院期間区分＿寛解・院内寛解[#Headers],0)),0)</f>
        <v>6</v>
      </c>
      <c r="H52" s="73">
        <f t="shared" si="9"/>
        <v>6.6666666666666666E-2</v>
      </c>
      <c r="I52" s="72">
        <f>IFERROR(INDEX(阻害要因×在院期間区分＿寛解・院内寛解[#All],MATCH($AI53,阻害要因×在院期間区分＿寛解・院内寛解[[#All],[値]],0),MATCH($AX$4,阻害要因×在院期間区分＿寛解・院内寛解[#Headers],0)),0)+IFERROR(INDEX(阻害要因×在院期間区分＿寛解・院内寛解[#All],MATCH($AI53,阻害要因×在院期間区分＿寛解・院内寛解[[#All],[値]],0),MATCH($AY$4,阻害要因×在院期間区分＿寛解・院内寛解[#Headers],0)),0)</f>
        <v>7</v>
      </c>
      <c r="J52" s="73">
        <f t="shared" si="10"/>
        <v>6.7961165048543687E-2</v>
      </c>
      <c r="K52" s="39">
        <f t="shared" si="11"/>
        <v>180</v>
      </c>
      <c r="L52" s="56" t="s">
        <v>171</v>
      </c>
      <c r="M52" s="66">
        <v>3</v>
      </c>
      <c r="N52" s="66">
        <v>4</v>
      </c>
      <c r="O52" s="66">
        <v>4</v>
      </c>
      <c r="P52" s="66">
        <v>6</v>
      </c>
      <c r="Q52" s="66">
        <v>6</v>
      </c>
      <c r="R52" s="66">
        <v>6</v>
      </c>
      <c r="S52" s="66">
        <v>5</v>
      </c>
      <c r="T52" s="66">
        <v>2</v>
      </c>
      <c r="U52" s="66">
        <v>1</v>
      </c>
      <c r="V52" s="66">
        <v>2</v>
      </c>
      <c r="W52" s="66">
        <v>2</v>
      </c>
      <c r="X52" s="66">
        <v>1</v>
      </c>
      <c r="Y52" s="66">
        <v>1</v>
      </c>
      <c r="Z52" s="66">
        <v>0</v>
      </c>
      <c r="AA52" s="66">
        <v>6</v>
      </c>
      <c r="AB52" s="66">
        <v>1</v>
      </c>
      <c r="AI52" s="412" t="s">
        <v>170</v>
      </c>
    </row>
    <row r="53" spans="2:35" ht="18.75" customHeight="1" x14ac:dyDescent="0.15">
      <c r="B53" s="105" t="s">
        <v>43</v>
      </c>
      <c r="C53" s="120">
        <f>IFERROR(INDEX(阻害要因×在院期間区分＿寛解・院内寛解[#All],MATCH($AI54,阻害要因×在院期間区分＿寛解・院内寛解[[#All],[値]],0),MATCH($AJ$4,阻害要因×在院期間区分＿寛解・院内寛解[#Headers],0)),0)+IFERROR(INDEX(阻害要因×在院期間区分＿寛解・院内寛解[#All],MATCH($AI54,阻害要因×在院期間区分＿寛解・院内寛解[[#All],[値]],0),MATCH($AK$4,阻害要因×在院期間区分＿寛解・院内寛解[#Headers],0)),0)+IFERROR(INDEX(阻害要因×在院期間区分＿寛解・院内寛解[#All],MATCH($AI54,阻害要因×在院期間区分＿寛解・院内寛解[[#All],[値]],0),MATCH($AL$4,阻害要因×在院期間区分＿寛解・院内寛解[#Headers],0)),0)+IFERROR(INDEX(阻害要因×在院期間区分＿寛解・院内寛解[#All],MATCH($AI54,阻害要因×在院期間区分＿寛解・院内寛解[[#All],[値]],0),MATCH($AM$4,阻害要因×在院期間区分＿寛解・院内寛解[#Headers],0)),0)</f>
        <v>53</v>
      </c>
      <c r="D53" s="73">
        <f t="shared" si="7"/>
        <v>0.20948616600790515</v>
      </c>
      <c r="E53" s="71">
        <f>IFERROR(INDEX(阻害要因×在院期間区分＿寛解・院内寛解[#All],MATCH($AI54,阻害要因×在院期間区分＿寛解・院内寛解[[#All],[値]],0),MATCH($AN$4,阻害要因×在院期間区分＿寛解・院内寛解[#Headers],0)),0)+IFERROR(INDEX(阻害要因×在院期間区分＿寛解・院内寛解[#All],MATCH($AI54,阻害要因×在院期間区分＿寛解・院内寛解[[#All],[値]],0),MATCH($AO$4,阻害要因×在院期間区分＿寛解・院内寛解[#Headers],0)),0)+IFERROR(INDEX(阻害要因×在院期間区分＿寛解・院内寛解[#All],MATCH($AI54,阻害要因×在院期間区分＿寛解・院内寛解[[#All],[値]],0),MATCH($AP$4,阻害要因×在院期間区分＿寛解・院内寛解[#Headers],0)),0)+IFERROR(INDEX(阻害要因×在院期間区分＿寛解・院内寛解[#All],MATCH($AI54,阻害要因×在院期間区分＿寛解・院内寛解[[#All],[値]],0),MATCH($AQ$4,阻害要因×在院期間区分＿寛解・院内寛解[#Headers],0)),0)+IFERROR(INDEX(阻害要因×在院期間区分＿寛解・院内寛解[#All],MATCH($AI54,阻害要因×在院期間区分＿寛解・院内寛解[[#All],[値]],0),MATCH($AR$4,阻害要因×在院期間区分＿寛解・院内寛解[#Headers],0)),0)</f>
        <v>63</v>
      </c>
      <c r="F53" s="73">
        <f t="shared" si="8"/>
        <v>0.3</v>
      </c>
      <c r="G53" s="71">
        <f>IFERROR(INDEX(阻害要因×在院期間区分＿寛解・院内寛解[#All],MATCH($AI54,阻害要因×在院期間区分＿寛解・院内寛解[[#All],[値]],0),MATCH($AS$4,阻害要因×在院期間区分＿寛解・院内寛解[#Headers],0)),0)+IFERROR(INDEX(阻害要因×在院期間区分＿寛解・院内寛解[#All],MATCH($AI54,阻害要因×在院期間区分＿寛解・院内寛解[[#All],[値]],0),MATCH($AT$4,阻害要因×在院期間区分＿寛解・院内寛解[#Headers],0)),0)+IFERROR(INDEX(阻害要因×在院期間区分＿寛解・院内寛解[#All],MATCH($AI54,阻害要因×在院期間区分＿寛解・院内寛解[[#All],[値]],0),MATCH($AU$4,阻害要因×在院期間区分＿寛解・院内寛解[#Headers],0)),0)+IFERROR(INDEX(阻害要因×在院期間区分＿寛解・院内寛解[#All],MATCH($AI54,阻害要因×在院期間区分＿寛解・院内寛解[[#All],[値]],0),MATCH($AV$4,阻害要因×在院期間区分＿寛解・院内寛解[#Headers],0)),0)+IFERROR(INDEX(阻害要因×在院期間区分＿寛解・院内寛解[#All],MATCH($AI54,阻害要因×在院期間区分＿寛解・院内寛解[[#All],[値]],0),MATCH($AW$4,阻害要因×在院期間区分＿寛解・院内寛解[#Headers],0)),0)</f>
        <v>28</v>
      </c>
      <c r="H53" s="73">
        <f t="shared" si="9"/>
        <v>0.31111111111111112</v>
      </c>
      <c r="I53" s="71">
        <f>IFERROR(INDEX(阻害要因×在院期間区分＿寛解・院内寛解[#All],MATCH($AI54,阻害要因×在院期間区分＿寛解・院内寛解[[#All],[値]],0),MATCH($AX$4,阻害要因×在院期間区分＿寛解・院内寛解[#Headers],0)),0)+IFERROR(INDEX(阻害要因×在院期間区分＿寛解・院内寛解[#All],MATCH($AI54,阻害要因×在院期間区分＿寛解・院内寛解[[#All],[値]],0),MATCH($AY$4,阻害要因×在院期間区分＿寛解・院内寛解[#Headers],0)),0)</f>
        <v>36</v>
      </c>
      <c r="J53" s="73">
        <f t="shared" si="10"/>
        <v>0.34951456310679613</v>
      </c>
      <c r="K53" s="39">
        <f t="shared" si="11"/>
        <v>98</v>
      </c>
      <c r="L53" s="56" t="s">
        <v>172</v>
      </c>
      <c r="M53" s="66">
        <v>10</v>
      </c>
      <c r="N53" s="66">
        <v>11</v>
      </c>
      <c r="O53" s="66">
        <v>12</v>
      </c>
      <c r="P53" s="66">
        <v>20</v>
      </c>
      <c r="Q53" s="66">
        <v>18</v>
      </c>
      <c r="R53" s="66">
        <v>11</v>
      </c>
      <c r="S53" s="66">
        <v>20</v>
      </c>
      <c r="T53" s="66">
        <v>11</v>
      </c>
      <c r="U53" s="66">
        <v>3</v>
      </c>
      <c r="V53" s="66">
        <v>6</v>
      </c>
      <c r="W53" s="66">
        <v>8</v>
      </c>
      <c r="X53" s="66">
        <v>2</v>
      </c>
      <c r="Y53" s="66">
        <v>9</v>
      </c>
      <c r="Z53" s="66">
        <v>3</v>
      </c>
      <c r="AA53" s="66">
        <v>26</v>
      </c>
      <c r="AB53" s="66">
        <v>10</v>
      </c>
      <c r="AI53" s="412" t="s">
        <v>171</v>
      </c>
    </row>
    <row r="54" spans="2:35" ht="18.75" customHeight="1" x14ac:dyDescent="0.15">
      <c r="B54" s="105" t="s">
        <v>44</v>
      </c>
      <c r="C54" s="114">
        <f>IFERROR(INDEX(阻害要因×在院期間区分＿寛解・院内寛解[#All],MATCH($AI55,阻害要因×在院期間区分＿寛解・院内寛解[[#All],[値]],0),MATCH($AJ$4,阻害要因×在院期間区分＿寛解・院内寛解[#Headers],0)),0)+IFERROR(INDEX(阻害要因×在院期間区分＿寛解・院内寛解[#All],MATCH($AI55,阻害要因×在院期間区分＿寛解・院内寛解[[#All],[値]],0),MATCH($AK$4,阻害要因×在院期間区分＿寛解・院内寛解[#Headers],0)),0)+IFERROR(INDEX(阻害要因×在院期間区分＿寛解・院内寛解[#All],MATCH($AI55,阻害要因×在院期間区分＿寛解・院内寛解[[#All],[値]],0),MATCH($AL$4,阻害要因×在院期間区分＿寛解・院内寛解[#Headers],0)),0)+IFERROR(INDEX(阻害要因×在院期間区分＿寛解・院内寛解[#All],MATCH($AI55,阻害要因×在院期間区分＿寛解・院内寛解[[#All],[値]],0),MATCH($AM$4,阻害要因×在院期間区分＿寛解・院内寛解[#Headers],0)),0)</f>
        <v>33</v>
      </c>
      <c r="D54" s="73">
        <f t="shared" si="7"/>
        <v>0.13043478260869565</v>
      </c>
      <c r="E54" s="68">
        <f>IFERROR(INDEX(阻害要因×在院期間区分＿寛解・院内寛解[#All],MATCH($AI55,阻害要因×在院期間区分＿寛解・院内寛解[[#All],[値]],0),MATCH($AN$4,阻害要因×在院期間区分＿寛解・院内寛解[#Headers],0)),0)+IFERROR(INDEX(阻害要因×在院期間区分＿寛解・院内寛解[#All],MATCH($AI55,阻害要因×在院期間区分＿寛解・院内寛解[[#All],[値]],0),MATCH($AO$4,阻害要因×在院期間区分＿寛解・院内寛解[#Headers],0)),0)+IFERROR(INDEX(阻害要因×在院期間区分＿寛解・院内寛解[#All],MATCH($AI55,阻害要因×在院期間区分＿寛解・院内寛解[[#All],[値]],0),MATCH($AP$4,阻害要因×在院期間区分＿寛解・院内寛解[#Headers],0)),0)+IFERROR(INDEX(阻害要因×在院期間区分＿寛解・院内寛解[#All],MATCH($AI55,阻害要因×在院期間区分＿寛解・院内寛解[[#All],[値]],0),MATCH($AQ$4,阻害要因×在院期間区分＿寛解・院内寛解[#Headers],0)),0)+IFERROR(INDEX(阻害要因×在院期間区分＿寛解・院内寛解[#All],MATCH($AI55,阻害要因×在院期間区分＿寛解・院内寛解[[#All],[値]],0),MATCH($AR$4,阻害要因×在院期間区分＿寛解・院内寛解[#Headers],0)),0)</f>
        <v>34</v>
      </c>
      <c r="F54" s="73">
        <f t="shared" si="8"/>
        <v>0.16190476190476191</v>
      </c>
      <c r="G54" s="68">
        <f>IFERROR(INDEX(阻害要因×在院期間区分＿寛解・院内寛解[#All],MATCH($AI55,阻害要因×在院期間区分＿寛解・院内寛解[[#All],[値]],0),MATCH($AS$4,阻害要因×在院期間区分＿寛解・院内寛解[#Headers],0)),0)+IFERROR(INDEX(阻害要因×在院期間区分＿寛解・院内寛解[#All],MATCH($AI55,阻害要因×在院期間区分＿寛解・院内寛解[[#All],[値]],0),MATCH($AT$4,阻害要因×在院期間区分＿寛解・院内寛解[#Headers],0)),0)+IFERROR(INDEX(阻害要因×在院期間区分＿寛解・院内寛解[#All],MATCH($AI55,阻害要因×在院期間区分＿寛解・院内寛解[[#All],[値]],0),MATCH($AU$4,阻害要因×在院期間区分＿寛解・院内寛解[#Headers],0)),0)+IFERROR(INDEX(阻害要因×在院期間区分＿寛解・院内寛解[#All],MATCH($AI55,阻害要因×在院期間区分＿寛解・院内寛解[[#All],[値]],0),MATCH($AV$4,阻害要因×在院期間区分＿寛解・院内寛解[#Headers],0)),0)+IFERROR(INDEX(阻害要因×在院期間区分＿寛解・院内寛解[#All],MATCH($AI55,阻害要因×在院期間区分＿寛解・院内寛解[[#All],[値]],0),MATCH($AW$4,阻害要因×在院期間区分＿寛解・院内寛解[#Headers],0)),0)</f>
        <v>14</v>
      </c>
      <c r="H54" s="73">
        <f t="shared" si="9"/>
        <v>0.15555555555555556</v>
      </c>
      <c r="I54" s="68">
        <f>IFERROR(INDEX(阻害要因×在院期間区分＿寛解・院内寛解[#All],MATCH($AI55,阻害要因×在院期間区分＿寛解・院内寛解[[#All],[値]],0),MATCH($AX$4,阻害要因×在院期間区分＿寛解・院内寛解[#Headers],0)),0)+IFERROR(INDEX(阻害要因×在院期間区分＿寛解・院内寛解[#All],MATCH($AI55,阻害要因×在院期間区分＿寛解・院内寛解[[#All],[値]],0),MATCH($AY$4,阻害要因×在院期間区分＿寛解・院内寛解[#Headers],0)),0)</f>
        <v>17</v>
      </c>
      <c r="J54" s="73">
        <f t="shared" si="10"/>
        <v>0.1650485436893204</v>
      </c>
      <c r="K54" s="39">
        <f t="shared" si="11"/>
        <v>155</v>
      </c>
      <c r="L54" s="56" t="s">
        <v>173</v>
      </c>
      <c r="M54" s="66">
        <v>3</v>
      </c>
      <c r="N54" s="66">
        <v>4</v>
      </c>
      <c r="O54" s="66">
        <v>14</v>
      </c>
      <c r="P54" s="66">
        <v>12</v>
      </c>
      <c r="Q54" s="66">
        <v>10</v>
      </c>
      <c r="R54" s="66">
        <v>8</v>
      </c>
      <c r="S54" s="66">
        <v>8</v>
      </c>
      <c r="T54" s="66">
        <v>6</v>
      </c>
      <c r="U54" s="66">
        <v>2</v>
      </c>
      <c r="V54" s="66">
        <v>4</v>
      </c>
      <c r="W54" s="66">
        <v>2</v>
      </c>
      <c r="X54" s="66">
        <v>2</v>
      </c>
      <c r="Y54" s="66">
        <v>2</v>
      </c>
      <c r="Z54" s="66">
        <v>4</v>
      </c>
      <c r="AA54" s="66">
        <v>11</v>
      </c>
      <c r="AB54" s="66">
        <v>6</v>
      </c>
      <c r="AI54" s="412" t="s">
        <v>172</v>
      </c>
    </row>
    <row r="55" spans="2:35" ht="18.75" customHeight="1" x14ac:dyDescent="0.15">
      <c r="B55" s="105" t="s">
        <v>247</v>
      </c>
      <c r="C55" s="112">
        <f>IFERROR(INDEX(阻害要因×在院期間区分＿寛解・院内寛解[#All],MATCH($AI56,阻害要因×在院期間区分＿寛解・院内寛解[[#All],[値]],0),MATCH($AJ$4,阻害要因×在院期間区分＿寛解・院内寛解[#Headers],0)),0)+IFERROR(INDEX(阻害要因×在院期間区分＿寛解・院内寛解[#All],MATCH($AI56,阻害要因×在院期間区分＿寛解・院内寛解[[#All],[値]],0),MATCH($AK$4,阻害要因×在院期間区分＿寛解・院内寛解[#Headers],0)),0)+IFERROR(INDEX(阻害要因×在院期間区分＿寛解・院内寛解[#All],MATCH($AI56,阻害要因×在院期間区分＿寛解・院内寛解[[#All],[値]],0),MATCH($AL$4,阻害要因×在院期間区分＿寛解・院内寛解[#Headers],0)),0)+IFERROR(INDEX(阻害要因×在院期間区分＿寛解・院内寛解[#All],MATCH($AI56,阻害要因×在院期間区分＿寛解・院内寛解[[#All],[値]],0),MATCH($AM$4,阻害要因×在院期間区分＿寛解・院内寛解[#Headers],0)),0)</f>
        <v>48</v>
      </c>
      <c r="D55" s="73">
        <f t="shared" si="7"/>
        <v>0.18972332015810275</v>
      </c>
      <c r="E55" s="70">
        <f>IFERROR(INDEX(阻害要因×在院期間区分＿寛解・院内寛解[#All],MATCH($AI56,阻害要因×在院期間区分＿寛解・院内寛解[[#All],[値]],0),MATCH($AN$4,阻害要因×在院期間区分＿寛解・院内寛解[#Headers],0)),0)+IFERROR(INDEX(阻害要因×在院期間区分＿寛解・院内寛解[#All],MATCH($AI56,阻害要因×在院期間区分＿寛解・院内寛解[[#All],[値]],0),MATCH($AO$4,阻害要因×在院期間区分＿寛解・院内寛解[#Headers],0)),0)+IFERROR(INDEX(阻害要因×在院期間区分＿寛解・院内寛解[#All],MATCH($AI56,阻害要因×在院期間区分＿寛解・院内寛解[[#All],[値]],0),MATCH($AP$4,阻害要因×在院期間区分＿寛解・院内寛解[#Headers],0)),0)+IFERROR(INDEX(阻害要因×在院期間区分＿寛解・院内寛解[#All],MATCH($AI56,阻害要因×在院期間区分＿寛解・院内寛解[[#All],[値]],0),MATCH($AQ$4,阻害要因×在院期間区分＿寛解・院内寛解[#Headers],0)),0)+IFERROR(INDEX(阻害要因×在院期間区分＿寛解・院内寛解[#All],MATCH($AI56,阻害要因×在院期間区分＿寛解・院内寛解[[#All],[値]],0),MATCH($AR$4,阻害要因×在院期間区分＿寛解・院内寛解[#Headers],0)),0)</f>
        <v>50</v>
      </c>
      <c r="F55" s="73">
        <f t="shared" si="8"/>
        <v>0.23809523809523808</v>
      </c>
      <c r="G55" s="70">
        <f>IFERROR(INDEX(阻害要因×在院期間区分＿寛解・院内寛解[#All],MATCH($AI56,阻害要因×在院期間区分＿寛解・院内寛解[[#All],[値]],0),MATCH($AS$4,阻害要因×在院期間区分＿寛解・院内寛解[#Headers],0)),0)+IFERROR(INDEX(阻害要因×在院期間区分＿寛解・院内寛解[#All],MATCH($AI56,阻害要因×在院期間区分＿寛解・院内寛解[[#All],[値]],0),MATCH($AT$4,阻害要因×在院期間区分＿寛解・院内寛解[#Headers],0)),0)+IFERROR(INDEX(阻害要因×在院期間区分＿寛解・院内寛解[#All],MATCH($AI56,阻害要因×在院期間区分＿寛解・院内寛解[[#All],[値]],0),MATCH($AU$4,阻害要因×在院期間区分＿寛解・院内寛解[#Headers],0)),0)+IFERROR(INDEX(阻害要因×在院期間区分＿寛解・院内寛解[#All],MATCH($AI56,阻害要因×在院期間区分＿寛解・院内寛解[[#All],[値]],0),MATCH($AV$4,阻害要因×在院期間区分＿寛解・院内寛解[#Headers],0)),0)+IFERROR(INDEX(阻害要因×在院期間区分＿寛解・院内寛解[#All],MATCH($AI56,阻害要因×在院期間区分＿寛解・院内寛解[[#All],[値]],0),MATCH($AW$4,阻害要因×在院期間区分＿寛解・院内寛解[#Headers],0)),0)</f>
        <v>28</v>
      </c>
      <c r="H55" s="73">
        <f t="shared" si="9"/>
        <v>0.31111111111111112</v>
      </c>
      <c r="I55" s="70">
        <f>IFERROR(INDEX(阻害要因×在院期間区分＿寛解・院内寛解[#All],MATCH($AI56,阻害要因×在院期間区分＿寛解・院内寛解[[#All],[値]],0),MATCH($AX$4,阻害要因×在院期間区分＿寛解・院内寛解[#Headers],0)),0)+IFERROR(INDEX(阻害要因×在院期間区分＿寛解・院内寛解[#All],MATCH($AI56,阻害要因×在院期間区分＿寛解・院内寛解[[#All],[値]],0),MATCH($AY$4,阻害要因×在院期間区分＿寛解・院内寛解[#Headers],0)),0)</f>
        <v>29</v>
      </c>
      <c r="J55" s="73">
        <f t="shared" si="10"/>
        <v>0.28155339805825241</v>
      </c>
      <c r="K55" s="39">
        <f t="shared" si="11"/>
        <v>212</v>
      </c>
      <c r="L55" s="56" t="s">
        <v>174</v>
      </c>
      <c r="M55" s="66">
        <v>7</v>
      </c>
      <c r="N55" s="66">
        <v>6</v>
      </c>
      <c r="O55" s="66">
        <v>15</v>
      </c>
      <c r="P55" s="66">
        <v>20</v>
      </c>
      <c r="Q55" s="66">
        <v>13</v>
      </c>
      <c r="R55" s="66">
        <v>14</v>
      </c>
      <c r="S55" s="66">
        <v>12</v>
      </c>
      <c r="T55" s="66">
        <v>5</v>
      </c>
      <c r="U55" s="66">
        <v>6</v>
      </c>
      <c r="V55" s="66">
        <v>10</v>
      </c>
      <c r="W55" s="66">
        <v>4</v>
      </c>
      <c r="X55" s="66">
        <v>6</v>
      </c>
      <c r="Y55" s="66">
        <v>7</v>
      </c>
      <c r="Z55" s="66">
        <v>1</v>
      </c>
      <c r="AA55" s="66">
        <v>18</v>
      </c>
      <c r="AB55" s="66">
        <v>11</v>
      </c>
      <c r="AI55" s="412" t="s">
        <v>173</v>
      </c>
    </row>
    <row r="56" spans="2:35" ht="18.75" customHeight="1" x14ac:dyDescent="0.15">
      <c r="B56" s="105" t="s">
        <v>46</v>
      </c>
      <c r="C56" s="112">
        <f>IFERROR(INDEX(阻害要因×在院期間区分＿寛解・院内寛解[#All],MATCH($AI57,阻害要因×在院期間区分＿寛解・院内寛解[[#All],[値]],0),MATCH($AJ$4,阻害要因×在院期間区分＿寛解・院内寛解[#Headers],0)),0)+IFERROR(INDEX(阻害要因×在院期間区分＿寛解・院内寛解[#All],MATCH($AI57,阻害要因×在院期間区分＿寛解・院内寛解[[#All],[値]],0),MATCH($AK$4,阻害要因×在院期間区分＿寛解・院内寛解[#Headers],0)),0)+IFERROR(INDEX(阻害要因×在院期間区分＿寛解・院内寛解[#All],MATCH($AI57,阻害要因×在院期間区分＿寛解・院内寛解[[#All],[値]],0),MATCH($AL$4,阻害要因×在院期間区分＿寛解・院内寛解[#Headers],0)),0)+IFERROR(INDEX(阻害要因×在院期間区分＿寛解・院内寛解[#All],MATCH($AI57,阻害要因×在院期間区分＿寛解・院内寛解[[#All],[値]],0),MATCH($AM$4,阻害要因×在院期間区分＿寛解・院内寛解[#Headers],0)),0)</f>
        <v>95</v>
      </c>
      <c r="D56" s="73">
        <f t="shared" si="7"/>
        <v>0.37549407114624506</v>
      </c>
      <c r="E56" s="70">
        <f>IFERROR(INDEX(阻害要因×在院期間区分＿寛解・院内寛解[#All],MATCH($AI57,阻害要因×在院期間区分＿寛解・院内寛解[[#All],[値]],0),MATCH($AN$4,阻害要因×在院期間区分＿寛解・院内寛解[#Headers],0)),0)+IFERROR(INDEX(阻害要因×在院期間区分＿寛解・院内寛解[#All],MATCH($AI57,阻害要因×在院期間区分＿寛解・院内寛解[[#All],[値]],0),MATCH($AO$4,阻害要因×在院期間区分＿寛解・院内寛解[#Headers],0)),0)+IFERROR(INDEX(阻害要因×在院期間区分＿寛解・院内寛解[#All],MATCH($AI57,阻害要因×在院期間区分＿寛解・院内寛解[[#All],[値]],0),MATCH($AP$4,阻害要因×在院期間区分＿寛解・院内寛解[#Headers],0)),0)+IFERROR(INDEX(阻害要因×在院期間区分＿寛解・院内寛解[#All],MATCH($AI57,阻害要因×在院期間区分＿寛解・院内寛解[[#All],[値]],0),MATCH($AQ$4,阻害要因×在院期間区分＿寛解・院内寛解[#Headers],0)),0)+IFERROR(INDEX(阻害要因×在院期間区分＿寛解・院内寛解[#All],MATCH($AI57,阻害要因×在院期間区分＿寛解・院内寛解[[#All],[値]],0),MATCH($AR$4,阻害要因×在院期間区分＿寛解・院内寛解[#Headers],0)),0)</f>
        <v>71</v>
      </c>
      <c r="F56" s="73">
        <f t="shared" si="8"/>
        <v>0.33809523809523812</v>
      </c>
      <c r="G56" s="70">
        <f>IFERROR(INDEX(阻害要因×在院期間区分＿寛解・院内寛解[#All],MATCH($AI57,阻害要因×在院期間区分＿寛解・院内寛解[[#All],[値]],0),MATCH($AS$4,阻害要因×在院期間区分＿寛解・院内寛解[#Headers],0)),0)+IFERROR(INDEX(阻害要因×在院期間区分＿寛解・院内寛解[#All],MATCH($AI57,阻害要因×在院期間区分＿寛解・院内寛解[[#All],[値]],0),MATCH($AT$4,阻害要因×在院期間区分＿寛解・院内寛解[#Headers],0)),0)+IFERROR(INDEX(阻害要因×在院期間区分＿寛解・院内寛解[#All],MATCH($AI57,阻害要因×在院期間区分＿寛解・院内寛解[[#All],[値]],0),MATCH($AU$4,阻害要因×在院期間区分＿寛解・院内寛解[#Headers],0)),0)+IFERROR(INDEX(阻害要因×在院期間区分＿寛解・院内寛解[#All],MATCH($AI57,阻害要因×在院期間区分＿寛解・院内寛解[[#All],[値]],0),MATCH($AV$4,阻害要因×在院期間区分＿寛解・院内寛解[#Headers],0)),0)+IFERROR(INDEX(阻害要因×在院期間区分＿寛解・院内寛解[#All],MATCH($AI57,阻害要因×在院期間区分＿寛解・院内寛解[[#All],[値]],0),MATCH($AW$4,阻害要因×在院期間区分＿寛解・院内寛解[#Headers],0)),0)</f>
        <v>24</v>
      </c>
      <c r="H56" s="73">
        <f t="shared" si="9"/>
        <v>0.26666666666666666</v>
      </c>
      <c r="I56" s="70">
        <f>IFERROR(INDEX(阻害要因×在院期間区分＿寛解・院内寛解[#All],MATCH($AI57,阻害要因×在院期間区分＿寛解・院内寛解[[#All],[値]],0),MATCH($AX$4,阻害要因×在院期間区分＿寛解・院内寛解[#Headers],0)),0)+IFERROR(INDEX(阻害要因×在院期間区分＿寛解・院内寛解[#All],MATCH($AI57,阻害要因×在院期間区分＿寛解・院内寛解[[#All],[値]],0),MATCH($AY$4,阻害要因×在院期間区分＿寛解・院内寛解[#Headers],0)),0)</f>
        <v>22</v>
      </c>
      <c r="J56" s="73">
        <f t="shared" si="10"/>
        <v>0.21359223300970873</v>
      </c>
      <c r="K56" s="39">
        <f t="shared" si="11"/>
        <v>42</v>
      </c>
      <c r="L56" s="56" t="s">
        <v>175</v>
      </c>
      <c r="M56" s="66">
        <v>12</v>
      </c>
      <c r="N56" s="66">
        <v>29</v>
      </c>
      <c r="O56" s="66">
        <v>20</v>
      </c>
      <c r="P56" s="66">
        <v>34</v>
      </c>
      <c r="Q56" s="66">
        <v>21</v>
      </c>
      <c r="R56" s="66">
        <v>17</v>
      </c>
      <c r="S56" s="66">
        <v>24</v>
      </c>
      <c r="T56" s="66">
        <v>6</v>
      </c>
      <c r="U56" s="66">
        <v>3</v>
      </c>
      <c r="V56" s="66">
        <v>7</v>
      </c>
      <c r="W56" s="66">
        <v>5</v>
      </c>
      <c r="X56" s="66">
        <v>6</v>
      </c>
      <c r="Y56" s="66">
        <v>4</v>
      </c>
      <c r="Z56" s="66">
        <v>2</v>
      </c>
      <c r="AA56" s="66">
        <v>16</v>
      </c>
      <c r="AB56" s="66">
        <v>6</v>
      </c>
      <c r="AI56" s="412" t="s">
        <v>174</v>
      </c>
    </row>
    <row r="57" spans="2:35" ht="18.75" customHeight="1" x14ac:dyDescent="0.15">
      <c r="B57" s="105" t="s">
        <v>47</v>
      </c>
      <c r="C57" s="120">
        <f>IFERROR(INDEX(阻害要因×在院期間区分＿寛解・院内寛解[#All],MATCH($AI58,阻害要因×在院期間区分＿寛解・院内寛解[[#All],[値]],0),MATCH($AJ$4,阻害要因×在院期間区分＿寛解・院内寛解[#Headers],0)),0)+IFERROR(INDEX(阻害要因×在院期間区分＿寛解・院内寛解[#All],MATCH($AI58,阻害要因×在院期間区分＿寛解・院内寛解[[#All],[値]],0),MATCH($AK$4,阻害要因×在院期間区分＿寛解・院内寛解[#Headers],0)),0)+IFERROR(INDEX(阻害要因×在院期間区分＿寛解・院内寛解[#All],MATCH($AI58,阻害要因×在院期間区分＿寛解・院内寛解[[#All],[値]],0),MATCH($AL$4,阻害要因×在院期間区分＿寛解・院内寛解[#Headers],0)),0)+IFERROR(INDEX(阻害要因×在院期間区分＿寛解・院内寛解[#All],MATCH($AI58,阻害要因×在院期間区分＿寛解・院内寛解[[#All],[値]],0),MATCH($AM$4,阻害要因×在院期間区分＿寛解・院内寛解[#Headers],0)),0)</f>
        <v>9</v>
      </c>
      <c r="D57" s="73">
        <f t="shared" si="7"/>
        <v>3.5573122529644272E-2</v>
      </c>
      <c r="E57" s="71">
        <f>IFERROR(INDEX(阻害要因×在院期間区分＿寛解・院内寛解[#All],MATCH($AI58,阻害要因×在院期間区分＿寛解・院内寛解[[#All],[値]],0),MATCH($AN$4,阻害要因×在院期間区分＿寛解・院内寛解[#Headers],0)),0)+IFERROR(INDEX(阻害要因×在院期間区分＿寛解・院内寛解[#All],MATCH($AI58,阻害要因×在院期間区分＿寛解・院内寛解[[#All],[値]],0),MATCH($AO$4,阻害要因×在院期間区分＿寛解・院内寛解[#Headers],0)),0)+IFERROR(INDEX(阻害要因×在院期間区分＿寛解・院内寛解[#All],MATCH($AI58,阻害要因×在院期間区分＿寛解・院内寛解[[#All],[値]],0),MATCH($AP$4,阻害要因×在院期間区分＿寛解・院内寛解[#Headers],0)),0)+IFERROR(INDEX(阻害要因×在院期間区分＿寛解・院内寛解[#All],MATCH($AI58,阻害要因×在院期間区分＿寛解・院内寛解[[#All],[値]],0),MATCH($AQ$4,阻害要因×在院期間区分＿寛解・院内寛解[#Headers],0)),0)+IFERROR(INDEX(阻害要因×在院期間区分＿寛解・院内寛解[#All],MATCH($AI58,阻害要因×在院期間区分＿寛解・院内寛解[[#All],[値]],0),MATCH($AR$4,阻害要因×在院期間区分＿寛解・院内寛解[#Headers],0)),0)</f>
        <v>20</v>
      </c>
      <c r="F57" s="73">
        <f t="shared" si="8"/>
        <v>9.5238095238095233E-2</v>
      </c>
      <c r="G57" s="71">
        <f>IFERROR(INDEX(阻害要因×在院期間区分＿寛解・院内寛解[#All],MATCH($AI58,阻害要因×在院期間区分＿寛解・院内寛解[[#All],[値]],0),MATCH($AS$4,阻害要因×在院期間区分＿寛解・院内寛解[#Headers],0)),0)+IFERROR(INDEX(阻害要因×在院期間区分＿寛解・院内寛解[#All],MATCH($AI58,阻害要因×在院期間区分＿寛解・院内寛解[[#All],[値]],0),MATCH($AT$4,阻害要因×在院期間区分＿寛解・院内寛解[#Headers],0)),0)+IFERROR(INDEX(阻害要因×在院期間区分＿寛解・院内寛解[#All],MATCH($AI58,阻害要因×在院期間区分＿寛解・院内寛解[[#All],[値]],0),MATCH($AU$4,阻害要因×在院期間区分＿寛解・院内寛解[#Headers],0)),0)+IFERROR(INDEX(阻害要因×在院期間区分＿寛解・院内寛解[#All],MATCH($AI58,阻害要因×在院期間区分＿寛解・院内寛解[[#All],[値]],0),MATCH($AV$4,阻害要因×在院期間区分＿寛解・院内寛解[#Headers],0)),0)+IFERROR(INDEX(阻害要因×在院期間区分＿寛解・院内寛解[#All],MATCH($AI58,阻害要因×在院期間区分＿寛解・院内寛解[[#All],[値]],0),MATCH($AW$4,阻害要因×在院期間区分＿寛解・院内寛解[#Headers],0)),0)</f>
        <v>7</v>
      </c>
      <c r="H57" s="73">
        <f t="shared" si="9"/>
        <v>7.7777777777777779E-2</v>
      </c>
      <c r="I57" s="71">
        <f>IFERROR(INDEX(阻害要因×在院期間区分＿寛解・院内寛解[#All],MATCH($AI58,阻害要因×在院期間区分＿寛解・院内寛解[[#All],[値]],0),MATCH($AX$4,阻害要因×在院期間区分＿寛解・院内寛解[#Headers],0)),0)+IFERROR(INDEX(阻害要因×在院期間区分＿寛解・院内寛解[#All],MATCH($AI58,阻害要因×在院期間区分＿寛解・院内寛解[[#All],[値]],0),MATCH($AY$4,阻害要因×在院期間区分＿寛解・院内寛解[#Headers],0)),0)</f>
        <v>6</v>
      </c>
      <c r="J57" s="73">
        <f t="shared" si="10"/>
        <v>5.8252427184466021E-2</v>
      </c>
      <c r="K57" s="39">
        <f t="shared" si="11"/>
        <v>43</v>
      </c>
      <c r="L57" s="56" t="s">
        <v>176</v>
      </c>
      <c r="M57" s="66">
        <v>1</v>
      </c>
      <c r="N57" s="66">
        <v>3</v>
      </c>
      <c r="O57" s="66">
        <v>1</v>
      </c>
      <c r="P57" s="66">
        <v>4</v>
      </c>
      <c r="Q57" s="66">
        <v>4</v>
      </c>
      <c r="R57" s="66">
        <v>0</v>
      </c>
      <c r="S57" s="66">
        <v>9</v>
      </c>
      <c r="T57" s="66">
        <v>4</v>
      </c>
      <c r="U57" s="66">
        <v>3</v>
      </c>
      <c r="V57" s="66">
        <v>4</v>
      </c>
      <c r="W57" s="66">
        <v>1</v>
      </c>
      <c r="X57" s="66">
        <v>2</v>
      </c>
      <c r="Y57" s="66">
        <v>0</v>
      </c>
      <c r="Z57" s="66">
        <v>0</v>
      </c>
      <c r="AA57" s="66">
        <v>5</v>
      </c>
      <c r="AB57" s="66">
        <v>1</v>
      </c>
      <c r="AI57" s="412" t="s">
        <v>175</v>
      </c>
    </row>
    <row r="58" spans="2:35" ht="18.75" customHeight="1" x14ac:dyDescent="0.15">
      <c r="B58" s="105" t="s">
        <v>48</v>
      </c>
      <c r="C58" s="112">
        <f>IFERROR(INDEX(阻害要因×在院期間区分＿寛解・院内寛解[#All],MATCH($AI59,阻害要因×在院期間区分＿寛解・院内寛解[[#All],[値]],0),MATCH($AJ$4,阻害要因×在院期間区分＿寛解・院内寛解[#Headers],0)),0)+IFERROR(INDEX(阻害要因×在院期間区分＿寛解・院内寛解[#All],MATCH($AI59,阻害要因×在院期間区分＿寛解・院内寛解[[#All],[値]],0),MATCH($AK$4,阻害要因×在院期間区分＿寛解・院内寛解[#Headers],0)),0)+IFERROR(INDEX(阻害要因×在院期間区分＿寛解・院内寛解[#All],MATCH($AI59,阻害要因×在院期間区分＿寛解・院内寛解[[#All],[値]],0),MATCH($AL$4,阻害要因×在院期間区分＿寛解・院内寛解[#Headers],0)),0)+IFERROR(INDEX(阻害要因×在院期間区分＿寛解・院内寛解[#All],MATCH($AI59,阻害要因×在院期間区分＿寛解・院内寛解[[#All],[値]],0),MATCH($AM$4,阻害要因×在院期間区分＿寛解・院内寛解[#Headers],0)),0)</f>
        <v>20</v>
      </c>
      <c r="D58" s="73">
        <f t="shared" si="7"/>
        <v>7.9051383399209488E-2</v>
      </c>
      <c r="E58" s="70">
        <f>IFERROR(INDEX(阻害要因×在院期間区分＿寛解・院内寛解[#All],MATCH($AI59,阻害要因×在院期間区分＿寛解・院内寛解[[#All],[値]],0),MATCH($AN$4,阻害要因×在院期間区分＿寛解・院内寛解[#Headers],0)),0)+IFERROR(INDEX(阻害要因×在院期間区分＿寛解・院内寛解[#All],MATCH($AI59,阻害要因×在院期間区分＿寛解・院内寛解[[#All],[値]],0),MATCH($AO$4,阻害要因×在院期間区分＿寛解・院内寛解[#Headers],0)),0)+IFERROR(INDEX(阻害要因×在院期間区分＿寛解・院内寛解[#All],MATCH($AI59,阻害要因×在院期間区分＿寛解・院内寛解[[#All],[値]],0),MATCH($AP$4,阻害要因×在院期間区分＿寛解・院内寛解[#Headers],0)),0)+IFERROR(INDEX(阻害要因×在院期間区分＿寛解・院内寛解[#All],MATCH($AI59,阻害要因×在院期間区分＿寛解・院内寛解[[#All],[値]],0),MATCH($AQ$4,阻害要因×在院期間区分＿寛解・院内寛解[#Headers],0)),0)+IFERROR(INDEX(阻害要因×在院期間区分＿寛解・院内寛解[#All],MATCH($AI59,阻害要因×在院期間区分＿寛解・院内寛解[[#All],[値]],0),MATCH($AR$4,阻害要因×在院期間区分＿寛解・院内寛解[#Headers],0)),0)</f>
        <v>11</v>
      </c>
      <c r="F58" s="73">
        <f t="shared" si="8"/>
        <v>5.2380952380952382E-2</v>
      </c>
      <c r="G58" s="70">
        <f>IFERROR(INDEX(阻害要因×在院期間区分＿寛解・院内寛解[#All],MATCH($AI59,阻害要因×在院期間区分＿寛解・院内寛解[[#All],[値]],0),MATCH($AS$4,阻害要因×在院期間区分＿寛解・院内寛解[#Headers],0)),0)+IFERROR(INDEX(阻害要因×在院期間区分＿寛解・院内寛解[#All],MATCH($AI59,阻害要因×在院期間区分＿寛解・院内寛解[[#All],[値]],0),MATCH($AT$4,阻害要因×在院期間区分＿寛解・院内寛解[#Headers],0)),0)+IFERROR(INDEX(阻害要因×在院期間区分＿寛解・院内寛解[#All],MATCH($AI59,阻害要因×在院期間区分＿寛解・院内寛解[[#All],[値]],0),MATCH($AU$4,阻害要因×在院期間区分＿寛解・院内寛解[#Headers],0)),0)+IFERROR(INDEX(阻害要因×在院期間区分＿寛解・院内寛解[#All],MATCH($AI59,阻害要因×在院期間区分＿寛解・院内寛解[[#All],[値]],0),MATCH($AV$4,阻害要因×在院期間区分＿寛解・院内寛解[#Headers],0)),0)+IFERROR(INDEX(阻害要因×在院期間区分＿寛解・院内寛解[#All],MATCH($AI59,阻害要因×在院期間区分＿寛解・院内寛解[[#All],[値]],0),MATCH($AW$4,阻害要因×在院期間区分＿寛解・院内寛解[#Headers],0)),0)</f>
        <v>4</v>
      </c>
      <c r="H58" s="73">
        <f t="shared" si="9"/>
        <v>4.4444444444444446E-2</v>
      </c>
      <c r="I58" s="70">
        <f>IFERROR(INDEX(阻害要因×在院期間区分＿寛解・院内寛解[#All],MATCH($AI59,阻害要因×在院期間区分＿寛解・院内寛解[[#All],[値]],0),MATCH($AX$4,阻害要因×在院期間区分＿寛解・院内寛解[#Headers],0)),0)+IFERROR(INDEX(阻害要因×在院期間区分＿寛解・院内寛解[#All],MATCH($AI59,阻害要因×在院期間区分＿寛解・院内寛解[[#All],[値]],0),MATCH($AY$4,阻害要因×在院期間区分＿寛解・院内寛解[#Headers],0)),0)</f>
        <v>8</v>
      </c>
      <c r="J58" s="73">
        <f t="shared" si="10"/>
        <v>7.7669902912621352E-2</v>
      </c>
      <c r="K58" s="39">
        <f t="shared" si="11"/>
        <v>0</v>
      </c>
      <c r="L58" s="56" t="s">
        <v>177</v>
      </c>
      <c r="M58" s="66">
        <v>0</v>
      </c>
      <c r="N58" s="66">
        <v>7</v>
      </c>
      <c r="O58" s="66">
        <v>5</v>
      </c>
      <c r="P58" s="66">
        <v>8</v>
      </c>
      <c r="Q58" s="66">
        <v>3</v>
      </c>
      <c r="R58" s="66">
        <v>3</v>
      </c>
      <c r="S58" s="66">
        <v>2</v>
      </c>
      <c r="T58" s="66">
        <v>1</v>
      </c>
      <c r="U58" s="66">
        <v>2</v>
      </c>
      <c r="V58" s="66">
        <v>3</v>
      </c>
      <c r="W58" s="66">
        <v>0</v>
      </c>
      <c r="X58" s="66">
        <v>0</v>
      </c>
      <c r="Y58" s="66">
        <v>1</v>
      </c>
      <c r="Z58" s="66">
        <v>0</v>
      </c>
      <c r="AA58" s="66">
        <v>6</v>
      </c>
      <c r="AB58" s="66">
        <v>2</v>
      </c>
      <c r="AI58" s="412" t="s">
        <v>176</v>
      </c>
    </row>
    <row r="59" spans="2:35" ht="18.75" customHeight="1" x14ac:dyDescent="0.15">
      <c r="B59" s="105" t="s">
        <v>49</v>
      </c>
      <c r="C59" s="120">
        <f>IFERROR(INDEX(阻害要因×在院期間区分＿寛解・院内寛解[#All],MATCH($AI60,阻害要因×在院期間区分＿寛解・院内寛解[[#All],[値]],0),MATCH($AJ$4,阻害要因×在院期間区分＿寛解・院内寛解[#Headers],0)),0)+IFERROR(INDEX(阻害要因×在院期間区分＿寛解・院内寛解[#All],MATCH($AI60,阻害要因×在院期間区分＿寛解・院内寛解[[#All],[値]],0),MATCH($AK$4,阻害要因×在院期間区分＿寛解・院内寛解[#Headers],0)),0)+IFERROR(INDEX(阻害要因×在院期間区分＿寛解・院内寛解[#All],MATCH($AI60,阻害要因×在院期間区分＿寛解・院内寛解[[#All],[値]],0),MATCH($AL$4,阻害要因×在院期間区分＿寛解・院内寛解[#Headers],0)),0)+IFERROR(INDEX(阻害要因×在院期間区分＿寛解・院内寛解[#All],MATCH($AI60,阻害要因×在院期間区分＿寛解・院内寛解[[#All],[値]],0),MATCH($AM$4,阻害要因×在院期間区分＿寛解・院内寛解[#Headers],0)),0)</f>
        <v>0</v>
      </c>
      <c r="D59" s="73">
        <f t="shared" si="7"/>
        <v>0</v>
      </c>
      <c r="E59" s="70">
        <f>IFERROR(INDEX(阻害要因×在院期間区分＿寛解・院内寛解[#All],MATCH($AI60,阻害要因×在院期間区分＿寛解・院内寛解[[#All],[値]],0),MATCH($AN$4,阻害要因×在院期間区分＿寛解・院内寛解[#Headers],0)),0)+IFERROR(INDEX(阻害要因×在院期間区分＿寛解・院内寛解[#All],MATCH($AI60,阻害要因×在院期間区分＿寛解・院内寛解[[#All],[値]],0),MATCH($AO$4,阻害要因×在院期間区分＿寛解・院内寛解[#Headers],0)),0)+IFERROR(INDEX(阻害要因×在院期間区分＿寛解・院内寛解[#All],MATCH($AI60,阻害要因×在院期間区分＿寛解・院内寛解[[#All],[値]],0),MATCH($AP$4,阻害要因×在院期間区分＿寛解・院内寛解[#Headers],0)),0)+IFERROR(INDEX(阻害要因×在院期間区分＿寛解・院内寛解[#All],MATCH($AI60,阻害要因×在院期間区分＿寛解・院内寛解[[#All],[値]],0),MATCH($AQ$4,阻害要因×在院期間区分＿寛解・院内寛解[#Headers],0)),0)+IFERROR(INDEX(阻害要因×在院期間区分＿寛解・院内寛解[#All],MATCH($AI60,阻害要因×在院期間区分＿寛解・院内寛解[[#All],[値]],0),MATCH($AR$4,阻害要因×在院期間区分＿寛解・院内寛解[#Headers],0)),0)</f>
        <v>0</v>
      </c>
      <c r="F59" s="73">
        <f t="shared" si="8"/>
        <v>0</v>
      </c>
      <c r="G59" s="70">
        <f>IFERROR(INDEX(阻害要因×在院期間区分＿寛解・院内寛解[#All],MATCH($AI60,阻害要因×在院期間区分＿寛解・院内寛解[[#All],[値]],0),MATCH($AS$4,阻害要因×在院期間区分＿寛解・院内寛解[#Headers],0)),0)+IFERROR(INDEX(阻害要因×在院期間区分＿寛解・院内寛解[#All],MATCH($AI60,阻害要因×在院期間区分＿寛解・院内寛解[[#All],[値]],0),MATCH($AT$4,阻害要因×在院期間区分＿寛解・院内寛解[#Headers],0)),0)+IFERROR(INDEX(阻害要因×在院期間区分＿寛解・院内寛解[#All],MATCH($AI60,阻害要因×在院期間区分＿寛解・院内寛解[[#All],[値]],0),MATCH($AU$4,阻害要因×在院期間区分＿寛解・院内寛解[#Headers],0)),0)+IFERROR(INDEX(阻害要因×在院期間区分＿寛解・院内寛解[#All],MATCH($AI60,阻害要因×在院期間区分＿寛解・院内寛解[[#All],[値]],0),MATCH($AV$4,阻害要因×在院期間区分＿寛解・院内寛解[#Headers],0)),0)+IFERROR(INDEX(阻害要因×在院期間区分＿寛解・院内寛解[#All],MATCH($AI60,阻害要因×在院期間区分＿寛解・院内寛解[[#All],[値]],0),MATCH($AW$4,阻害要因×在院期間区分＿寛解・院内寛解[#Headers],0)),0)</f>
        <v>0</v>
      </c>
      <c r="H59" s="73">
        <f t="shared" si="9"/>
        <v>0</v>
      </c>
      <c r="I59" s="70">
        <f>IFERROR(INDEX(阻害要因×在院期間区分＿寛解・院内寛解[#All],MATCH($AI60,阻害要因×在院期間区分＿寛解・院内寛解[[#All],[値]],0),MATCH($AX$4,阻害要因×在院期間区分＿寛解・院内寛解[#Headers],0)),0)+IFERROR(INDEX(阻害要因×在院期間区分＿寛解・院内寛解[#All],MATCH($AI60,阻害要因×在院期間区分＿寛解・院内寛解[[#All],[値]],0),MATCH($AY$4,阻害要因×在院期間区分＿寛解・院内寛解[#Headers],0)),0)</f>
        <v>0</v>
      </c>
      <c r="J59" s="73">
        <f t="shared" si="10"/>
        <v>0</v>
      </c>
      <c r="K59" s="39">
        <f t="shared" si="11"/>
        <v>63</v>
      </c>
      <c r="L59" s="56" t="s">
        <v>178</v>
      </c>
      <c r="M59" s="66">
        <v>0</v>
      </c>
      <c r="N59" s="66">
        <v>0</v>
      </c>
      <c r="O59" s="66">
        <v>0</v>
      </c>
      <c r="P59" s="66">
        <v>0</v>
      </c>
      <c r="Q59" s="66">
        <v>0</v>
      </c>
      <c r="R59" s="66">
        <v>0</v>
      </c>
      <c r="S59" s="66">
        <v>0</v>
      </c>
      <c r="T59" s="66">
        <v>0</v>
      </c>
      <c r="U59" s="66">
        <v>0</v>
      </c>
      <c r="V59" s="66">
        <v>0</v>
      </c>
      <c r="W59" s="66">
        <v>0</v>
      </c>
      <c r="X59" s="66">
        <v>0</v>
      </c>
      <c r="Y59" s="66">
        <v>0</v>
      </c>
      <c r="Z59" s="66">
        <v>0</v>
      </c>
      <c r="AA59" s="66">
        <v>0</v>
      </c>
      <c r="AB59" s="66">
        <v>0</v>
      </c>
      <c r="AI59" s="412" t="s">
        <v>177</v>
      </c>
    </row>
    <row r="60" spans="2:35" ht="18.75" customHeight="1" x14ac:dyDescent="0.15">
      <c r="B60" s="105" t="s">
        <v>50</v>
      </c>
      <c r="C60" s="114">
        <f>IFERROR(INDEX(阻害要因×在院期間区分＿寛解・院内寛解[#All],MATCH($AI61,阻害要因×在院期間区分＿寛解・院内寛解[[#All],[値]],0),MATCH($AJ$4,阻害要因×在院期間区分＿寛解・院内寛解[#Headers],0)),0)+IFERROR(INDEX(阻害要因×在院期間区分＿寛解・院内寛解[#All],MATCH($AI61,阻害要因×在院期間区分＿寛解・院内寛解[[#All],[値]],0),MATCH($AK$4,阻害要因×在院期間区分＿寛解・院内寛解[#Headers],0)),0)+IFERROR(INDEX(阻害要因×在院期間区分＿寛解・院内寛解[#All],MATCH($AI61,阻害要因×在院期間区分＿寛解・院内寛解[[#All],[値]],0),MATCH($AL$4,阻害要因×在院期間区分＿寛解・院内寛解[#Headers],0)),0)+IFERROR(INDEX(阻害要因×在院期間区分＿寛解・院内寛解[#All],MATCH($AI61,阻害要因×在院期間区分＿寛解・院内寛解[[#All],[値]],0),MATCH($AM$4,阻害要因×在院期間区分＿寛解・院内寛解[#Headers],0)),0)</f>
        <v>24</v>
      </c>
      <c r="D60" s="73">
        <f t="shared" si="7"/>
        <v>9.4861660079051377E-2</v>
      </c>
      <c r="E60" s="71">
        <f>IFERROR(INDEX(阻害要因×在院期間区分＿寛解・院内寛解[#All],MATCH($AI61,阻害要因×在院期間区分＿寛解・院内寛解[[#All],[値]],0),MATCH($AN$4,阻害要因×在院期間区分＿寛解・院内寛解[#Headers],0)),0)+IFERROR(INDEX(阻害要因×在院期間区分＿寛解・院内寛解[#All],MATCH($AI61,阻害要因×在院期間区分＿寛解・院内寛解[[#All],[値]],0),MATCH($AO$4,阻害要因×在院期間区分＿寛解・院内寛解[#Headers],0)),0)+IFERROR(INDEX(阻害要因×在院期間区分＿寛解・院内寛解[#All],MATCH($AI61,阻害要因×在院期間区分＿寛解・院内寛解[[#All],[値]],0),MATCH($AP$4,阻害要因×在院期間区分＿寛解・院内寛解[#Headers],0)),0)+IFERROR(INDEX(阻害要因×在院期間区分＿寛解・院内寛解[#All],MATCH($AI61,阻害要因×在院期間区分＿寛解・院内寛解[[#All],[値]],0),MATCH($AQ$4,阻害要因×在院期間区分＿寛解・院内寛解[#Headers],0)),0)+IFERROR(INDEX(阻害要因×在院期間区分＿寛解・院内寛解[#All],MATCH($AI61,阻害要因×在院期間区分＿寛解・院内寛解[[#All],[値]],0),MATCH($AR$4,阻害要因×在院期間区分＿寛解・院内寛解[#Headers],0)),0)</f>
        <v>18</v>
      </c>
      <c r="F60" s="73">
        <f t="shared" si="8"/>
        <v>8.5714285714285715E-2</v>
      </c>
      <c r="G60" s="71">
        <f>IFERROR(INDEX(阻害要因×在院期間区分＿寛解・院内寛解[#All],MATCH($AI61,阻害要因×在院期間区分＿寛解・院内寛解[[#All],[値]],0),MATCH($AS$4,阻害要因×在院期間区分＿寛解・院内寛解[#Headers],0)),0)+IFERROR(INDEX(阻害要因×在院期間区分＿寛解・院内寛解[#All],MATCH($AI61,阻害要因×在院期間区分＿寛解・院内寛解[[#All],[値]],0),MATCH($AT$4,阻害要因×在院期間区分＿寛解・院内寛解[#Headers],0)),0)+IFERROR(INDEX(阻害要因×在院期間区分＿寛解・院内寛解[#All],MATCH($AI61,阻害要因×在院期間区分＿寛解・院内寛解[[#All],[値]],0),MATCH($AU$4,阻害要因×在院期間区分＿寛解・院内寛解[#Headers],0)),0)+IFERROR(INDEX(阻害要因×在院期間区分＿寛解・院内寛解[#All],MATCH($AI61,阻害要因×在院期間区分＿寛解・院内寛解[[#All],[値]],0),MATCH($AV$4,阻害要因×在院期間区分＿寛解・院内寛解[#Headers],0)),0)+IFERROR(INDEX(阻害要因×在院期間区分＿寛解・院内寛解[#All],MATCH($AI61,阻害要因×在院期間区分＿寛解・院内寛解[[#All],[値]],0),MATCH($AW$4,阻害要因×在院期間区分＿寛解・院内寛解[#Headers],0)),0)</f>
        <v>10</v>
      </c>
      <c r="H60" s="73">
        <f t="shared" si="9"/>
        <v>0.1111111111111111</v>
      </c>
      <c r="I60" s="71">
        <f>IFERROR(INDEX(阻害要因×在院期間区分＿寛解・院内寛解[#All],MATCH($AI61,阻害要因×在院期間区分＿寛解・院内寛解[[#All],[値]],0),MATCH($AX$4,阻害要因×在院期間区分＿寛解・院内寛解[#Headers],0)),0)+IFERROR(INDEX(阻害要因×在院期間区分＿寛解・院内寛解[#All],MATCH($AI61,阻害要因×在院期間区分＿寛解・院内寛解[[#All],[値]],0),MATCH($AY$4,阻害要因×在院期間区分＿寛解・院内寛解[#Headers],0)),0)</f>
        <v>11</v>
      </c>
      <c r="J60" s="73">
        <f t="shared" si="10"/>
        <v>0.10679611650485436</v>
      </c>
      <c r="K60" s="39">
        <f t="shared" si="11"/>
        <v>73</v>
      </c>
      <c r="L60" s="56" t="s">
        <v>179</v>
      </c>
      <c r="M60" s="66">
        <v>5</v>
      </c>
      <c r="N60" s="66">
        <v>6</v>
      </c>
      <c r="O60" s="66">
        <v>7</v>
      </c>
      <c r="P60" s="66">
        <v>6</v>
      </c>
      <c r="Q60" s="66">
        <v>7</v>
      </c>
      <c r="R60" s="66">
        <v>3</v>
      </c>
      <c r="S60" s="66">
        <v>7</v>
      </c>
      <c r="T60" s="66">
        <v>1</v>
      </c>
      <c r="U60" s="66">
        <v>0</v>
      </c>
      <c r="V60" s="66">
        <v>3</v>
      </c>
      <c r="W60" s="66">
        <v>2</v>
      </c>
      <c r="X60" s="66">
        <v>0</v>
      </c>
      <c r="Y60" s="66">
        <v>4</v>
      </c>
      <c r="Z60" s="66">
        <v>1</v>
      </c>
      <c r="AA60" s="66">
        <v>7</v>
      </c>
      <c r="AB60" s="66">
        <v>4</v>
      </c>
      <c r="AI60" s="412" t="s">
        <v>178</v>
      </c>
    </row>
    <row r="61" spans="2:35" ht="18.75" customHeight="1" x14ac:dyDescent="0.15">
      <c r="B61" s="105" t="s">
        <v>51</v>
      </c>
      <c r="C61" s="112">
        <f>IFERROR(INDEX(阻害要因×在院期間区分＿寛解・院内寛解[#All],MATCH($AI62,阻害要因×在院期間区分＿寛解・院内寛解[[#All],[値]],0),MATCH($AJ$4,阻害要因×在院期間区分＿寛解・院内寛解[#Headers],0)),0)+IFERROR(INDEX(阻害要因×在院期間区分＿寛解・院内寛解[#All],MATCH($AI62,阻害要因×在院期間区分＿寛解・院内寛解[[#All],[値]],0),MATCH($AK$4,阻害要因×在院期間区分＿寛解・院内寛解[#Headers],0)),0)+IFERROR(INDEX(阻害要因×在院期間区分＿寛解・院内寛解[#All],MATCH($AI62,阻害要因×在院期間区分＿寛解・院内寛解[[#All],[値]],0),MATCH($AL$4,阻害要因×在院期間区分＿寛解・院内寛解[#Headers],0)),0)+IFERROR(INDEX(阻害要因×在院期間区分＿寛解・院内寛解[#All],MATCH($AI62,阻害要因×在院期間区分＿寛解・院内寛解[[#All],[値]],0),MATCH($AM$4,阻害要因×在院期間区分＿寛解・院内寛解[#Headers],0)),0)</f>
        <v>26</v>
      </c>
      <c r="D61" s="73">
        <f t="shared" si="7"/>
        <v>0.10276679841897234</v>
      </c>
      <c r="E61" s="70">
        <f>IFERROR(INDEX(阻害要因×在院期間区分＿寛解・院内寛解[#All],MATCH($AI62,阻害要因×在院期間区分＿寛解・院内寛解[[#All],[値]],0),MATCH($AN$4,阻害要因×在院期間区分＿寛解・院内寛解[#Headers],0)),0)+IFERROR(INDEX(阻害要因×在院期間区分＿寛解・院内寛解[#All],MATCH($AI62,阻害要因×在院期間区分＿寛解・院内寛解[[#All],[値]],0),MATCH($AO$4,阻害要因×在院期間区分＿寛解・院内寛解[#Headers],0)),0)+IFERROR(INDEX(阻害要因×在院期間区分＿寛解・院内寛解[#All],MATCH($AI62,阻害要因×在院期間区分＿寛解・院内寛解[[#All],[値]],0),MATCH($AP$4,阻害要因×在院期間区分＿寛解・院内寛解[#Headers],0)),0)+IFERROR(INDEX(阻害要因×在院期間区分＿寛解・院内寛解[#All],MATCH($AI62,阻害要因×在院期間区分＿寛解・院内寛解[[#All],[値]],0),MATCH($AQ$4,阻害要因×在院期間区分＿寛解・院内寛解[#Headers],0)),0)+IFERROR(INDEX(阻害要因×在院期間区分＿寛解・院内寛解[#All],MATCH($AI62,阻害要因×在院期間区分＿寛解・院内寛解[[#All],[値]],0),MATCH($AR$4,阻害要因×在院期間区分＿寛解・院内寛解[#Headers],0)),0)</f>
        <v>22</v>
      </c>
      <c r="F61" s="73">
        <f t="shared" si="8"/>
        <v>0.10476190476190476</v>
      </c>
      <c r="G61" s="70">
        <f>IFERROR(INDEX(阻害要因×在院期間区分＿寛解・院内寛解[#All],MATCH($AI62,阻害要因×在院期間区分＿寛解・院内寛解[[#All],[値]],0),MATCH($AS$4,阻害要因×在院期間区分＿寛解・院内寛解[#Headers],0)),0)+IFERROR(INDEX(阻害要因×在院期間区分＿寛解・院内寛解[#All],MATCH($AI62,阻害要因×在院期間区分＿寛解・院内寛解[[#All],[値]],0),MATCH($AT$4,阻害要因×在院期間区分＿寛解・院内寛解[#Headers],0)),0)+IFERROR(INDEX(阻害要因×在院期間区分＿寛解・院内寛解[#All],MATCH($AI62,阻害要因×在院期間区分＿寛解・院内寛解[[#All],[値]],0),MATCH($AU$4,阻害要因×在院期間区分＿寛解・院内寛解[#Headers],0)),0)+IFERROR(INDEX(阻害要因×在院期間区分＿寛解・院内寛解[#All],MATCH($AI62,阻害要因×在院期間区分＿寛解・院内寛解[[#All],[値]],0),MATCH($AV$4,阻害要因×在院期間区分＿寛解・院内寛解[#Headers],0)),0)+IFERROR(INDEX(阻害要因×在院期間区分＿寛解・院内寛解[#All],MATCH($AI62,阻害要因×在院期間区分＿寛解・院内寛解[[#All],[値]],0),MATCH($AW$4,阻害要因×在院期間区分＿寛解・院内寛解[#Headers],0)),0)</f>
        <v>12</v>
      </c>
      <c r="H61" s="73">
        <f t="shared" si="9"/>
        <v>0.13333333333333333</v>
      </c>
      <c r="I61" s="70">
        <f>IFERROR(INDEX(阻害要因×在院期間区分＿寛解・院内寛解[#All],MATCH($AI62,阻害要因×在院期間区分＿寛解・院内寛解[[#All],[値]],0),MATCH($AX$4,阻害要因×在院期間区分＿寛解・院内寛解[#Headers],0)),0)+IFERROR(INDEX(阻害要因×在院期間区分＿寛解・院内寛解[#All],MATCH($AI62,阻害要因×在院期間区分＿寛解・院内寛解[[#All],[値]],0),MATCH($AY$4,阻害要因×在院期間区分＿寛解・院内寛解[#Headers],0)),0)</f>
        <v>13</v>
      </c>
      <c r="J61" s="73">
        <f t="shared" si="10"/>
        <v>0.12621359223300971</v>
      </c>
      <c r="K61" s="39">
        <f t="shared" si="11"/>
        <v>24</v>
      </c>
      <c r="L61" s="56" t="s">
        <v>180</v>
      </c>
      <c r="M61" s="66">
        <v>4</v>
      </c>
      <c r="N61" s="66">
        <v>8</v>
      </c>
      <c r="O61" s="66">
        <v>9</v>
      </c>
      <c r="P61" s="66">
        <v>5</v>
      </c>
      <c r="Q61" s="66">
        <v>6</v>
      </c>
      <c r="R61" s="66">
        <v>4</v>
      </c>
      <c r="S61" s="66">
        <v>9</v>
      </c>
      <c r="T61" s="66">
        <v>1</v>
      </c>
      <c r="U61" s="66">
        <v>2</v>
      </c>
      <c r="V61" s="66">
        <v>2</v>
      </c>
      <c r="W61" s="66">
        <v>2</v>
      </c>
      <c r="X61" s="66">
        <v>3</v>
      </c>
      <c r="Y61" s="66">
        <v>5</v>
      </c>
      <c r="Z61" s="66">
        <v>0</v>
      </c>
      <c r="AA61" s="66">
        <v>8</v>
      </c>
      <c r="AB61" s="66">
        <v>5</v>
      </c>
      <c r="AI61" s="412" t="s">
        <v>179</v>
      </c>
    </row>
    <row r="62" spans="2:35" ht="18.75" customHeight="1" x14ac:dyDescent="0.15">
      <c r="B62" s="105" t="s">
        <v>248</v>
      </c>
      <c r="C62" s="112">
        <f>IFERROR(INDEX(阻害要因×在院期間区分＿寛解・院内寛解[#All],MATCH($AI63,阻害要因×在院期間区分＿寛解・院内寛解[[#All],[値]],0),MATCH($AJ$4,阻害要因×在院期間区分＿寛解・院内寛解[#Headers],0)),0)+IFERROR(INDEX(阻害要因×在院期間区分＿寛解・院内寛解[#All],MATCH($AI63,阻害要因×在院期間区分＿寛解・院内寛解[[#All],[値]],0),MATCH($AK$4,阻害要因×在院期間区分＿寛解・院内寛解[#Headers],0)),0)+IFERROR(INDEX(阻害要因×在院期間区分＿寛解・院内寛解[#All],MATCH($AI63,阻害要因×在院期間区分＿寛解・院内寛解[[#All],[値]],0),MATCH($AL$4,阻害要因×在院期間区分＿寛解・院内寛解[#Headers],0)),0)+IFERROR(INDEX(阻害要因×在院期間区分＿寛解・院内寛解[#All],MATCH($AI63,阻害要因×在院期間区分＿寛解・院内寛解[[#All],[値]],0),MATCH($AM$4,阻害要因×在院期間区分＿寛解・院内寛解[#Headers],0)),0)</f>
        <v>7</v>
      </c>
      <c r="D62" s="73">
        <f t="shared" si="7"/>
        <v>2.766798418972332E-2</v>
      </c>
      <c r="E62" s="70">
        <f>IFERROR(INDEX(阻害要因×在院期間区分＿寛解・院内寛解[#All],MATCH($AI63,阻害要因×在院期間区分＿寛解・院内寛解[[#All],[値]],0),MATCH($AN$4,阻害要因×在院期間区分＿寛解・院内寛解[#Headers],0)),0)+IFERROR(INDEX(阻害要因×在院期間区分＿寛解・院内寛解[#All],MATCH($AI63,阻害要因×在院期間区分＿寛解・院内寛解[[#All],[値]],0),MATCH($AO$4,阻害要因×在院期間区分＿寛解・院内寛解[#Headers],0)),0)+IFERROR(INDEX(阻害要因×在院期間区分＿寛解・院内寛解[#All],MATCH($AI63,阻害要因×在院期間区分＿寛解・院内寛解[[#All],[値]],0),MATCH($AP$4,阻害要因×在院期間区分＿寛解・院内寛解[#Headers],0)),0)+IFERROR(INDEX(阻害要因×在院期間区分＿寛解・院内寛解[#All],MATCH($AI63,阻害要因×在院期間区分＿寛解・院内寛解[[#All],[値]],0),MATCH($AQ$4,阻害要因×在院期間区分＿寛解・院内寛解[#Headers],0)),0)+IFERROR(INDEX(阻害要因×在院期間区分＿寛解・院内寛解[#All],MATCH($AI63,阻害要因×在院期間区分＿寛解・院内寛解[[#All],[値]],0),MATCH($AR$4,阻害要因×在院期間区分＿寛解・院内寛解[#Headers],0)),0)</f>
        <v>8</v>
      </c>
      <c r="F62" s="73">
        <f t="shared" si="8"/>
        <v>3.8095238095238099E-2</v>
      </c>
      <c r="G62" s="70">
        <f>IFERROR(INDEX(阻害要因×在院期間区分＿寛解・院内寛解[#All],MATCH($AI63,阻害要因×在院期間区分＿寛解・院内寛解[[#All],[値]],0),MATCH($AS$4,阻害要因×在院期間区分＿寛解・院内寛解[#Headers],0)),0)+IFERROR(INDEX(阻害要因×在院期間区分＿寛解・院内寛解[#All],MATCH($AI63,阻害要因×在院期間区分＿寛解・院内寛解[[#All],[値]],0),MATCH($AT$4,阻害要因×在院期間区分＿寛解・院内寛解[#Headers],0)),0)+IFERROR(INDEX(阻害要因×在院期間区分＿寛解・院内寛解[#All],MATCH($AI63,阻害要因×在院期間区分＿寛解・院内寛解[[#All],[値]],0),MATCH($AU$4,阻害要因×在院期間区分＿寛解・院内寛解[#Headers],0)),0)+IFERROR(INDEX(阻害要因×在院期間区分＿寛解・院内寛解[#All],MATCH($AI63,阻害要因×在院期間区分＿寛解・院内寛解[[#All],[値]],0),MATCH($AV$4,阻害要因×在院期間区分＿寛解・院内寛解[#Headers],0)),0)+IFERROR(INDEX(阻害要因×在院期間区分＿寛解・院内寛解[#All],MATCH($AI63,阻害要因×在院期間区分＿寛解・院内寛解[[#All],[値]],0),MATCH($AW$4,阻害要因×在院期間区分＿寛解・院内寛解[#Headers],0)),0)</f>
        <v>5</v>
      </c>
      <c r="H62" s="73">
        <f t="shared" si="9"/>
        <v>5.5555555555555552E-2</v>
      </c>
      <c r="I62" s="70">
        <f>IFERROR(INDEX(阻害要因×在院期間区分＿寛解・院内寛解[#All],MATCH($AI63,阻害要因×在院期間区分＿寛解・院内寛解[[#All],[値]],0),MATCH($AX$4,阻害要因×在院期間区分＿寛解・院内寛解[#Headers],0)),0)+IFERROR(INDEX(阻害要因×在院期間区分＿寛解・院内寛解[#All],MATCH($AI63,阻害要因×在院期間区分＿寛解・院内寛解[[#All],[値]],0),MATCH($AY$4,阻害要因×在院期間区分＿寛解・院内寛解[#Headers],0)),0)</f>
        <v>4</v>
      </c>
      <c r="J62" s="73">
        <f t="shared" si="10"/>
        <v>3.8834951456310676E-2</v>
      </c>
      <c r="K62" s="39">
        <f t="shared" si="11"/>
        <v>31</v>
      </c>
      <c r="L62" s="56" t="s">
        <v>181</v>
      </c>
      <c r="M62" s="66">
        <v>1</v>
      </c>
      <c r="N62" s="66">
        <v>0</v>
      </c>
      <c r="O62" s="66">
        <v>3</v>
      </c>
      <c r="P62" s="66">
        <v>3</v>
      </c>
      <c r="Q62" s="66">
        <v>3</v>
      </c>
      <c r="R62" s="66">
        <v>1</v>
      </c>
      <c r="S62" s="66">
        <v>3</v>
      </c>
      <c r="T62" s="66">
        <v>1</v>
      </c>
      <c r="U62" s="66">
        <v>0</v>
      </c>
      <c r="V62" s="66">
        <v>3</v>
      </c>
      <c r="W62" s="66">
        <v>0</v>
      </c>
      <c r="X62" s="66">
        <v>0</v>
      </c>
      <c r="Y62" s="66">
        <v>1</v>
      </c>
      <c r="Z62" s="66">
        <v>1</v>
      </c>
      <c r="AA62" s="66">
        <v>3</v>
      </c>
      <c r="AB62" s="66">
        <v>1</v>
      </c>
      <c r="AI62" s="412" t="s">
        <v>180</v>
      </c>
    </row>
    <row r="63" spans="2:35" x14ac:dyDescent="0.15">
      <c r="B63" s="107" t="s">
        <v>53</v>
      </c>
      <c r="C63" s="128">
        <f>IFERROR(INDEX(阻害要因×在院期間区分＿寛解・院内寛解[#All],MATCH($AI64,阻害要因×在院期間区分＿寛解・院内寛解[[#All],[値]],0),MATCH($AJ$4,阻害要因×在院期間区分＿寛解・院内寛解[#Headers],0)),0)+IFERROR(INDEX(阻害要因×在院期間区分＿寛解・院内寛解[#All],MATCH($AI64,阻害要因×在院期間区分＿寛解・院内寛解[[#All],[値]],0),MATCH($AK$4,阻害要因×在院期間区分＿寛解・院内寛解[#Headers],0)),0)+IFERROR(INDEX(阻害要因×在院期間区分＿寛解・院内寛解[#All],MATCH($AI64,阻害要因×在院期間区分＿寛解・院内寛解[[#All],[値]],0),MATCH($AL$4,阻害要因×在院期間区分＿寛解・院内寛解[#Headers],0)),0)+IFERROR(INDEX(阻害要因×在院期間区分＿寛解・院内寛解[#All],MATCH($AI64,阻害要因×在院期間区分＿寛解・院内寛解[[#All],[値]],0),MATCH($AM$4,阻害要因×在院期間区分＿寛解・院内寛解[#Headers],0)),0)</f>
        <v>15</v>
      </c>
      <c r="D63" s="77">
        <f t="shared" si="7"/>
        <v>5.9288537549407112E-2</v>
      </c>
      <c r="E63" s="124">
        <f>IFERROR(INDEX(阻害要因×在院期間区分＿寛解・院内寛解[#All],MATCH($AI64,阻害要因×在院期間区分＿寛解・院内寛解[[#All],[値]],0),MATCH($AN$4,阻害要因×在院期間区分＿寛解・院内寛解[#Headers],0)),0)+IFERROR(INDEX(阻害要因×在院期間区分＿寛解・院内寛解[#All],MATCH($AI64,阻害要因×在院期間区分＿寛解・院内寛解[[#All],[値]],0),MATCH($AO$4,阻害要因×在院期間区分＿寛解・院内寛解[#Headers],0)),0)+IFERROR(INDEX(阻害要因×在院期間区分＿寛解・院内寛解[#All],MATCH($AI64,阻害要因×在院期間区分＿寛解・院内寛解[[#All],[値]],0),MATCH($AP$4,阻害要因×在院期間区分＿寛解・院内寛解[#Headers],0)),0)+IFERROR(INDEX(阻害要因×在院期間区分＿寛解・院内寛解[#All],MATCH($AI64,阻害要因×在院期間区分＿寛解・院内寛解[[#All],[値]],0),MATCH($AQ$4,阻害要因×在院期間区分＿寛解・院内寛解[#Headers],0)),0)+IFERROR(INDEX(阻害要因×在院期間区分＿寛解・院内寛解[#All],MATCH($AI64,阻害要因×在院期間区分＿寛解・院内寛解[[#All],[値]],0),MATCH($AR$4,阻害要因×在院期間区分＿寛解・院内寛解[#Headers],0)),0)</f>
        <v>9</v>
      </c>
      <c r="F63" s="77">
        <f t="shared" si="8"/>
        <v>4.2857142857142858E-2</v>
      </c>
      <c r="G63" s="74">
        <f>IFERROR(INDEX(阻害要因×在院期間区分＿寛解・院内寛解[#All],MATCH($AI64,阻害要因×在院期間区分＿寛解・院内寛解[[#All],[値]],0),MATCH($AS$4,阻害要因×在院期間区分＿寛解・院内寛解[#Headers],0)),0)+IFERROR(INDEX(阻害要因×在院期間区分＿寛解・院内寛解[#All],MATCH($AI64,阻害要因×在院期間区分＿寛解・院内寛解[[#All],[値]],0),MATCH($AT$4,阻害要因×在院期間区分＿寛解・院内寛解[#Headers],0)),0)+IFERROR(INDEX(阻害要因×在院期間区分＿寛解・院内寛解[#All],MATCH($AI64,阻害要因×在院期間区分＿寛解・院内寛解[[#All],[値]],0),MATCH($AU$4,阻害要因×在院期間区分＿寛解・院内寛解[#Headers],0)),0)+IFERROR(INDEX(阻害要因×在院期間区分＿寛解・院内寛解[#All],MATCH($AI64,阻害要因×在院期間区分＿寛解・院内寛解[[#All],[値]],0),MATCH($AV$4,阻害要因×在院期間区分＿寛解・院内寛解[#Headers],0)),0)+IFERROR(INDEX(阻害要因×在院期間区分＿寛解・院内寛解[#All],MATCH($AI64,阻害要因×在院期間区分＿寛解・院内寛解[[#All],[値]],0),MATCH($AW$4,阻害要因×在院期間区分＿寛解・院内寛解[#Headers],0)),0)</f>
        <v>4</v>
      </c>
      <c r="H63" s="77">
        <f t="shared" si="9"/>
        <v>4.4444444444444446E-2</v>
      </c>
      <c r="I63" s="124">
        <f>IFERROR(INDEX(阻害要因×在院期間区分＿寛解・院内寛解[#All],MATCH($AI64,阻害要因×在院期間区分＿寛解・院内寛解[[#All],[値]],0),MATCH($AX$4,阻害要因×在院期間区分＿寛解・院内寛解[#Headers],0)),0)+IFERROR(INDEX(阻害要因×在院期間区分＿寛解・院内寛解[#All],MATCH($AI64,阻害要因×在院期間区分＿寛解・院内寛解[[#All],[値]],0),MATCH($AY$4,阻害要因×在院期間区分＿寛解・院内寛解[#Headers],0)),0)</f>
        <v>3</v>
      </c>
      <c r="J63" s="77">
        <f t="shared" si="10"/>
        <v>2.9126213592233011E-2</v>
      </c>
      <c r="L63" s="56" t="s">
        <v>182</v>
      </c>
      <c r="M63" s="66">
        <v>2</v>
      </c>
      <c r="N63" s="66">
        <v>2</v>
      </c>
      <c r="O63" s="66">
        <v>4</v>
      </c>
      <c r="P63" s="66">
        <v>7</v>
      </c>
      <c r="Q63" s="66">
        <v>2</v>
      </c>
      <c r="R63" s="66">
        <v>0</v>
      </c>
      <c r="S63" s="66">
        <v>4</v>
      </c>
      <c r="T63" s="66">
        <v>2</v>
      </c>
      <c r="U63" s="66">
        <v>1</v>
      </c>
      <c r="V63" s="66">
        <v>2</v>
      </c>
      <c r="W63" s="66">
        <v>0</v>
      </c>
      <c r="X63" s="66">
        <v>1</v>
      </c>
      <c r="Y63" s="66">
        <v>1</v>
      </c>
      <c r="Z63" s="66">
        <v>0</v>
      </c>
      <c r="AA63" s="66">
        <v>1</v>
      </c>
      <c r="AB63" s="66">
        <v>2</v>
      </c>
      <c r="AI63" s="412" t="s">
        <v>181</v>
      </c>
    </row>
    <row r="64" spans="2:35" x14ac:dyDescent="0.15">
      <c r="C64" s="20"/>
      <c r="D64" s="20"/>
      <c r="E64" s="20"/>
      <c r="F64" s="67"/>
      <c r="I64" s="20"/>
      <c r="J64" s="129"/>
      <c r="L64" s="54"/>
      <c r="AI64" s="412" t="s">
        <v>182</v>
      </c>
    </row>
    <row r="65" spans="6:12" x14ac:dyDescent="0.15">
      <c r="F65" s="67"/>
      <c r="J65" s="67"/>
      <c r="L65" s="54"/>
    </row>
    <row r="66" spans="6:12" x14ac:dyDescent="0.15">
      <c r="F66" s="67"/>
      <c r="J66" s="67"/>
      <c r="L66" s="54"/>
    </row>
    <row r="67" spans="6:12" x14ac:dyDescent="0.15">
      <c r="F67" s="67"/>
      <c r="J67" s="67"/>
    </row>
    <row r="68" spans="6:12" x14ac:dyDescent="0.15">
      <c r="F68" s="67"/>
      <c r="J68" s="67"/>
    </row>
    <row r="69" spans="6:12" x14ac:dyDescent="0.15">
      <c r="F69" s="67"/>
      <c r="J69" s="67"/>
    </row>
  </sheetData>
  <mergeCells count="18">
    <mergeCell ref="C12:J12"/>
    <mergeCell ref="B13:J13"/>
    <mergeCell ref="B45:J45"/>
    <mergeCell ref="C44:J44"/>
    <mergeCell ref="C41:J41"/>
    <mergeCell ref="B2:B3"/>
    <mergeCell ref="C2:J2"/>
    <mergeCell ref="C3:D3"/>
    <mergeCell ref="E3:F3"/>
    <mergeCell ref="B34:B35"/>
    <mergeCell ref="G3:H3"/>
    <mergeCell ref="I3:J3"/>
    <mergeCell ref="G35:H35"/>
    <mergeCell ref="I35:J35"/>
    <mergeCell ref="C34:J34"/>
    <mergeCell ref="C35:D35"/>
    <mergeCell ref="E35:F35"/>
    <mergeCell ref="C9:J9"/>
  </mergeCells>
  <phoneticPr fontId="2"/>
  <printOptions horizontalCentered="1"/>
  <pageMargins left="0.70866141732283472" right="0.70866141732283472" top="0.74803149606299213" bottom="0.74803149606299213" header="0.31496062992125984" footer="0.31496062992125984"/>
  <pageSetup paperSize="9" scale="6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4578" r:id="rId4" name="Button 2">
              <controlPr defaultSize="0" print="0" autoFill="0" autoPict="0" macro="[0]!データ削除19">
                <anchor moveWithCells="1" sizeWithCells="1">
                  <from>
                    <xdr:col>28</xdr:col>
                    <xdr:colOff>409575</xdr:colOff>
                    <xdr:row>3</xdr:row>
                    <xdr:rowOff>57150</xdr:rowOff>
                  </from>
                  <to>
                    <xdr:col>31</xdr:col>
                    <xdr:colOff>142875</xdr:colOff>
                    <xdr:row>4</xdr:row>
                    <xdr:rowOff>57150</xdr:rowOff>
                  </to>
                </anchor>
              </controlPr>
            </control>
          </mc:Choice>
        </mc:AlternateContent>
      </controls>
    </mc:Choice>
  </mc:AlternateContent>
  <tableParts count="6">
    <tablePart r:id="rId5"/>
    <tablePart r:id="rId6"/>
    <tablePart r:id="rId7"/>
    <tablePart r:id="rId8"/>
    <tablePart r:id="rId9"/>
    <tablePart r:id="rId10"/>
  </tableParts>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0">
    <tabColor rgb="FFFF0000"/>
  </sheetPr>
  <dimension ref="B1:AZ67"/>
  <sheetViews>
    <sheetView showGridLines="0" view="pageBreakPreview" topLeftCell="C1" zoomScale="90" zoomScaleNormal="100" zoomScaleSheetLayoutView="90" workbookViewId="0">
      <selection activeCell="K1" sqref="K1:AG1048576"/>
    </sheetView>
  </sheetViews>
  <sheetFormatPr defaultRowHeight="18.75" x14ac:dyDescent="0.15"/>
  <cols>
    <col min="1" max="1" width="3" style="1" customWidth="1"/>
    <col min="2" max="2" width="38.75" style="1" customWidth="1"/>
    <col min="3" max="10" width="9.375" style="1" customWidth="1"/>
    <col min="11" max="11" width="0" style="1" hidden="1" customWidth="1"/>
    <col min="12" max="12" width="22.125" style="1" hidden="1" customWidth="1"/>
    <col min="13" max="29" width="11.375" style="1" hidden="1" customWidth="1"/>
    <col min="30" max="32" width="9.875" style="1" hidden="1" customWidth="1"/>
    <col min="33" max="33" width="9" style="1" hidden="1" customWidth="1"/>
    <col min="34" max="34" width="9" style="1" customWidth="1"/>
    <col min="35" max="49" width="9" style="1" hidden="1" customWidth="1"/>
    <col min="50" max="52" width="0" style="1" hidden="1" customWidth="1"/>
    <col min="53" max="16384" width="9" style="1"/>
  </cols>
  <sheetData>
    <row r="1" spans="2:52" ht="19.5" customHeight="1" x14ac:dyDescent="0.15">
      <c r="B1" s="2" t="s">
        <v>80</v>
      </c>
    </row>
    <row r="2" spans="2:52" ht="18.75" customHeight="1" x14ac:dyDescent="0.15">
      <c r="B2" s="640" t="s">
        <v>241</v>
      </c>
      <c r="C2" s="669" t="s">
        <v>81</v>
      </c>
      <c r="D2" s="670"/>
      <c r="E2" s="670"/>
      <c r="F2" s="670"/>
      <c r="G2" s="670"/>
      <c r="H2" s="670"/>
      <c r="I2" s="670"/>
      <c r="J2" s="671"/>
      <c r="L2" s="56" t="s">
        <v>63</v>
      </c>
    </row>
    <row r="3" spans="2:52" ht="18.75" customHeight="1" thickBot="1" x14ac:dyDescent="0.2">
      <c r="B3" s="641"/>
      <c r="C3" s="669" t="s">
        <v>269</v>
      </c>
      <c r="D3" s="670"/>
      <c r="E3" s="670"/>
      <c r="F3" s="671"/>
      <c r="G3" s="676" t="s">
        <v>73</v>
      </c>
      <c r="H3" s="677"/>
      <c r="I3" s="676" t="s">
        <v>76</v>
      </c>
      <c r="J3" s="677"/>
    </row>
    <row r="4" spans="2:52" ht="56.25" customHeight="1" thickTop="1" thickBot="1" x14ac:dyDescent="0.2">
      <c r="B4" s="668"/>
      <c r="C4" s="683" t="s">
        <v>199</v>
      </c>
      <c r="D4" s="684"/>
      <c r="E4" s="683" t="s">
        <v>200</v>
      </c>
      <c r="F4" s="684"/>
      <c r="G4" s="678"/>
      <c r="H4" s="679"/>
      <c r="I4" s="678"/>
      <c r="J4" s="679"/>
      <c r="L4" s="503" t="s">
        <v>371</v>
      </c>
      <c r="M4" s="87" t="s">
        <v>296</v>
      </c>
      <c r="N4" s="87" t="s">
        <v>285</v>
      </c>
      <c r="O4" s="87" t="s">
        <v>286</v>
      </c>
      <c r="P4" s="87" t="s">
        <v>287</v>
      </c>
      <c r="Q4" s="87" t="s">
        <v>201</v>
      </c>
      <c r="R4" s="87" t="s">
        <v>202</v>
      </c>
      <c r="S4" s="87" t="s">
        <v>288</v>
      </c>
      <c r="T4" s="87" t="s">
        <v>289</v>
      </c>
      <c r="U4" s="87" t="s">
        <v>290</v>
      </c>
      <c r="V4" s="87" t="s">
        <v>291</v>
      </c>
      <c r="W4" s="87" t="s">
        <v>292</v>
      </c>
      <c r="X4" s="87" t="s">
        <v>297</v>
      </c>
      <c r="Y4" s="87" t="s">
        <v>293</v>
      </c>
      <c r="Z4" s="87" t="s">
        <v>294</v>
      </c>
      <c r="AA4" s="87" t="s">
        <v>298</v>
      </c>
      <c r="AB4" s="87" t="s">
        <v>295</v>
      </c>
      <c r="AC4" s="87" t="s">
        <v>18</v>
      </c>
      <c r="AJ4" s="87" t="s">
        <v>296</v>
      </c>
      <c r="AK4" s="87" t="s">
        <v>285</v>
      </c>
      <c r="AL4" s="87" t="s">
        <v>286</v>
      </c>
      <c r="AM4" s="87" t="s">
        <v>287</v>
      </c>
      <c r="AN4" s="87" t="s">
        <v>201</v>
      </c>
      <c r="AO4" s="87" t="s">
        <v>202</v>
      </c>
      <c r="AP4" s="87" t="s">
        <v>288</v>
      </c>
      <c r="AQ4" s="87" t="s">
        <v>289</v>
      </c>
      <c r="AR4" s="87" t="s">
        <v>290</v>
      </c>
      <c r="AS4" s="87" t="s">
        <v>291</v>
      </c>
      <c r="AT4" s="87" t="s">
        <v>292</v>
      </c>
      <c r="AU4" s="87" t="s">
        <v>297</v>
      </c>
      <c r="AV4" s="87" t="s">
        <v>293</v>
      </c>
      <c r="AW4" s="87" t="s">
        <v>294</v>
      </c>
      <c r="AX4" s="87" t="s">
        <v>298</v>
      </c>
      <c r="AY4" s="87" t="s">
        <v>295</v>
      </c>
      <c r="AZ4" s="87" t="s">
        <v>18</v>
      </c>
    </row>
    <row r="5" spans="2:52" ht="37.5" customHeight="1" thickTop="1" x14ac:dyDescent="0.15">
      <c r="B5" s="88" t="s">
        <v>232</v>
      </c>
      <c r="C5" s="89">
        <f>IFERROR(INDEX(退院予定有無×疾患名[#All],MATCH($AI5,退院予定有無×疾患名[[#All],[行ラベル]],0),MATCH($AJ$4,退院予定有無×疾患名[#Headers],0)),0)+IFERROR(INDEX(退院予定有無×疾患名[#All],MATCH($AI5,退院予定有無×疾患名[[#All],[行ラベル]],0),MATCH($AK$4,退院予定有無×疾患名[#Headers],0)),0)</f>
        <v>237</v>
      </c>
      <c r="D5" s="90">
        <f>IFERROR(C5/C$8,"-")</f>
        <v>0.10076530612244898</v>
      </c>
      <c r="E5" s="89">
        <f>IFERROR(INDEX(退院予定有無×疾患名[#All],MATCH($AI5,退院予定有無×疾患名[[#All],[行ラベル]],0),MATCH($AL$4,退院予定有無×疾患名[#Headers],0)),0)</f>
        <v>246</v>
      </c>
      <c r="F5" s="90">
        <f>IFERROR(E5/E$8,"-")</f>
        <v>0.12732919254658384</v>
      </c>
      <c r="G5" s="89">
        <f>IFERROR(INDEX(退院予定有無×疾患名[#All],MATCH($AI5,退院予定有無×疾患名[[#All],[行ラベル]],0),MATCH($AP$4,退院予定有無×疾患名[#Headers],0)),0)</f>
        <v>1418</v>
      </c>
      <c r="H5" s="90">
        <f>IFERROR(G5/G$8,"-")</f>
        <v>0.17838721851805259</v>
      </c>
      <c r="I5" s="89">
        <f>IFERROR(INDEX(退院予定有無×疾患名[#All],MATCH($AI5,退院予定有無×疾患名[[#All],[行ラベル]],0),MATCH($AQ$4,退院予定有無×疾患名[#Headers],0)),0)+IFERROR(INDEX(退院予定有無×疾患名[#All],MATCH($AI5,退院予定有無×疾患名[[#All],[行ラベル]],0),MATCH($AR$4,退院予定有無×疾患名[#Headers],0)),0)</f>
        <v>296</v>
      </c>
      <c r="J5" s="90">
        <f>IFERROR(I5/I$8,"-")</f>
        <v>0.19295958279009126</v>
      </c>
      <c r="K5" s="39">
        <f>C5+E5+G5+I5</f>
        <v>2197</v>
      </c>
      <c r="L5" s="34">
        <v>97</v>
      </c>
      <c r="M5" s="60">
        <v>204</v>
      </c>
      <c r="N5" s="60">
        <v>33</v>
      </c>
      <c r="O5" s="66">
        <v>246</v>
      </c>
      <c r="P5" s="60">
        <v>100</v>
      </c>
      <c r="Q5" s="60">
        <v>7</v>
      </c>
      <c r="R5" s="60">
        <v>17</v>
      </c>
      <c r="S5" s="60">
        <v>1418</v>
      </c>
      <c r="T5" s="60">
        <v>138</v>
      </c>
      <c r="U5" s="60">
        <v>158</v>
      </c>
      <c r="V5" s="60">
        <v>67</v>
      </c>
      <c r="W5" s="60">
        <v>4</v>
      </c>
      <c r="X5" s="60">
        <v>6</v>
      </c>
      <c r="Y5" s="60">
        <v>60</v>
      </c>
      <c r="Z5" s="60">
        <v>19</v>
      </c>
      <c r="AA5" s="60">
        <v>6</v>
      </c>
      <c r="AB5" s="60">
        <v>10</v>
      </c>
      <c r="AC5" s="60">
        <v>21</v>
      </c>
      <c r="AI5" s="413">
        <v>97</v>
      </c>
    </row>
    <row r="6" spans="2:52" ht="18.75" customHeight="1" x14ac:dyDescent="0.15">
      <c r="B6" s="91" t="s">
        <v>242</v>
      </c>
      <c r="C6" s="70">
        <f>IFERROR(INDEX(退院予定有無×疾患名[#All],MATCH($AI6,退院予定有無×疾患名[[#All],[行ラベル]],0),MATCH($AJ$4,退院予定有無×疾患名[#Headers],0)),0)+IFERROR(INDEX(退院予定有無×疾患名[#All],MATCH($AI6,退院予定有無×疾患名[[#All],[行ラベル]],0),MATCH($AK$4,退院予定有無×疾患名[#Headers],0)),0)</f>
        <v>1908</v>
      </c>
      <c r="D6" s="69">
        <f>IFERROR(C6/C$8,"-")</f>
        <v>0.81122448979591832</v>
      </c>
      <c r="E6" s="70">
        <f>IFERROR(INDEX(退院予定有無×疾患名[#All],MATCH($AI6,退院予定有無×疾患名[[#All],[行ラベル]],0),MATCH($AL$4,退院予定有無×疾患名[#Headers],0)),0)</f>
        <v>1476</v>
      </c>
      <c r="F6" s="69">
        <f>IFERROR(E6/E$8,"-")</f>
        <v>0.7639751552795031</v>
      </c>
      <c r="G6" s="70">
        <f>IFERROR(INDEX(退院予定有無×疾患名[#All],MATCH($AI6,退院予定有無×疾患名[[#All],[行ラベル]],0),MATCH($AP$4,退院予定有無×疾患名[#Headers],0)),0)</f>
        <v>5843</v>
      </c>
      <c r="H6" s="69">
        <f>IFERROR(G6/G$8,"-")</f>
        <v>0.73506101396402068</v>
      </c>
      <c r="I6" s="70">
        <f>IFERROR(INDEX(退院予定有無×疾患名[#All],MATCH($AI6,退院予定有無×疾患名[[#All],[行ラベル]],0),MATCH($AQ$4,退院予定有無×疾患名[#Headers],0)),0)+IFERROR(INDEX(退院予定有無×疾患名[#All],MATCH($AI6,退院予定有無×疾患名[[#All],[行ラベル]],0),MATCH($AR$4,退院予定有無×疾患名[#Headers],0)),0)</f>
        <v>913</v>
      </c>
      <c r="J6" s="69">
        <f>IFERROR(I6/I$8,"-")</f>
        <v>0.5951760104302477</v>
      </c>
      <c r="K6" s="39">
        <f>C6+E6+G6+I6</f>
        <v>10140</v>
      </c>
      <c r="L6" s="34">
        <v>98</v>
      </c>
      <c r="M6" s="60">
        <v>1626</v>
      </c>
      <c r="N6" s="60">
        <v>282</v>
      </c>
      <c r="O6" s="66">
        <v>1476</v>
      </c>
      <c r="P6" s="60">
        <v>452</v>
      </c>
      <c r="Q6" s="60">
        <v>23</v>
      </c>
      <c r="R6" s="60">
        <v>52</v>
      </c>
      <c r="S6" s="60">
        <v>5843</v>
      </c>
      <c r="T6" s="60">
        <v>468</v>
      </c>
      <c r="U6" s="60">
        <v>445</v>
      </c>
      <c r="V6" s="60">
        <v>155</v>
      </c>
      <c r="W6" s="60">
        <v>28</v>
      </c>
      <c r="X6" s="60">
        <v>26</v>
      </c>
      <c r="Y6" s="60">
        <v>200</v>
      </c>
      <c r="Z6" s="60">
        <v>71</v>
      </c>
      <c r="AA6" s="60">
        <v>20</v>
      </c>
      <c r="AB6" s="60">
        <v>34</v>
      </c>
      <c r="AC6" s="60">
        <v>99</v>
      </c>
      <c r="AI6" s="413">
        <v>98</v>
      </c>
    </row>
    <row r="7" spans="2:52" ht="18.75" customHeight="1" x14ac:dyDescent="0.15">
      <c r="B7" s="92" t="s">
        <v>36</v>
      </c>
      <c r="C7" s="70">
        <f>IFERROR(INDEX(退院予定有無×疾患名[#All],MATCH($AI7,退院予定有無×疾患名[[#All],[行ラベル]],0),MATCH($AJ$4,退院予定有無×疾患名[#Headers],0)),0)+IFERROR(INDEX(退院予定有無×疾患名[#All],MATCH($AI7,退院予定有無×疾患名[[#All],[行ラベル]],0),MATCH($AK$4,退院予定有無×疾患名[#Headers],0)),0)</f>
        <v>207</v>
      </c>
      <c r="D7" s="69">
        <f>IFERROR(C7/C$8,"-")</f>
        <v>8.8010204081632654E-2</v>
      </c>
      <c r="E7" s="70">
        <f>IFERROR(INDEX(退院予定有無×疾患名[#All],MATCH($AI7,退院予定有無×疾患名[[#All],[行ラベル]],0),MATCH($AL$4,退院予定有無×疾患名[#Headers],0)),0)</f>
        <v>210</v>
      </c>
      <c r="F7" s="82">
        <f>IFERROR(E7/E$8,"-")</f>
        <v>0.10869565217391304</v>
      </c>
      <c r="G7" s="72">
        <f>IFERROR(INDEX(退院予定有無×疾患名[#All],MATCH($AI7,退院予定有無×疾患名[[#All],[行ラベル]],0),MATCH($AP$4,退院予定有無×疾患名[#Headers],0)),0)</f>
        <v>688</v>
      </c>
      <c r="H7" s="82">
        <f>IFERROR(G7/G$8,"-")</f>
        <v>8.6551767517926786E-2</v>
      </c>
      <c r="I7" s="72">
        <f>IFERROR(INDEX(退院予定有無×疾患名[#All],MATCH($AI7,退院予定有無×疾患名[[#All],[行ラベル]],0),MATCH($AQ$4,退院予定有無×疾患名[#Headers],0)),0)+IFERROR(INDEX(退院予定有無×疾患名[#All],MATCH($AI7,退院予定有無×疾患名[[#All],[行ラベル]],0),MATCH($AR$4,退院予定有無×疾患名[#Headers],0)),0)</f>
        <v>325</v>
      </c>
      <c r="J7" s="82">
        <f>IFERROR(I7/I$8,"-")</f>
        <v>0.21186440677966101</v>
      </c>
      <c r="K7" s="39">
        <f>C7+E7+G7+I7</f>
        <v>1430</v>
      </c>
      <c r="L7" s="34">
        <v>99</v>
      </c>
      <c r="M7" s="60">
        <v>190</v>
      </c>
      <c r="N7" s="60">
        <v>17</v>
      </c>
      <c r="O7" s="66">
        <v>210</v>
      </c>
      <c r="P7" s="60">
        <v>187</v>
      </c>
      <c r="Q7" s="60">
        <v>7</v>
      </c>
      <c r="R7" s="60">
        <v>31</v>
      </c>
      <c r="S7" s="60">
        <v>688</v>
      </c>
      <c r="T7" s="60">
        <v>158</v>
      </c>
      <c r="U7" s="60">
        <v>167</v>
      </c>
      <c r="V7" s="60">
        <v>64</v>
      </c>
      <c r="W7" s="60">
        <v>11</v>
      </c>
      <c r="X7" s="60">
        <v>8</v>
      </c>
      <c r="Y7" s="60">
        <v>39</v>
      </c>
      <c r="Z7" s="60">
        <v>29</v>
      </c>
      <c r="AA7" s="60">
        <v>13</v>
      </c>
      <c r="AB7" s="60">
        <v>4</v>
      </c>
      <c r="AC7" s="60">
        <v>18</v>
      </c>
      <c r="AI7" s="413">
        <v>99</v>
      </c>
    </row>
    <row r="8" spans="2:52" ht="18.75" customHeight="1" x14ac:dyDescent="0.15">
      <c r="B8" s="93" t="s">
        <v>162</v>
      </c>
      <c r="C8" s="94">
        <f t="shared" ref="C8:J8" si="0">SUM(C5:C7)</f>
        <v>2352</v>
      </c>
      <c r="D8" s="95">
        <f t="shared" si="0"/>
        <v>0.99999999999999989</v>
      </c>
      <c r="E8" s="96">
        <f t="shared" si="0"/>
        <v>1932</v>
      </c>
      <c r="F8" s="95">
        <f t="shared" si="0"/>
        <v>1</v>
      </c>
      <c r="G8" s="96">
        <f t="shared" si="0"/>
        <v>7949</v>
      </c>
      <c r="H8" s="95">
        <f t="shared" si="0"/>
        <v>1</v>
      </c>
      <c r="I8" s="96">
        <f t="shared" si="0"/>
        <v>1534</v>
      </c>
      <c r="J8" s="95">
        <f t="shared" si="0"/>
        <v>1</v>
      </c>
      <c r="K8" s="39">
        <f>C8+E8+G8+I8</f>
        <v>13767</v>
      </c>
      <c r="L8" s="34"/>
      <c r="M8" s="43"/>
      <c r="N8" s="43"/>
      <c r="O8" s="43"/>
      <c r="P8" s="43"/>
      <c r="Q8" s="43"/>
      <c r="R8" s="43"/>
      <c r="S8" s="43"/>
      <c r="T8" s="43"/>
      <c r="U8" s="43"/>
      <c r="V8" s="43"/>
      <c r="W8" s="43"/>
      <c r="X8" s="43"/>
      <c r="Y8" s="43"/>
      <c r="Z8" s="43"/>
      <c r="AA8" s="43"/>
      <c r="AB8" s="43"/>
      <c r="AI8" s="413"/>
    </row>
    <row r="9" spans="2:52" ht="18.75" customHeight="1" thickBot="1" x14ac:dyDescent="0.2">
      <c r="B9" s="97"/>
      <c r="C9" s="98"/>
      <c r="D9" s="99"/>
      <c r="E9" s="100"/>
      <c r="F9" s="99"/>
      <c r="G9" s="100"/>
      <c r="H9" s="99"/>
      <c r="I9" s="100"/>
      <c r="J9" s="99"/>
      <c r="K9" s="39"/>
      <c r="L9" s="34"/>
      <c r="M9" s="43"/>
      <c r="N9" s="43"/>
      <c r="O9" s="43"/>
      <c r="P9" s="43"/>
      <c r="Q9" s="43"/>
      <c r="R9" s="43"/>
      <c r="S9" s="43"/>
      <c r="T9" s="43"/>
      <c r="U9" s="43"/>
      <c r="V9" s="43"/>
      <c r="W9" s="43"/>
      <c r="X9" s="43"/>
      <c r="Y9" s="43"/>
      <c r="Z9" s="43"/>
      <c r="AA9" s="43"/>
      <c r="AB9" s="43"/>
      <c r="AI9" s="413"/>
    </row>
    <row r="10" spans="2:52" s="414" customFormat="1" ht="18.75" customHeight="1" thickTop="1" thickBot="1" x14ac:dyDescent="0.2">
      <c r="B10" s="471" t="s">
        <v>243</v>
      </c>
      <c r="C10" s="685"/>
      <c r="D10" s="686"/>
      <c r="E10" s="686"/>
      <c r="F10" s="686"/>
      <c r="G10" s="686"/>
      <c r="H10" s="686"/>
      <c r="I10" s="686"/>
      <c r="J10" s="687"/>
      <c r="K10" s="415"/>
      <c r="L10" s="503" t="s">
        <v>371</v>
      </c>
      <c r="M10" s="87" t="s">
        <v>296</v>
      </c>
      <c r="N10" s="87" t="s">
        <v>285</v>
      </c>
      <c r="O10" s="87" t="s">
        <v>286</v>
      </c>
      <c r="P10" s="87" t="s">
        <v>287</v>
      </c>
      <c r="Q10" s="87" t="s">
        <v>201</v>
      </c>
      <c r="R10" s="87" t="s">
        <v>202</v>
      </c>
      <c r="S10" s="87" t="s">
        <v>288</v>
      </c>
      <c r="T10" s="87" t="s">
        <v>289</v>
      </c>
      <c r="U10" s="87" t="s">
        <v>290</v>
      </c>
      <c r="V10" s="87" t="s">
        <v>291</v>
      </c>
      <c r="W10" s="87" t="s">
        <v>292</v>
      </c>
      <c r="X10" s="87" t="s">
        <v>297</v>
      </c>
      <c r="Y10" s="87" t="s">
        <v>293</v>
      </c>
      <c r="Z10" s="87" t="s">
        <v>294</v>
      </c>
      <c r="AA10" s="87" t="s">
        <v>298</v>
      </c>
      <c r="AB10" s="87" t="s">
        <v>295</v>
      </c>
      <c r="AC10" s="87" t="s">
        <v>18</v>
      </c>
      <c r="AI10" s="416"/>
    </row>
    <row r="11" spans="2:52" ht="18.75" customHeight="1" thickTop="1" x14ac:dyDescent="0.15">
      <c r="B11" s="102" t="s">
        <v>34</v>
      </c>
      <c r="C11" s="89">
        <f>IFERROR(INDEX(阻害要因有無×疾患名[#All],MATCH($AI11,阻害要因有無×疾患名[[#All],[行ラベル]],0),MATCH($AJ$4,阻害要因有無×疾患名[#Headers],0)),0)+IFERROR(INDEX(阻害要因有無×疾患名[#All],MATCH($AI11,阻害要因有無×疾患名[[#All],[行ラベル]],0),MATCH($AK$4,阻害要因有無×疾患名[#Headers],0)),0)</f>
        <v>210</v>
      </c>
      <c r="D11" s="90">
        <f>IFERROR(C11/C$5,"-")</f>
        <v>0.88607594936708856</v>
      </c>
      <c r="E11" s="89">
        <f>IFERROR(INDEX(阻害要因有無×疾患名[#All],MATCH($AI11,阻害要因有無×疾患名[[#All],[行ラベル]],0),MATCH($AL$4,阻害要因有無×疾患名[#Headers],0)),0)</f>
        <v>209</v>
      </c>
      <c r="F11" s="90">
        <f>IFERROR(E11/E$5,"-")</f>
        <v>0.84959349593495936</v>
      </c>
      <c r="G11" s="89">
        <f>IFERROR(INDEX(阻害要因有無×疾患名[#All],MATCH($AI11,阻害要因有無×疾患名[[#All],[行ラベル]],0),MATCH($AP$4,阻害要因有無×疾患名[#Headers],0)),0)</f>
        <v>1344</v>
      </c>
      <c r="H11" s="90">
        <f>IFERROR(G11/G$5,"-")</f>
        <v>0.94781382228490829</v>
      </c>
      <c r="I11" s="89">
        <f>IFERROR(INDEX(阻害要因有無×疾患名[#All],MATCH($AI11,阻害要因有無×疾患名[[#All],[行ラベル]],0),MATCH($AQ$4,阻害要因有無×疾患名[#Headers],0)),0)+IFERROR(INDEX(阻害要因有無×疾患名[#All],MATCH($AI11,阻害要因有無×疾患名[[#All],[行ラベル]],0),MATCH($AR$4,阻害要因有無×疾患名[#Headers],0)),0)</f>
        <v>257</v>
      </c>
      <c r="J11" s="90">
        <f>IFERROR(I11/I$5,"-")</f>
        <v>0.8682432432432432</v>
      </c>
      <c r="K11" s="39">
        <f>C11+E11+G11+I11</f>
        <v>2020</v>
      </c>
      <c r="L11" s="34">
        <v>91</v>
      </c>
      <c r="M11" s="60">
        <v>180</v>
      </c>
      <c r="N11" s="60">
        <v>30</v>
      </c>
      <c r="O11" s="66">
        <v>209</v>
      </c>
      <c r="P11" s="60">
        <v>99</v>
      </c>
      <c r="Q11" s="60">
        <v>6</v>
      </c>
      <c r="R11" s="60">
        <v>16</v>
      </c>
      <c r="S11" s="60">
        <v>1344</v>
      </c>
      <c r="T11" s="60">
        <v>121</v>
      </c>
      <c r="U11" s="60">
        <v>136</v>
      </c>
      <c r="V11" s="60">
        <v>57</v>
      </c>
      <c r="W11" s="60">
        <v>4</v>
      </c>
      <c r="X11" s="60">
        <v>6</v>
      </c>
      <c r="Y11" s="60">
        <v>57</v>
      </c>
      <c r="Z11" s="60">
        <v>17</v>
      </c>
      <c r="AA11" s="60">
        <v>6</v>
      </c>
      <c r="AB11" s="60">
        <v>9</v>
      </c>
      <c r="AC11" s="60">
        <v>21</v>
      </c>
      <c r="AI11" s="413">
        <v>91</v>
      </c>
    </row>
    <row r="12" spans="2:52" ht="18.75" customHeight="1" x14ac:dyDescent="0.15">
      <c r="B12" s="92" t="s">
        <v>35</v>
      </c>
      <c r="C12" s="70">
        <f>IFERROR(INDEX(阻害要因有無×疾患名[#All],MATCH($AI12,阻害要因有無×疾患名[[#All],[行ラベル]],0),MATCH($AJ$4,阻害要因有無×疾患名[#Headers],0)),0)+IFERROR(INDEX(阻害要因有無×疾患名[#All],MATCH($AI12,阻害要因有無×疾患名[[#All],[行ラベル]],0),MATCH($AK$4,阻害要因有無×疾患名[#Headers],0)),0)</f>
        <v>27</v>
      </c>
      <c r="D12" s="69">
        <f>IFERROR(C12/C$5,"-")</f>
        <v>0.11392405063291139</v>
      </c>
      <c r="E12" s="70">
        <f>IFERROR(INDEX(阻害要因有無×疾患名[#All],MATCH($AI12,阻害要因有無×疾患名[[#All],[行ラベル]],0),MATCH($AL$4,阻害要因有無×疾患名[#Headers],0)),0)</f>
        <v>37</v>
      </c>
      <c r="F12" s="69">
        <f>IFERROR(E12/E$5,"-")</f>
        <v>0.15040650406504066</v>
      </c>
      <c r="G12" s="70">
        <f>IFERROR(INDEX(阻害要因有無×疾患名[#All],MATCH($AI12,阻害要因有無×疾患名[[#All],[行ラベル]],0),MATCH($AP$4,阻害要因有無×疾患名[#Headers],0)),0)</f>
        <v>74</v>
      </c>
      <c r="H12" s="69">
        <f>IFERROR(G12/G$5,"-")</f>
        <v>5.2186177715091681E-2</v>
      </c>
      <c r="I12" s="70">
        <f>IFERROR(INDEX(阻害要因有無×疾患名[#All],MATCH($AI12,阻害要因有無×疾患名[[#All],[行ラベル]],0),MATCH($AQ$4,阻害要因有無×疾患名[#Headers],0)),0)+IFERROR(INDEX(阻害要因有無×疾患名[#All],MATCH($AI12,阻害要因有無×疾患名[[#All],[行ラベル]],0),MATCH($AR$4,阻害要因有無×疾患名[#Headers],0)),0)</f>
        <v>39</v>
      </c>
      <c r="J12" s="69">
        <f>IFERROR(I12/I$5,"-")</f>
        <v>0.13175675675675674</v>
      </c>
      <c r="K12" s="39">
        <f>C12+E12+G12+I12</f>
        <v>177</v>
      </c>
      <c r="L12" s="34">
        <v>90</v>
      </c>
      <c r="M12" s="60">
        <v>24</v>
      </c>
      <c r="N12" s="60">
        <v>3</v>
      </c>
      <c r="O12" s="66">
        <v>37</v>
      </c>
      <c r="P12" s="60">
        <v>1</v>
      </c>
      <c r="Q12" s="60">
        <v>1</v>
      </c>
      <c r="R12" s="60">
        <v>1</v>
      </c>
      <c r="S12" s="60">
        <v>74</v>
      </c>
      <c r="T12" s="60">
        <v>17</v>
      </c>
      <c r="U12" s="60">
        <v>22</v>
      </c>
      <c r="V12" s="60">
        <v>10</v>
      </c>
      <c r="W12" s="60">
        <v>0</v>
      </c>
      <c r="X12" s="60">
        <v>0</v>
      </c>
      <c r="Y12" s="60">
        <v>3</v>
      </c>
      <c r="Z12" s="60">
        <v>2</v>
      </c>
      <c r="AA12" s="60">
        <v>0</v>
      </c>
      <c r="AB12" s="60">
        <v>1</v>
      </c>
      <c r="AC12" s="60">
        <v>0</v>
      </c>
      <c r="AI12" s="413">
        <v>90</v>
      </c>
    </row>
    <row r="13" spans="2:52" ht="19.5" customHeight="1" thickBot="1" x14ac:dyDescent="0.2">
      <c r="B13" s="103" t="s">
        <v>265</v>
      </c>
      <c r="C13" s="665"/>
      <c r="D13" s="666"/>
      <c r="E13" s="666"/>
      <c r="F13" s="666"/>
      <c r="G13" s="666"/>
      <c r="H13" s="666"/>
      <c r="I13" s="666"/>
      <c r="J13" s="667"/>
      <c r="K13" s="39"/>
    </row>
    <row r="14" spans="2:52" ht="19.5" customHeight="1" thickTop="1" thickBot="1" x14ac:dyDescent="0.2">
      <c r="B14" s="662" t="s">
        <v>275</v>
      </c>
      <c r="C14" s="663"/>
      <c r="D14" s="663"/>
      <c r="E14" s="663"/>
      <c r="F14" s="663"/>
      <c r="G14" s="663"/>
      <c r="H14" s="663"/>
      <c r="I14" s="663"/>
      <c r="J14" s="664"/>
      <c r="K14" s="39">
        <f t="shared" ref="K14:K31" si="1">C15+E15+G15+I15</f>
        <v>793</v>
      </c>
      <c r="L14" s="503" t="s">
        <v>380</v>
      </c>
      <c r="M14" s="87" t="s">
        <v>296</v>
      </c>
      <c r="N14" s="87" t="s">
        <v>285</v>
      </c>
      <c r="O14" s="87" t="s">
        <v>286</v>
      </c>
      <c r="P14" s="87" t="s">
        <v>287</v>
      </c>
      <c r="Q14" s="87" t="s">
        <v>201</v>
      </c>
      <c r="R14" s="87" t="s">
        <v>202</v>
      </c>
      <c r="S14" s="87" t="s">
        <v>288</v>
      </c>
      <c r="T14" s="87" t="s">
        <v>289</v>
      </c>
      <c r="U14" s="87" t="s">
        <v>290</v>
      </c>
      <c r="V14" s="87" t="s">
        <v>291</v>
      </c>
      <c r="W14" s="87" t="s">
        <v>292</v>
      </c>
      <c r="X14" s="87" t="s">
        <v>297</v>
      </c>
      <c r="Y14" s="87" t="s">
        <v>293</v>
      </c>
      <c r="Z14" s="87" t="s">
        <v>294</v>
      </c>
      <c r="AA14" s="87" t="s">
        <v>298</v>
      </c>
      <c r="AB14" s="87" t="s">
        <v>295</v>
      </c>
      <c r="AC14" s="87" t="s">
        <v>18</v>
      </c>
    </row>
    <row r="15" spans="2:52" ht="37.5" customHeight="1" thickTop="1" x14ac:dyDescent="0.15">
      <c r="B15" s="104" t="s">
        <v>236</v>
      </c>
      <c r="C15" s="63">
        <f>IFERROR(INDEX(阻害要因×疾患名[#All],MATCH($AI15,阻害要因×疾患名[[#All],[値]],0),MATCH($AJ$4,阻害要因×疾患名[#Headers],0)),0)+IFERROR(INDEX(阻害要因×疾患名[#All],MATCH($AI15,阻害要因×疾患名[[#All],[値]],0),MATCH($AK$4,阻害要因×疾患名[#Headers],0)),0)</f>
        <v>70</v>
      </c>
      <c r="D15" s="64">
        <f t="shared" ref="D15:D32" si="2">IFERROR(C15/C$11,"-")</f>
        <v>0.33333333333333331</v>
      </c>
      <c r="E15" s="65">
        <f>IFERROR(INDEX(阻害要因×疾患名[#All],MATCH($AI15,阻害要因×疾患名[[#All],[値]],0),MATCH($AL$4,阻害要因×疾患名[#Headers],0)),0)</f>
        <v>72</v>
      </c>
      <c r="F15" s="64">
        <f t="shared" ref="F15:F32" si="3">IFERROR(E15/E$11,"-")</f>
        <v>0.34449760765550241</v>
      </c>
      <c r="G15" s="65">
        <f>IFERROR(INDEX(阻害要因×疾患名[#All],MATCH($AI15,阻害要因×疾患名[[#All],[値]],0),MATCH($AP$4,阻害要因×疾患名[#Headers],0)),0)</f>
        <v>539</v>
      </c>
      <c r="H15" s="64">
        <f t="shared" ref="H15:H32" si="4">IFERROR(G15/G$11,"-")</f>
        <v>0.40104166666666669</v>
      </c>
      <c r="I15" s="65">
        <f>IFERROR(INDEX(阻害要因×疾患名[#All],MATCH($AI15,阻害要因×疾患名[[#All],[値]],0),MATCH($AQ$4,阻害要因×疾患名[#Headers],0)),0)+IFERROR(INDEX(阻害要因×疾患名[#All],MATCH($AI15,阻害要因×疾患名[[#All],[値]],0),MATCH($AR$4,阻害要因×疾患名[#Headers],0)),0)</f>
        <v>112</v>
      </c>
      <c r="J15" s="64">
        <f t="shared" ref="J15:J32" si="5">IFERROR(I15/I$11,"-")</f>
        <v>0.43579766536964981</v>
      </c>
      <c r="K15" s="39">
        <f t="shared" si="1"/>
        <v>633</v>
      </c>
      <c r="L15" s="34" t="s">
        <v>310</v>
      </c>
      <c r="M15" s="60">
        <v>61</v>
      </c>
      <c r="N15" s="66">
        <v>9</v>
      </c>
      <c r="O15" s="66">
        <v>72</v>
      </c>
      <c r="P15" s="60">
        <v>28</v>
      </c>
      <c r="Q15" s="60">
        <v>2</v>
      </c>
      <c r="R15" s="60">
        <v>4</v>
      </c>
      <c r="S15" s="60">
        <v>539</v>
      </c>
      <c r="T15" s="60">
        <v>66</v>
      </c>
      <c r="U15" s="60">
        <v>46</v>
      </c>
      <c r="V15" s="60">
        <v>23</v>
      </c>
      <c r="W15" s="60">
        <v>2</v>
      </c>
      <c r="X15" s="60">
        <v>2</v>
      </c>
      <c r="Y15" s="60">
        <v>18</v>
      </c>
      <c r="Z15" s="60">
        <v>8</v>
      </c>
      <c r="AA15" s="60">
        <v>2</v>
      </c>
      <c r="AB15" s="60">
        <v>2</v>
      </c>
      <c r="AC15" s="60">
        <v>6</v>
      </c>
      <c r="AI15" s="56" t="s">
        <v>310</v>
      </c>
    </row>
    <row r="16" spans="2:52" ht="18.75" customHeight="1" x14ac:dyDescent="0.15">
      <c r="B16" s="105" t="s">
        <v>66</v>
      </c>
      <c r="C16" s="68">
        <f>IFERROR(INDEX(阻害要因×疾患名[#All],MATCH($AI16,阻害要因×疾患名[[#All],[値]],0),MATCH($AJ$4,阻害要因×疾患名[#Headers],0)),0)+IFERROR(INDEX(阻害要因×疾患名[#All],MATCH($AI16,阻害要因×疾患名[[#All],[値]],0),MATCH($AK$4,阻害要因×疾患名[#Headers],0)),0)</f>
        <v>61</v>
      </c>
      <c r="D16" s="73">
        <f t="shared" si="2"/>
        <v>0.2904761904761905</v>
      </c>
      <c r="E16" s="71">
        <f>IFERROR(INDEX(阻害要因×疾患名[#All],MATCH($AI16,阻害要因×疾患名[[#All],[値]],0),MATCH($AL$4,阻害要因×疾患名[#Headers],0)),0)</f>
        <v>51</v>
      </c>
      <c r="F16" s="73">
        <f t="shared" si="3"/>
        <v>0.24401913875598086</v>
      </c>
      <c r="G16" s="70">
        <f>IFERROR(INDEX(阻害要因×疾患名[#All],MATCH($AI16,阻害要因×疾患名[[#All],[値]],0),MATCH($AP$4,阻害要因×疾患名[#Headers],0)),0)</f>
        <v>468</v>
      </c>
      <c r="H16" s="73">
        <f t="shared" si="4"/>
        <v>0.3482142857142857</v>
      </c>
      <c r="I16" s="70">
        <f>IFERROR(INDEX(阻害要因×疾患名[#All],MATCH($AI16,阻害要因×疾患名[[#All],[値]],0),MATCH($AQ$4,阻害要因×疾患名[#Headers],0)),0)+IFERROR(INDEX(阻害要因×疾患名[#All],MATCH($AI16,阻害要因×疾患名[[#All],[値]],0),MATCH($AR$4,阻害要因×疾患名[#Headers],0)),0)</f>
        <v>53</v>
      </c>
      <c r="J16" s="73">
        <f t="shared" si="5"/>
        <v>0.20622568093385213</v>
      </c>
      <c r="K16" s="39">
        <f t="shared" si="1"/>
        <v>136</v>
      </c>
      <c r="L16" s="56" t="s">
        <v>311</v>
      </c>
      <c r="M16" s="66">
        <v>47</v>
      </c>
      <c r="N16" s="66">
        <v>14</v>
      </c>
      <c r="O16" s="66">
        <v>51</v>
      </c>
      <c r="P16" s="60">
        <v>53</v>
      </c>
      <c r="Q16" s="60">
        <v>3</v>
      </c>
      <c r="R16" s="60">
        <v>5</v>
      </c>
      <c r="S16" s="60">
        <v>468</v>
      </c>
      <c r="T16" s="60">
        <v>36</v>
      </c>
      <c r="U16" s="60">
        <v>17</v>
      </c>
      <c r="V16" s="60">
        <v>12</v>
      </c>
      <c r="W16" s="60">
        <v>0</v>
      </c>
      <c r="X16" s="60">
        <v>1</v>
      </c>
      <c r="Y16" s="60">
        <v>14</v>
      </c>
      <c r="Z16" s="60">
        <v>2</v>
      </c>
      <c r="AA16" s="60">
        <v>2</v>
      </c>
      <c r="AB16" s="60">
        <v>3</v>
      </c>
      <c r="AC16" s="60">
        <v>5</v>
      </c>
      <c r="AI16" s="56" t="s">
        <v>311</v>
      </c>
    </row>
    <row r="17" spans="2:35" ht="18.75" customHeight="1" x14ac:dyDescent="0.15">
      <c r="B17" s="105" t="s">
        <v>38</v>
      </c>
      <c r="C17" s="68">
        <f>IFERROR(INDEX(阻害要因×疾患名[#All],MATCH($AI17,阻害要因×疾患名[[#All],[値]],0),MATCH($AJ$4,阻害要因×疾患名[#Headers],0)),0)+IFERROR(INDEX(阻害要因×疾患名[#All],MATCH($AI17,阻害要因×疾患名[[#All],[値]],0),MATCH($AK$4,阻害要因×疾患名[#Headers],0)),0)</f>
        <v>9</v>
      </c>
      <c r="D17" s="73">
        <f t="shared" si="2"/>
        <v>4.2857142857142858E-2</v>
      </c>
      <c r="E17" s="70">
        <f>IFERROR(INDEX(阻害要因×疾患名[#All],MATCH($AI17,阻害要因×疾患名[[#All],[値]],0),MATCH($AL$4,阻害要因×疾患名[#Headers],0)),0)</f>
        <v>13</v>
      </c>
      <c r="F17" s="73">
        <f t="shared" si="3"/>
        <v>6.2200956937799042E-2</v>
      </c>
      <c r="G17" s="70">
        <f>IFERROR(INDEX(阻害要因×疾患名[#All],MATCH($AI17,阻害要因×疾患名[[#All],[値]],0),MATCH($AP$4,阻害要因×疾患名[#Headers],0)),0)</f>
        <v>103</v>
      </c>
      <c r="H17" s="73">
        <f t="shared" si="4"/>
        <v>7.6636904761904767E-2</v>
      </c>
      <c r="I17" s="70">
        <f>IFERROR(INDEX(阻害要因×疾患名[#All],MATCH($AI17,阻害要因×疾患名[[#All],[値]],0),MATCH($AQ$4,阻害要因×疾患名[#Headers],0)),0)+IFERROR(INDEX(阻害要因×疾患名[#All],MATCH($AI17,阻害要因×疾患名[[#All],[値]],0),MATCH($AR$4,阻害要因×疾患名[#Headers],0)),0)</f>
        <v>11</v>
      </c>
      <c r="J17" s="73">
        <f t="shared" si="5"/>
        <v>4.2801556420233464E-2</v>
      </c>
      <c r="K17" s="39">
        <f t="shared" si="1"/>
        <v>769</v>
      </c>
      <c r="L17" s="56" t="s">
        <v>167</v>
      </c>
      <c r="M17" s="66">
        <v>9</v>
      </c>
      <c r="N17" s="66">
        <v>0</v>
      </c>
      <c r="O17" s="66">
        <v>13</v>
      </c>
      <c r="P17" s="60">
        <v>8</v>
      </c>
      <c r="Q17" s="60">
        <v>1</v>
      </c>
      <c r="R17" s="60">
        <v>4</v>
      </c>
      <c r="S17" s="60">
        <v>103</v>
      </c>
      <c r="T17" s="60">
        <v>8</v>
      </c>
      <c r="U17" s="60">
        <v>3</v>
      </c>
      <c r="V17" s="60">
        <v>4</v>
      </c>
      <c r="W17" s="60">
        <v>0</v>
      </c>
      <c r="X17" s="60">
        <v>1</v>
      </c>
      <c r="Y17" s="60">
        <v>5</v>
      </c>
      <c r="Z17" s="60">
        <v>4</v>
      </c>
      <c r="AA17" s="60">
        <v>2</v>
      </c>
      <c r="AB17" s="60">
        <v>0</v>
      </c>
      <c r="AC17" s="60">
        <v>1</v>
      </c>
      <c r="AI17" s="56" t="s">
        <v>167</v>
      </c>
    </row>
    <row r="18" spans="2:35" ht="18.75" customHeight="1" x14ac:dyDescent="0.15">
      <c r="B18" s="105" t="s">
        <v>39</v>
      </c>
      <c r="C18" s="70">
        <f>IFERROR(INDEX(阻害要因×疾患名[#All],MATCH($AI18,阻害要因×疾患名[[#All],[値]],0),MATCH($AJ$4,阻害要因×疾患名[#Headers],0)),0)+IFERROR(INDEX(阻害要因×疾患名[#All],MATCH($AI18,阻害要因×疾患名[[#All],[値]],0),MATCH($AK$4,阻害要因×疾患名[#Headers],0)),0)</f>
        <v>58</v>
      </c>
      <c r="D18" s="69">
        <f t="shared" si="2"/>
        <v>0.27619047619047621</v>
      </c>
      <c r="E18" s="70">
        <f>IFERROR(INDEX(阻害要因×疾患名[#All],MATCH($AI18,阻害要因×疾患名[[#All],[値]],0),MATCH($AL$4,阻害要因×疾患名[#Headers],0)),0)</f>
        <v>56</v>
      </c>
      <c r="F18" s="69">
        <f t="shared" si="3"/>
        <v>0.26794258373205743</v>
      </c>
      <c r="G18" s="70">
        <f>IFERROR(INDEX(阻害要因×疾患名[#All],MATCH($AI18,阻害要因×疾患名[[#All],[値]],0),MATCH($AP$4,阻害要因×疾患名[#Headers],0)),0)</f>
        <v>539</v>
      </c>
      <c r="H18" s="69">
        <f t="shared" si="4"/>
        <v>0.40104166666666669</v>
      </c>
      <c r="I18" s="70">
        <f>IFERROR(INDEX(阻害要因×疾患名[#All],MATCH($AI18,阻害要因×疾患名[[#All],[値]],0),MATCH($AQ$4,阻害要因×疾患名[#Headers],0)),0)+IFERROR(INDEX(阻害要因×疾患名[#All],MATCH($AI18,阻害要因×疾患名[[#All],[値]],0),MATCH($AR$4,阻害要因×疾患名[#Headers],0)),0)</f>
        <v>116</v>
      </c>
      <c r="J18" s="69">
        <f t="shared" si="5"/>
        <v>0.45136186770428016</v>
      </c>
      <c r="K18" s="39">
        <f t="shared" si="1"/>
        <v>903</v>
      </c>
      <c r="L18" s="56" t="s">
        <v>168</v>
      </c>
      <c r="M18" s="66">
        <v>48</v>
      </c>
      <c r="N18" s="66">
        <v>10</v>
      </c>
      <c r="O18" s="66">
        <v>56</v>
      </c>
      <c r="P18" s="60">
        <v>35</v>
      </c>
      <c r="Q18" s="60">
        <v>3</v>
      </c>
      <c r="R18" s="60">
        <v>5</v>
      </c>
      <c r="S18" s="60">
        <v>539</v>
      </c>
      <c r="T18" s="60">
        <v>49</v>
      </c>
      <c r="U18" s="60">
        <v>67</v>
      </c>
      <c r="V18" s="60">
        <v>15</v>
      </c>
      <c r="W18" s="60">
        <v>0</v>
      </c>
      <c r="X18" s="60">
        <v>2</v>
      </c>
      <c r="Y18" s="60">
        <v>14</v>
      </c>
      <c r="Z18" s="60">
        <v>4</v>
      </c>
      <c r="AA18" s="60">
        <v>1</v>
      </c>
      <c r="AB18" s="60">
        <v>2</v>
      </c>
      <c r="AC18" s="60">
        <v>5</v>
      </c>
      <c r="AI18" s="56" t="s">
        <v>168</v>
      </c>
    </row>
    <row r="19" spans="2:35" ht="18.75" customHeight="1" x14ac:dyDescent="0.15">
      <c r="B19" s="105" t="s">
        <v>40</v>
      </c>
      <c r="C19" s="70">
        <f>IFERROR(INDEX(阻害要因×疾患名[#All],MATCH($AI19,阻害要因×疾患名[[#All],[値]],0),MATCH($AJ$4,阻害要因×疾患名[#Headers],0)),0)+IFERROR(INDEX(阻害要因×疾患名[#All],MATCH($AI19,阻害要因×疾患名[[#All],[値]],0),MATCH($AK$4,阻害要因×疾患名[#Headers],0)),0)</f>
        <v>87</v>
      </c>
      <c r="D19" s="69">
        <f t="shared" si="2"/>
        <v>0.41428571428571431</v>
      </c>
      <c r="E19" s="70">
        <f>IFERROR(INDEX(阻害要因×疾患名[#All],MATCH($AI19,阻害要因×疾患名[[#All],[値]],0),MATCH($AL$4,阻害要因×疾患名[#Headers],0)),0)</f>
        <v>86</v>
      </c>
      <c r="F19" s="69">
        <f t="shared" si="3"/>
        <v>0.41148325358851673</v>
      </c>
      <c r="G19" s="70">
        <f>IFERROR(INDEX(阻害要因×疾患名[#All],MATCH($AI19,阻害要因×疾患名[[#All],[値]],0),MATCH($AP$4,阻害要因×疾患名[#Headers],0)),0)</f>
        <v>645</v>
      </c>
      <c r="H19" s="69">
        <f t="shared" si="4"/>
        <v>0.4799107142857143</v>
      </c>
      <c r="I19" s="70">
        <f>IFERROR(INDEX(阻害要因×疾患名[#All],MATCH($AI19,阻害要因×疾患名[[#All],[値]],0),MATCH($AQ$4,阻害要因×疾患名[#Headers],0)),0)+IFERROR(INDEX(阻害要因×疾患名[#All],MATCH($AI19,阻害要因×疾患名[[#All],[値]],0),MATCH($AR$4,阻害要因×疾患名[#Headers],0)),0)</f>
        <v>85</v>
      </c>
      <c r="J19" s="69">
        <f t="shared" si="5"/>
        <v>0.33073929961089493</v>
      </c>
      <c r="K19" s="39">
        <f t="shared" si="1"/>
        <v>660</v>
      </c>
      <c r="L19" s="56" t="s">
        <v>169</v>
      </c>
      <c r="M19" s="66">
        <v>73</v>
      </c>
      <c r="N19" s="66">
        <v>14</v>
      </c>
      <c r="O19" s="66">
        <v>86</v>
      </c>
      <c r="P19" s="60">
        <v>58</v>
      </c>
      <c r="Q19" s="60">
        <v>3</v>
      </c>
      <c r="R19" s="60">
        <v>3</v>
      </c>
      <c r="S19" s="60">
        <v>645</v>
      </c>
      <c r="T19" s="60">
        <v>50</v>
      </c>
      <c r="U19" s="60">
        <v>35</v>
      </c>
      <c r="V19" s="60">
        <v>18</v>
      </c>
      <c r="W19" s="60">
        <v>1</v>
      </c>
      <c r="X19" s="60">
        <v>4</v>
      </c>
      <c r="Y19" s="60">
        <v>23</v>
      </c>
      <c r="Z19" s="60">
        <v>9</v>
      </c>
      <c r="AA19" s="60">
        <v>2</v>
      </c>
      <c r="AB19" s="60">
        <v>5</v>
      </c>
      <c r="AC19" s="60">
        <v>4</v>
      </c>
      <c r="AI19" s="56" t="s">
        <v>169</v>
      </c>
    </row>
    <row r="20" spans="2:35" ht="18.75" customHeight="1" x14ac:dyDescent="0.15">
      <c r="B20" s="105" t="s">
        <v>41</v>
      </c>
      <c r="C20" s="72">
        <f>IFERROR(INDEX(阻害要因×疾患名[#All],MATCH($AI20,阻害要因×疾患名[[#All],[値]],0),MATCH($AJ$4,阻害要因×疾患名[#Headers],0)),0)+IFERROR(INDEX(阻害要因×疾患名[#All],MATCH($AI20,阻害要因×疾患名[[#All],[値]],0),MATCH($AK$4,阻害要因×疾患名[#Headers],0)),0)</f>
        <v>47</v>
      </c>
      <c r="D20" s="82">
        <f t="shared" si="2"/>
        <v>0.22380952380952382</v>
      </c>
      <c r="E20" s="72">
        <f>IFERROR(INDEX(阻害要因×疾患名[#All],MATCH($AI20,阻害要因×疾患名[[#All],[値]],0),MATCH($AL$4,阻害要因×疾患名[#Headers],0)),0)</f>
        <v>56</v>
      </c>
      <c r="F20" s="82">
        <f t="shared" si="3"/>
        <v>0.26794258373205743</v>
      </c>
      <c r="G20" s="72">
        <f>IFERROR(INDEX(阻害要因×疾患名[#All],MATCH($AI20,阻害要因×疾患名[[#All],[値]],0),MATCH($AP$4,阻害要因×疾患名[#Headers],0)),0)</f>
        <v>456</v>
      </c>
      <c r="H20" s="82">
        <f t="shared" si="4"/>
        <v>0.3392857142857143</v>
      </c>
      <c r="I20" s="72">
        <f>IFERROR(INDEX(阻害要因×疾患名[#All],MATCH($AI20,阻害要因×疾患名[[#All],[値]],0),MATCH($AQ$4,阻害要因×疾患名[#Headers],0)),0)+IFERROR(INDEX(阻害要因×疾患名[#All],MATCH($AI20,阻害要因×疾患名[[#All],[値]],0),MATCH($AR$4,阻害要因×疾患名[#Headers],0)),0)</f>
        <v>101</v>
      </c>
      <c r="J20" s="82">
        <f t="shared" si="5"/>
        <v>0.39299610894941633</v>
      </c>
      <c r="K20" s="39">
        <f t="shared" si="1"/>
        <v>213</v>
      </c>
      <c r="L20" s="56" t="s">
        <v>170</v>
      </c>
      <c r="M20" s="66">
        <v>40</v>
      </c>
      <c r="N20" s="66">
        <v>7</v>
      </c>
      <c r="O20" s="66">
        <v>56</v>
      </c>
      <c r="P20" s="60">
        <v>23</v>
      </c>
      <c r="Q20" s="60">
        <v>3</v>
      </c>
      <c r="R20" s="60">
        <v>3</v>
      </c>
      <c r="S20" s="60">
        <v>456</v>
      </c>
      <c r="T20" s="60">
        <v>49</v>
      </c>
      <c r="U20" s="60">
        <v>52</v>
      </c>
      <c r="V20" s="60">
        <v>19</v>
      </c>
      <c r="W20" s="60">
        <v>2</v>
      </c>
      <c r="X20" s="60">
        <v>4</v>
      </c>
      <c r="Y20" s="60">
        <v>15</v>
      </c>
      <c r="Z20" s="60">
        <v>6</v>
      </c>
      <c r="AA20" s="60">
        <v>2</v>
      </c>
      <c r="AB20" s="60">
        <v>3</v>
      </c>
      <c r="AC20" s="60">
        <v>5</v>
      </c>
      <c r="AI20" s="56" t="s">
        <v>170</v>
      </c>
    </row>
    <row r="21" spans="2:35" ht="18.75" customHeight="1" x14ac:dyDescent="0.15">
      <c r="B21" s="105" t="s">
        <v>42</v>
      </c>
      <c r="C21" s="70">
        <f>IFERROR(INDEX(阻害要因×疾患名[#All],MATCH($AI21,阻害要因×疾患名[[#All],[値]],0),MATCH($AJ$4,阻害要因×疾患名[#Headers],0)),0)+IFERROR(INDEX(阻害要因×疾患名[#All],MATCH($AI21,阻害要因×疾患名[[#All],[値]],0),MATCH($AK$4,阻害要因×疾患名[#Headers],0)),0)</f>
        <v>19</v>
      </c>
      <c r="D21" s="69">
        <f t="shared" si="2"/>
        <v>9.0476190476190474E-2</v>
      </c>
      <c r="E21" s="70">
        <f>IFERROR(INDEX(阻害要因×疾患名[#All],MATCH($AI21,阻害要因×疾患名[[#All],[値]],0),MATCH($AL$4,阻害要因×疾患名[#Headers],0)),0)</f>
        <v>21</v>
      </c>
      <c r="F21" s="69">
        <f t="shared" si="3"/>
        <v>0.10047846889952153</v>
      </c>
      <c r="G21" s="70">
        <f>IFERROR(INDEX(阻害要因×疾患名[#All],MATCH($AI21,阻害要因×疾患名[[#All],[値]],0),MATCH($AP$4,阻害要因×疾患名[#Headers],0)),0)</f>
        <v>152</v>
      </c>
      <c r="H21" s="69">
        <f t="shared" si="4"/>
        <v>0.1130952380952381</v>
      </c>
      <c r="I21" s="70">
        <f>IFERROR(INDEX(阻害要因×疾患名[#All],MATCH($AI21,阻害要因×疾患名[[#All],[値]],0),MATCH($AQ$4,阻害要因×疾患名[#Headers],0)),0)+IFERROR(INDEX(阻害要因×疾患名[#All],MATCH($AI21,阻害要因×疾患名[[#All],[値]],0),MATCH($AR$4,阻害要因×疾患名[#Headers],0)),0)</f>
        <v>21</v>
      </c>
      <c r="J21" s="69">
        <f t="shared" si="5"/>
        <v>8.171206225680934E-2</v>
      </c>
      <c r="K21" s="39">
        <f t="shared" si="1"/>
        <v>741</v>
      </c>
      <c r="L21" s="56" t="s">
        <v>171</v>
      </c>
      <c r="M21" s="66">
        <v>14</v>
      </c>
      <c r="N21" s="66">
        <v>5</v>
      </c>
      <c r="O21" s="66">
        <v>21</v>
      </c>
      <c r="P21" s="60">
        <v>10</v>
      </c>
      <c r="Q21" s="60">
        <v>1</v>
      </c>
      <c r="R21" s="60">
        <v>2</v>
      </c>
      <c r="S21" s="60">
        <v>152</v>
      </c>
      <c r="T21" s="60">
        <v>11</v>
      </c>
      <c r="U21" s="60">
        <v>10</v>
      </c>
      <c r="V21" s="60">
        <v>6</v>
      </c>
      <c r="W21" s="60">
        <v>0</v>
      </c>
      <c r="X21" s="60">
        <v>2</v>
      </c>
      <c r="Y21" s="60">
        <v>6</v>
      </c>
      <c r="Z21" s="60">
        <v>3</v>
      </c>
      <c r="AA21" s="60">
        <v>3</v>
      </c>
      <c r="AB21" s="60">
        <v>1</v>
      </c>
      <c r="AC21" s="60">
        <v>2</v>
      </c>
      <c r="AI21" s="56" t="s">
        <v>171</v>
      </c>
    </row>
    <row r="22" spans="2:35" ht="18.75" customHeight="1" x14ac:dyDescent="0.15">
      <c r="B22" s="105" t="s">
        <v>43</v>
      </c>
      <c r="C22" s="70">
        <f>IFERROR(INDEX(阻害要因×疾患名[#All],MATCH($AI22,阻害要因×疾患名[[#All],[値]],0),MATCH($AJ$4,阻害要因×疾患名[#Headers],0)),0)+IFERROR(INDEX(阻害要因×疾患名[#All],MATCH($AI22,阻害要因×疾患名[[#All],[値]],0),MATCH($AK$4,阻害要因×疾患名[#Headers],0)),0)</f>
        <v>78</v>
      </c>
      <c r="D22" s="69">
        <f t="shared" si="2"/>
        <v>0.37142857142857144</v>
      </c>
      <c r="E22" s="70">
        <f>IFERROR(INDEX(阻害要因×疾患名[#All],MATCH($AI22,阻害要因×疾患名[[#All],[値]],0),MATCH($AL$4,阻害要因×疾患名[#Headers],0)),0)</f>
        <v>72</v>
      </c>
      <c r="F22" s="69">
        <f t="shared" si="3"/>
        <v>0.34449760765550241</v>
      </c>
      <c r="G22" s="70">
        <f>IFERROR(INDEX(阻害要因×疾患名[#All],MATCH($AI22,阻害要因×疾患名[[#All],[値]],0),MATCH($AP$4,阻害要因×疾患名[#Headers],0)),0)</f>
        <v>513</v>
      </c>
      <c r="H22" s="69">
        <f t="shared" si="4"/>
        <v>0.38169642857142855</v>
      </c>
      <c r="I22" s="70">
        <f>IFERROR(INDEX(阻害要因×疾患名[#All],MATCH($AI22,阻害要因×疾患名[[#All],[値]],0),MATCH($AQ$4,阻害要因×疾患名[#Headers],0)),0)+IFERROR(INDEX(阻害要因×疾患名[#All],MATCH($AI22,阻害要因×疾患名[[#All],[値]],0),MATCH($AR$4,阻害要因×疾患名[#Headers],0)),0)</f>
        <v>78</v>
      </c>
      <c r="J22" s="69">
        <f t="shared" si="5"/>
        <v>0.30350194552529181</v>
      </c>
      <c r="K22" s="39">
        <f t="shared" si="1"/>
        <v>366</v>
      </c>
      <c r="L22" s="56" t="s">
        <v>172</v>
      </c>
      <c r="M22" s="66">
        <v>64</v>
      </c>
      <c r="N22" s="66">
        <v>14</v>
      </c>
      <c r="O22" s="66">
        <v>72</v>
      </c>
      <c r="P22" s="60">
        <v>44</v>
      </c>
      <c r="Q22" s="60">
        <v>4</v>
      </c>
      <c r="R22" s="60">
        <v>4</v>
      </c>
      <c r="S22" s="60">
        <v>513</v>
      </c>
      <c r="T22" s="60">
        <v>41</v>
      </c>
      <c r="U22" s="60">
        <v>37</v>
      </c>
      <c r="V22" s="60">
        <v>14</v>
      </c>
      <c r="W22" s="60">
        <v>2</v>
      </c>
      <c r="X22" s="60">
        <v>3</v>
      </c>
      <c r="Y22" s="60">
        <v>20</v>
      </c>
      <c r="Z22" s="60">
        <v>4</v>
      </c>
      <c r="AA22" s="60">
        <v>1</v>
      </c>
      <c r="AB22" s="60">
        <v>4</v>
      </c>
      <c r="AC22" s="60">
        <v>6</v>
      </c>
      <c r="AI22" s="56" t="s">
        <v>172</v>
      </c>
    </row>
    <row r="23" spans="2:35" ht="18.75" customHeight="1" x14ac:dyDescent="0.15">
      <c r="B23" s="105" t="s">
        <v>44</v>
      </c>
      <c r="C23" s="70">
        <f>IFERROR(INDEX(阻害要因×疾患名[#All],MATCH($AI23,阻害要因×疾患名[[#All],[値]],0),MATCH($AJ$4,阻害要因×疾患名[#Headers],0)),0)+IFERROR(INDEX(阻害要因×疾患名[#All],MATCH($AI23,阻害要因×疾患名[[#All],[値]],0),MATCH($AK$4,阻害要因×疾患名[#Headers],0)),0)</f>
        <v>24</v>
      </c>
      <c r="D23" s="69">
        <f t="shared" si="2"/>
        <v>0.11428571428571428</v>
      </c>
      <c r="E23" s="70">
        <f>IFERROR(INDEX(阻害要因×疾患名[#All],MATCH($AI23,阻害要因×疾患名[[#All],[値]],0),MATCH($AL$4,阻害要因×疾患名[#Headers],0)),0)</f>
        <v>37</v>
      </c>
      <c r="F23" s="69">
        <f t="shared" si="3"/>
        <v>0.17703349282296652</v>
      </c>
      <c r="G23" s="70">
        <f>IFERROR(INDEX(阻害要因×疾患名[#All],MATCH($AI23,阻害要因×疾患名[[#All],[値]],0),MATCH($AP$4,阻害要因×疾患名[#Headers],0)),0)</f>
        <v>253</v>
      </c>
      <c r="H23" s="69">
        <f t="shared" si="4"/>
        <v>0.18824404761904762</v>
      </c>
      <c r="I23" s="70">
        <f>IFERROR(INDEX(阻害要因×疾患名[#All],MATCH($AI23,阻害要因×疾患名[[#All],[値]],0),MATCH($AQ$4,阻害要因×疾患名[#Headers],0)),0)+IFERROR(INDEX(阻害要因×疾患名[#All],MATCH($AI23,阻害要因×疾患名[[#All],[値]],0),MATCH($AR$4,阻害要因×疾患名[#Headers],0)),0)</f>
        <v>52</v>
      </c>
      <c r="J23" s="69">
        <f t="shared" si="5"/>
        <v>0.20233463035019456</v>
      </c>
      <c r="K23" s="39">
        <f t="shared" si="1"/>
        <v>453</v>
      </c>
      <c r="L23" s="56" t="s">
        <v>173</v>
      </c>
      <c r="M23" s="66">
        <v>18</v>
      </c>
      <c r="N23" s="66">
        <v>6</v>
      </c>
      <c r="O23" s="66">
        <v>37</v>
      </c>
      <c r="P23" s="60">
        <v>24</v>
      </c>
      <c r="Q23" s="60">
        <v>3</v>
      </c>
      <c r="R23" s="60">
        <v>3</v>
      </c>
      <c r="S23" s="60">
        <v>253</v>
      </c>
      <c r="T23" s="60">
        <v>24</v>
      </c>
      <c r="U23" s="60">
        <v>28</v>
      </c>
      <c r="V23" s="60">
        <v>10</v>
      </c>
      <c r="W23" s="60">
        <v>1</v>
      </c>
      <c r="X23" s="60">
        <v>2</v>
      </c>
      <c r="Y23" s="60">
        <v>9</v>
      </c>
      <c r="Z23" s="60">
        <v>1</v>
      </c>
      <c r="AA23" s="60">
        <v>3</v>
      </c>
      <c r="AB23" s="60">
        <v>1</v>
      </c>
      <c r="AC23" s="60">
        <v>2</v>
      </c>
      <c r="AI23" s="56" t="s">
        <v>173</v>
      </c>
    </row>
    <row r="24" spans="2:35" ht="18.75" customHeight="1" x14ac:dyDescent="0.15">
      <c r="B24" s="105" t="s">
        <v>247</v>
      </c>
      <c r="C24" s="70">
        <f>IFERROR(INDEX(阻害要因×疾患名[#All],MATCH($AI24,阻害要因×疾患名[[#All],[値]],0),MATCH($AJ$4,阻害要因×疾患名[#Headers],0)),0)+IFERROR(INDEX(阻害要因×疾患名[#All],MATCH($AI24,阻害要因×疾患名[[#All],[値]],0),MATCH($AK$4,阻害要因×疾患名[#Headers],0)),0)</f>
        <v>45</v>
      </c>
      <c r="D24" s="69">
        <f t="shared" si="2"/>
        <v>0.21428571428571427</v>
      </c>
      <c r="E24" s="70">
        <f>IFERROR(INDEX(阻害要因×疾患名[#All],MATCH($AI24,阻害要因×疾患名[[#All],[値]],0),MATCH($AL$4,阻害要因×疾患名[#Headers],0)),0)</f>
        <v>50</v>
      </c>
      <c r="F24" s="69">
        <f t="shared" si="3"/>
        <v>0.23923444976076555</v>
      </c>
      <c r="G24" s="70">
        <f>IFERROR(INDEX(阻害要因×疾患名[#All],MATCH($AI24,阻害要因×疾患名[[#All],[値]],0),MATCH($AP$4,阻害要因×疾患名[#Headers],0)),0)</f>
        <v>322</v>
      </c>
      <c r="H24" s="69">
        <f t="shared" si="4"/>
        <v>0.23958333333333334</v>
      </c>
      <c r="I24" s="70">
        <f>IFERROR(INDEX(阻害要因×疾患名[#All],MATCH($AI24,阻害要因×疾患名[[#All],[値]],0),MATCH($AQ$4,阻害要因×疾患名[#Headers],0)),0)+IFERROR(INDEX(阻害要因×疾患名[#All],MATCH($AI24,阻害要因×疾患名[[#All],[値]],0),MATCH($AR$4,阻害要因×疾患名[#Headers],0)),0)</f>
        <v>36</v>
      </c>
      <c r="J24" s="69">
        <f t="shared" si="5"/>
        <v>0.14007782101167315</v>
      </c>
      <c r="K24" s="39">
        <f t="shared" si="1"/>
        <v>742</v>
      </c>
      <c r="L24" s="56" t="s">
        <v>174</v>
      </c>
      <c r="M24" s="66">
        <v>35</v>
      </c>
      <c r="N24" s="66">
        <v>10</v>
      </c>
      <c r="O24" s="66">
        <v>50</v>
      </c>
      <c r="P24" s="60">
        <v>23</v>
      </c>
      <c r="Q24" s="60">
        <v>0</v>
      </c>
      <c r="R24" s="60">
        <v>2</v>
      </c>
      <c r="S24" s="60">
        <v>322</v>
      </c>
      <c r="T24" s="60">
        <v>18</v>
      </c>
      <c r="U24" s="60">
        <v>18</v>
      </c>
      <c r="V24" s="60">
        <v>10</v>
      </c>
      <c r="W24" s="60">
        <v>1</v>
      </c>
      <c r="X24" s="60">
        <v>0</v>
      </c>
      <c r="Y24" s="60">
        <v>10</v>
      </c>
      <c r="Z24" s="60">
        <v>8</v>
      </c>
      <c r="AA24" s="60">
        <v>1</v>
      </c>
      <c r="AB24" s="60">
        <v>3</v>
      </c>
      <c r="AC24" s="60">
        <v>6</v>
      </c>
      <c r="AI24" s="56" t="s">
        <v>174</v>
      </c>
    </row>
    <row r="25" spans="2:35" ht="18.75" customHeight="1" x14ac:dyDescent="0.15">
      <c r="B25" s="105" t="s">
        <v>46</v>
      </c>
      <c r="C25" s="106">
        <f>IFERROR(INDEX(阻害要因×疾患名[#All],MATCH($AI25,阻害要因×疾患名[[#All],[値]],0),MATCH($AJ$4,阻害要因×疾患名[#Headers],0)),0)+IFERROR(INDEX(阻害要因×疾患名[#All],MATCH($AI25,阻害要因×疾患名[[#All],[値]],0),MATCH($AK$4,阻害要因×疾患名[#Headers],0)),0)</f>
        <v>108</v>
      </c>
      <c r="D25" s="69">
        <f t="shared" si="2"/>
        <v>0.51428571428571423</v>
      </c>
      <c r="E25" s="70">
        <f>IFERROR(INDEX(阻害要因×疾患名[#All],MATCH($AI25,阻害要因×疾患名[[#All],[値]],0),MATCH($AL$4,阻害要因×疾患名[#Headers],0)),0)</f>
        <v>91</v>
      </c>
      <c r="F25" s="69">
        <f t="shared" si="3"/>
        <v>0.4354066985645933</v>
      </c>
      <c r="G25" s="70">
        <f>IFERROR(INDEX(阻害要因×疾患名[#All],MATCH($AI25,阻害要因×疾患名[[#All],[値]],0),MATCH($AP$4,阻害要因×疾患名[#Headers],0)),0)</f>
        <v>472</v>
      </c>
      <c r="H25" s="69">
        <f t="shared" si="4"/>
        <v>0.35119047619047616</v>
      </c>
      <c r="I25" s="70">
        <f>IFERROR(INDEX(阻害要因×疾患名[#All],MATCH($AI25,阻害要因×疾患名[[#All],[値]],0),MATCH($AQ$4,阻害要因×疾患名[#Headers],0)),0)+IFERROR(INDEX(阻害要因×疾患名[#All],MATCH($AI25,阻害要因×疾患名[[#All],[値]],0),MATCH($AR$4,阻害要因×疾患名[#Headers],0)),0)</f>
        <v>71</v>
      </c>
      <c r="J25" s="69">
        <f t="shared" si="5"/>
        <v>0.27626459143968873</v>
      </c>
      <c r="K25" s="39">
        <f t="shared" si="1"/>
        <v>86</v>
      </c>
      <c r="L25" s="56" t="s">
        <v>175</v>
      </c>
      <c r="M25" s="66">
        <v>91</v>
      </c>
      <c r="N25" s="66">
        <v>17</v>
      </c>
      <c r="O25" s="66">
        <v>91</v>
      </c>
      <c r="P25" s="60">
        <v>43</v>
      </c>
      <c r="Q25" s="60">
        <v>5</v>
      </c>
      <c r="R25" s="60">
        <v>9</v>
      </c>
      <c r="S25" s="60">
        <v>472</v>
      </c>
      <c r="T25" s="60">
        <v>35</v>
      </c>
      <c r="U25" s="60">
        <v>36</v>
      </c>
      <c r="V25" s="60">
        <v>20</v>
      </c>
      <c r="W25" s="60">
        <v>1</v>
      </c>
      <c r="X25" s="60">
        <v>1</v>
      </c>
      <c r="Y25" s="60">
        <v>21</v>
      </c>
      <c r="Z25" s="60">
        <v>4</v>
      </c>
      <c r="AA25" s="60">
        <v>2</v>
      </c>
      <c r="AB25" s="60">
        <v>2</v>
      </c>
      <c r="AC25" s="60">
        <v>6</v>
      </c>
      <c r="AI25" s="56" t="s">
        <v>175</v>
      </c>
    </row>
    <row r="26" spans="2:35" ht="18.75" customHeight="1" x14ac:dyDescent="0.15">
      <c r="B26" s="105" t="s">
        <v>47</v>
      </c>
      <c r="C26" s="70">
        <f>IFERROR(INDEX(阻害要因×疾患名[#All],MATCH($AI26,阻害要因×疾患名[[#All],[値]],0),MATCH($AJ$4,阻害要因×疾患名[#Headers],0)),0)+IFERROR(INDEX(阻害要因×疾患名[#All],MATCH($AI26,阻害要因×疾患名[[#All],[値]],0),MATCH($AK$4,阻害要因×疾患名[#Headers],0)),0)</f>
        <v>11</v>
      </c>
      <c r="D26" s="69">
        <f t="shared" si="2"/>
        <v>5.2380952380952382E-2</v>
      </c>
      <c r="E26" s="70">
        <f>IFERROR(INDEX(阻害要因×疾患名[#All],MATCH($AI26,阻害要因×疾患名[[#All],[値]],0),MATCH($AL$4,阻害要因×疾患名[#Headers],0)),0)</f>
        <v>11</v>
      </c>
      <c r="F26" s="69">
        <f t="shared" si="3"/>
        <v>5.2631578947368418E-2</v>
      </c>
      <c r="G26" s="70">
        <f>IFERROR(INDEX(阻害要因×疾患名[#All],MATCH($AI26,阻害要因×疾患名[[#All],[値]],0),MATCH($AP$4,阻害要因×疾患名[#Headers],0)),0)</f>
        <v>51</v>
      </c>
      <c r="H26" s="69">
        <f t="shared" si="4"/>
        <v>3.7946428571428568E-2</v>
      </c>
      <c r="I26" s="70">
        <f>IFERROR(INDEX(阻害要因×疾患名[#All],MATCH($AI26,阻害要因×疾患名[[#All],[値]],0),MATCH($AQ$4,阻害要因×疾患名[#Headers],0)),0)+IFERROR(INDEX(阻害要因×疾患名[#All],MATCH($AI26,阻害要因×疾患名[[#All],[値]],0),MATCH($AR$4,阻害要因×疾患名[#Headers],0)),0)</f>
        <v>13</v>
      </c>
      <c r="J26" s="69">
        <f t="shared" si="5"/>
        <v>5.0583657587548639E-2</v>
      </c>
      <c r="K26" s="39">
        <f t="shared" si="1"/>
        <v>140</v>
      </c>
      <c r="L26" s="56" t="s">
        <v>176</v>
      </c>
      <c r="M26" s="66">
        <v>7</v>
      </c>
      <c r="N26" s="66">
        <v>4</v>
      </c>
      <c r="O26" s="66">
        <v>11</v>
      </c>
      <c r="P26" s="60">
        <v>5</v>
      </c>
      <c r="Q26" s="60">
        <v>0</v>
      </c>
      <c r="R26" s="60">
        <v>2</v>
      </c>
      <c r="S26" s="60">
        <v>51</v>
      </c>
      <c r="T26" s="60">
        <v>2</v>
      </c>
      <c r="U26" s="60">
        <v>11</v>
      </c>
      <c r="V26" s="60">
        <v>3</v>
      </c>
      <c r="W26" s="60">
        <v>0</v>
      </c>
      <c r="X26" s="60">
        <v>0</v>
      </c>
      <c r="Y26" s="60">
        <v>3</v>
      </c>
      <c r="Z26" s="60">
        <v>1</v>
      </c>
      <c r="AA26" s="60">
        <v>0</v>
      </c>
      <c r="AB26" s="60">
        <v>0</v>
      </c>
      <c r="AC26" s="60">
        <v>1</v>
      </c>
      <c r="AI26" s="56" t="s">
        <v>176</v>
      </c>
    </row>
    <row r="27" spans="2:35" ht="18.75" customHeight="1" x14ac:dyDescent="0.15">
      <c r="B27" s="105" t="s">
        <v>48</v>
      </c>
      <c r="C27" s="70">
        <f>IFERROR(INDEX(阻害要因×疾患名[#All],MATCH($AI27,阻害要因×疾患名[[#All],[値]],0),MATCH($AJ$4,阻害要因×疾患名[#Headers],0)),0)+IFERROR(INDEX(阻害要因×疾患名[#All],MATCH($AI27,阻害要因×疾患名[[#All],[値]],0),MATCH($AK$4,阻害要因×疾患名[#Headers],0)),0)</f>
        <v>18</v>
      </c>
      <c r="D27" s="69">
        <f t="shared" si="2"/>
        <v>8.5714285714285715E-2</v>
      </c>
      <c r="E27" s="70">
        <f>IFERROR(INDEX(阻害要因×疾患名[#All],MATCH($AI27,阻害要因×疾患名[[#All],[値]],0),MATCH($AL$4,阻害要因×疾患名[#Headers],0)),0)</f>
        <v>13</v>
      </c>
      <c r="F27" s="69">
        <f t="shared" si="3"/>
        <v>6.2200956937799042E-2</v>
      </c>
      <c r="G27" s="70">
        <f>IFERROR(INDEX(阻害要因×疾患名[#All],MATCH($AI27,阻害要因×疾患名[[#All],[値]],0),MATCH($AP$4,阻害要因×疾患名[#Headers],0)),0)</f>
        <v>85</v>
      </c>
      <c r="H27" s="69">
        <f t="shared" si="4"/>
        <v>6.3244047619047616E-2</v>
      </c>
      <c r="I27" s="70">
        <f>IFERROR(INDEX(阻害要因×疾患名[#All],MATCH($AI27,阻害要因×疾患名[[#All],[値]],0),MATCH($AQ$4,阻害要因×疾患名[#Headers],0)),0)+IFERROR(INDEX(阻害要因×疾患名[#All],MATCH($AI27,阻害要因×疾患名[[#All],[値]],0),MATCH($AR$4,阻害要因×疾患名[#Headers],0)),0)</f>
        <v>24</v>
      </c>
      <c r="J27" s="69">
        <f t="shared" si="5"/>
        <v>9.3385214007782102E-2</v>
      </c>
      <c r="K27" s="39">
        <f t="shared" si="1"/>
        <v>25</v>
      </c>
      <c r="L27" s="56" t="s">
        <v>177</v>
      </c>
      <c r="M27" s="66">
        <v>12</v>
      </c>
      <c r="N27" s="66">
        <v>6</v>
      </c>
      <c r="O27" s="66">
        <v>13</v>
      </c>
      <c r="P27" s="60">
        <v>7</v>
      </c>
      <c r="Q27" s="60">
        <v>1</v>
      </c>
      <c r="R27" s="60">
        <v>0</v>
      </c>
      <c r="S27" s="60">
        <v>85</v>
      </c>
      <c r="T27" s="60">
        <v>11</v>
      </c>
      <c r="U27" s="60">
        <v>13</v>
      </c>
      <c r="V27" s="60">
        <v>4</v>
      </c>
      <c r="W27" s="60">
        <v>0</v>
      </c>
      <c r="X27" s="60">
        <v>1</v>
      </c>
      <c r="Y27" s="60">
        <v>6</v>
      </c>
      <c r="Z27" s="60">
        <v>3</v>
      </c>
      <c r="AA27" s="60">
        <v>1</v>
      </c>
      <c r="AB27" s="60">
        <v>1</v>
      </c>
      <c r="AC27" s="60">
        <v>1</v>
      </c>
      <c r="AI27" s="56" t="s">
        <v>177</v>
      </c>
    </row>
    <row r="28" spans="2:35" ht="18.75" customHeight="1" x14ac:dyDescent="0.15">
      <c r="B28" s="105" t="s">
        <v>49</v>
      </c>
      <c r="C28" s="68">
        <f>IFERROR(INDEX(阻害要因×疾患名[#All],MATCH($AI28,阻害要因×疾患名[[#All],[値]],0),MATCH($AJ$4,阻害要因×疾患名[#Headers],0)),0)+IFERROR(INDEX(阻害要因×疾患名[#All],MATCH($AI28,阻害要因×疾患名[[#All],[値]],0),MATCH($AK$4,阻害要因×疾患名[#Headers],0)),0)</f>
        <v>9</v>
      </c>
      <c r="D28" s="73">
        <f t="shared" si="2"/>
        <v>4.2857142857142858E-2</v>
      </c>
      <c r="E28" s="68">
        <f>IFERROR(INDEX(阻害要因×疾患名[#All],MATCH($AI28,阻害要因×疾患名[[#All],[値]],0),MATCH($AL$4,阻害要因×疾患名[#Headers],0)),0)</f>
        <v>2</v>
      </c>
      <c r="F28" s="73">
        <f t="shared" si="3"/>
        <v>9.5693779904306216E-3</v>
      </c>
      <c r="G28" s="68">
        <f>IFERROR(INDEX(阻害要因×疾患名[#All],MATCH($AI28,阻害要因×疾患名[[#All],[値]],0),MATCH($AP$4,阻害要因×疾患名[#Headers],0)),0)</f>
        <v>11</v>
      </c>
      <c r="H28" s="73">
        <f t="shared" si="4"/>
        <v>8.1845238095238099E-3</v>
      </c>
      <c r="I28" s="68">
        <f>IFERROR(INDEX(阻害要因×疾患名[#All],MATCH($AI28,阻害要因×疾患名[[#All],[値]],0),MATCH($AQ$4,阻害要因×疾患名[#Headers],0)),0)+IFERROR(INDEX(阻害要因×疾患名[#All],MATCH($AI28,阻害要因×疾患名[[#All],[値]],0),MATCH($AR$4,阻害要因×疾患名[#Headers],0)),0)</f>
        <v>3</v>
      </c>
      <c r="J28" s="73">
        <f t="shared" si="5"/>
        <v>1.1673151750972763E-2</v>
      </c>
      <c r="K28" s="39">
        <f t="shared" si="1"/>
        <v>205</v>
      </c>
      <c r="L28" s="56" t="s">
        <v>178</v>
      </c>
      <c r="M28" s="66">
        <v>6</v>
      </c>
      <c r="N28" s="66">
        <v>3</v>
      </c>
      <c r="O28" s="60">
        <v>2</v>
      </c>
      <c r="P28" s="60">
        <v>0</v>
      </c>
      <c r="Q28" s="60">
        <v>0</v>
      </c>
      <c r="R28" s="60">
        <v>0</v>
      </c>
      <c r="S28" s="60">
        <v>11</v>
      </c>
      <c r="T28" s="60">
        <v>3</v>
      </c>
      <c r="U28" s="60">
        <v>0</v>
      </c>
      <c r="V28" s="60">
        <v>0</v>
      </c>
      <c r="W28" s="60">
        <v>0</v>
      </c>
      <c r="X28" s="60">
        <v>0</v>
      </c>
      <c r="Y28" s="60">
        <v>2</v>
      </c>
      <c r="Z28" s="60">
        <v>0</v>
      </c>
      <c r="AA28" s="60">
        <v>0</v>
      </c>
      <c r="AB28" s="60">
        <v>0</v>
      </c>
      <c r="AC28" s="60">
        <v>0</v>
      </c>
      <c r="AI28" s="56" t="s">
        <v>178</v>
      </c>
    </row>
    <row r="29" spans="2:35" ht="18.75" customHeight="1" x14ac:dyDescent="0.15">
      <c r="B29" s="105" t="s">
        <v>50</v>
      </c>
      <c r="C29" s="106">
        <f>IFERROR(INDEX(阻害要因×疾患名[#All],MATCH($AI29,阻害要因×疾患名[[#All],[値]],0),MATCH($AJ$4,阻害要因×疾患名[#Headers],0)),0)+IFERROR(INDEX(阻害要因×疾患名[#All],MATCH($AI29,阻害要因×疾患名[[#All],[値]],0),MATCH($AK$4,阻害要因×疾患名[#Headers],0)),0)</f>
        <v>23</v>
      </c>
      <c r="D29" s="69">
        <f t="shared" si="2"/>
        <v>0.10952380952380952</v>
      </c>
      <c r="E29" s="70">
        <f>IFERROR(INDEX(阻害要因×疾患名[#All],MATCH($AI29,阻害要因×疾患名[[#All],[値]],0),MATCH($AL$4,阻害要因×疾患名[#Headers],0)),0)</f>
        <v>27</v>
      </c>
      <c r="F29" s="69">
        <f t="shared" si="3"/>
        <v>0.12918660287081341</v>
      </c>
      <c r="G29" s="70">
        <f>IFERROR(INDEX(阻害要因×疾患名[#All],MATCH($AI29,阻害要因×疾患名[[#All],[値]],0),MATCH($AP$4,阻害要因×疾患名[#Headers],0)),0)</f>
        <v>134</v>
      </c>
      <c r="H29" s="69">
        <f t="shared" si="4"/>
        <v>9.9702380952380959E-2</v>
      </c>
      <c r="I29" s="70">
        <f>IFERROR(INDEX(阻害要因×疾患名[#All],MATCH($AI29,阻害要因×疾患名[[#All],[値]],0),MATCH($AQ$4,阻害要因×疾患名[#Headers],0)),0)+IFERROR(INDEX(阻害要因×疾患名[#All],MATCH($AI29,阻害要因×疾患名[[#All],[値]],0),MATCH($AR$4,阻害要因×疾患名[#Headers],0)),0)</f>
        <v>21</v>
      </c>
      <c r="J29" s="69">
        <f t="shared" si="5"/>
        <v>8.171206225680934E-2</v>
      </c>
      <c r="K29" s="39">
        <f t="shared" si="1"/>
        <v>248</v>
      </c>
      <c r="L29" s="56" t="s">
        <v>179</v>
      </c>
      <c r="M29" s="66">
        <v>19</v>
      </c>
      <c r="N29" s="66">
        <v>4</v>
      </c>
      <c r="O29" s="60">
        <v>27</v>
      </c>
      <c r="P29" s="60">
        <v>14</v>
      </c>
      <c r="Q29" s="60">
        <v>1</v>
      </c>
      <c r="R29" s="60">
        <v>2</v>
      </c>
      <c r="S29" s="60">
        <v>134</v>
      </c>
      <c r="T29" s="60">
        <v>12</v>
      </c>
      <c r="U29" s="60">
        <v>9</v>
      </c>
      <c r="V29" s="60">
        <v>7</v>
      </c>
      <c r="W29" s="60">
        <v>1</v>
      </c>
      <c r="X29" s="60">
        <v>0</v>
      </c>
      <c r="Y29" s="60">
        <v>13</v>
      </c>
      <c r="Z29" s="60">
        <v>3</v>
      </c>
      <c r="AA29" s="60">
        <v>1</v>
      </c>
      <c r="AB29" s="60">
        <v>1</v>
      </c>
      <c r="AC29" s="60">
        <v>3</v>
      </c>
      <c r="AI29" s="56" t="s">
        <v>179</v>
      </c>
    </row>
    <row r="30" spans="2:35" ht="18.75" customHeight="1" x14ac:dyDescent="0.15">
      <c r="B30" s="105" t="s">
        <v>51</v>
      </c>
      <c r="C30" s="106">
        <f>IFERROR(INDEX(阻害要因×疾患名[#All],MATCH($AI30,阻害要因×疾患名[[#All],[値]],0),MATCH($AJ$4,阻害要因×疾患名[#Headers],0)),0)+IFERROR(INDEX(阻害要因×疾患名[#All],MATCH($AI30,阻害要因×疾患名[[#All],[値]],0),MATCH($AK$4,阻害要因×疾患名[#Headers],0)),0)</f>
        <v>40</v>
      </c>
      <c r="D30" s="69">
        <f t="shared" si="2"/>
        <v>0.19047619047619047</v>
      </c>
      <c r="E30" s="70">
        <f>IFERROR(INDEX(阻害要因×疾患名[#All],MATCH($AI30,阻害要因×疾患名[[#All],[値]],0),MATCH($AL$4,阻害要因×疾患名[#Headers],0)),0)</f>
        <v>32</v>
      </c>
      <c r="F30" s="69">
        <f t="shared" si="3"/>
        <v>0.15311004784688995</v>
      </c>
      <c r="G30" s="70">
        <f>IFERROR(INDEX(阻害要因×疾患名[#All],MATCH($AI30,阻害要因×疾患名[[#All],[値]],0),MATCH($AP$4,阻害要因×疾患名[#Headers],0)),0)</f>
        <v>154</v>
      </c>
      <c r="H30" s="69">
        <f t="shared" si="4"/>
        <v>0.11458333333333333</v>
      </c>
      <c r="I30" s="70">
        <f>IFERROR(INDEX(阻害要因×疾患名[#All],MATCH($AI30,阻害要因×疾患名[[#All],[値]],0),MATCH($AQ$4,阻害要因×疾患名[#Headers],0)),0)+IFERROR(INDEX(阻害要因×疾患名[#All],MATCH($AI30,阻害要因×疾患名[[#All],[値]],0),MATCH($AR$4,阻害要因×疾患名[#Headers],0)),0)</f>
        <v>22</v>
      </c>
      <c r="J30" s="69">
        <f t="shared" si="5"/>
        <v>8.5603112840466927E-2</v>
      </c>
      <c r="K30" s="39">
        <f t="shared" si="1"/>
        <v>33</v>
      </c>
      <c r="L30" s="56" t="s">
        <v>180</v>
      </c>
      <c r="M30" s="66">
        <v>34</v>
      </c>
      <c r="N30" s="66">
        <v>6</v>
      </c>
      <c r="O30" s="60">
        <v>32</v>
      </c>
      <c r="P30" s="60">
        <v>16</v>
      </c>
      <c r="Q30" s="60">
        <v>2</v>
      </c>
      <c r="R30" s="60">
        <v>2</v>
      </c>
      <c r="S30" s="60">
        <v>154</v>
      </c>
      <c r="T30" s="60">
        <v>11</v>
      </c>
      <c r="U30" s="60">
        <v>11</v>
      </c>
      <c r="V30" s="60">
        <v>5</v>
      </c>
      <c r="W30" s="60">
        <v>0</v>
      </c>
      <c r="X30" s="60">
        <v>1</v>
      </c>
      <c r="Y30" s="60">
        <v>11</v>
      </c>
      <c r="Z30" s="60">
        <v>5</v>
      </c>
      <c r="AA30" s="60">
        <v>1</v>
      </c>
      <c r="AB30" s="60">
        <v>1</v>
      </c>
      <c r="AC30" s="60">
        <v>1</v>
      </c>
      <c r="AI30" s="56" t="s">
        <v>180</v>
      </c>
    </row>
    <row r="31" spans="2:35" ht="18.75" customHeight="1" x14ac:dyDescent="0.15">
      <c r="B31" s="105" t="s">
        <v>248</v>
      </c>
      <c r="C31" s="70">
        <f>IFERROR(INDEX(阻害要因×疾患名[#All],MATCH($AI31,阻害要因×疾患名[[#All],[値]],0),MATCH($AJ$4,阻害要因×疾患名[#Headers],0)),0)+IFERROR(INDEX(阻害要因×疾患名[#All],MATCH($AI31,阻害要因×疾患名[[#All],[値]],0),MATCH($AK$4,阻害要因×疾患名[#Headers],0)),0)</f>
        <v>3</v>
      </c>
      <c r="D31" s="69">
        <f t="shared" si="2"/>
        <v>1.4285714285714285E-2</v>
      </c>
      <c r="E31" s="70">
        <f>IFERROR(INDEX(阻害要因×疾患名[#All],MATCH($AI31,阻害要因×疾患名[[#All],[値]],0),MATCH($AL$4,阻害要因×疾患名[#Headers],0)),0)</f>
        <v>4</v>
      </c>
      <c r="F31" s="69">
        <f t="shared" si="3"/>
        <v>1.9138755980861243E-2</v>
      </c>
      <c r="G31" s="70">
        <f>IFERROR(INDEX(阻害要因×疾患名[#All],MATCH($AI31,阻害要因×疾患名[[#All],[値]],0),MATCH($AP$4,阻害要因×疾患名[#Headers],0)),0)</f>
        <v>23</v>
      </c>
      <c r="H31" s="69">
        <f t="shared" si="4"/>
        <v>1.711309523809524E-2</v>
      </c>
      <c r="I31" s="70">
        <f>IFERROR(INDEX(阻害要因×疾患名[#All],MATCH($AI31,阻害要因×疾患名[[#All],[値]],0),MATCH($AQ$4,阻害要因×疾患名[#Headers],0)),0)+IFERROR(INDEX(阻害要因×疾患名[#All],MATCH($AI31,阻害要因×疾患名[[#All],[値]],0),MATCH($AR$4,阻害要因×疾患名[#Headers],0)),0)</f>
        <v>3</v>
      </c>
      <c r="J31" s="69">
        <f t="shared" si="5"/>
        <v>1.1673151750972763E-2</v>
      </c>
      <c r="K31" s="39">
        <f t="shared" si="1"/>
        <v>143</v>
      </c>
      <c r="L31" s="56" t="s">
        <v>181</v>
      </c>
      <c r="M31" s="66">
        <v>3</v>
      </c>
      <c r="N31" s="66">
        <v>0</v>
      </c>
      <c r="O31" s="60">
        <v>4</v>
      </c>
      <c r="P31" s="60">
        <v>8</v>
      </c>
      <c r="Q31" s="60">
        <v>0</v>
      </c>
      <c r="R31" s="60">
        <v>0</v>
      </c>
      <c r="S31" s="60">
        <v>23</v>
      </c>
      <c r="T31" s="60">
        <v>1</v>
      </c>
      <c r="U31" s="60">
        <v>2</v>
      </c>
      <c r="V31" s="60">
        <v>2</v>
      </c>
      <c r="W31" s="60">
        <v>0</v>
      </c>
      <c r="X31" s="60">
        <v>1</v>
      </c>
      <c r="Y31" s="60">
        <v>3</v>
      </c>
      <c r="Z31" s="60">
        <v>1</v>
      </c>
      <c r="AA31" s="60">
        <v>0</v>
      </c>
      <c r="AB31" s="60">
        <v>1</v>
      </c>
      <c r="AC31" s="60">
        <v>2</v>
      </c>
      <c r="AI31" s="56" t="s">
        <v>181</v>
      </c>
    </row>
    <row r="32" spans="2:35" ht="18.75" customHeight="1" x14ac:dyDescent="0.15">
      <c r="B32" s="107" t="s">
        <v>53</v>
      </c>
      <c r="C32" s="74">
        <f>IFERROR(INDEX(阻害要因×疾患名[#All],MATCH($AI32,阻害要因×疾患名[[#All],[値]],0),MATCH($AJ$4,阻害要因×疾患名[#Headers],0)),0)+IFERROR(INDEX(阻害要因×疾患名[#All],MATCH($AI32,阻害要因×疾患名[[#All],[値]],0),MATCH($AK$4,阻害要因×疾患名[#Headers],0)),0)</f>
        <v>20</v>
      </c>
      <c r="D32" s="77">
        <f t="shared" si="2"/>
        <v>9.5238095238095233E-2</v>
      </c>
      <c r="E32" s="74">
        <f>IFERROR(INDEX(阻害要因×疾患名[#All],MATCH($AI32,阻害要因×疾患名[[#All],[値]],0),MATCH($AL$4,阻害要因×疾患名[#Headers],0)),0)</f>
        <v>23</v>
      </c>
      <c r="F32" s="77">
        <f t="shared" si="3"/>
        <v>0.11004784688995216</v>
      </c>
      <c r="G32" s="74">
        <f>IFERROR(INDEX(阻害要因×疾患名[#All],MATCH($AI32,阻害要因×疾患名[[#All],[値]],0),MATCH($AP$4,阻害要因×疾患名[#Headers],0)),0)</f>
        <v>85</v>
      </c>
      <c r="H32" s="77">
        <f t="shared" si="4"/>
        <v>6.3244047619047616E-2</v>
      </c>
      <c r="I32" s="74">
        <f>IFERROR(INDEX(阻害要因×疾患名[#All],MATCH($AI32,阻害要因×疾患名[[#All],[値]],0),MATCH($AQ$4,阻害要因×疾患名[#Headers],0)),0)+IFERROR(INDEX(阻害要因×疾患名[#All],MATCH($AI32,阻害要因×疾患名[[#All],[値]],0),MATCH($AR$4,阻害要因×疾患名[#Headers],0)),0)</f>
        <v>15</v>
      </c>
      <c r="J32" s="77">
        <f t="shared" si="5"/>
        <v>5.8365758754863814E-2</v>
      </c>
      <c r="K32" s="39"/>
      <c r="L32" s="56" t="s">
        <v>182</v>
      </c>
      <c r="M32" s="66">
        <v>17</v>
      </c>
      <c r="N32" s="66">
        <v>3</v>
      </c>
      <c r="O32" s="60">
        <v>23</v>
      </c>
      <c r="P32" s="60">
        <v>8</v>
      </c>
      <c r="Q32" s="60">
        <v>1</v>
      </c>
      <c r="R32" s="60">
        <v>2</v>
      </c>
      <c r="S32" s="60">
        <v>85</v>
      </c>
      <c r="T32" s="60">
        <v>6</v>
      </c>
      <c r="U32" s="60">
        <v>9</v>
      </c>
      <c r="V32" s="60">
        <v>3</v>
      </c>
      <c r="W32" s="60">
        <v>1</v>
      </c>
      <c r="X32" s="60">
        <v>0</v>
      </c>
      <c r="Y32" s="60">
        <v>8</v>
      </c>
      <c r="Z32" s="60">
        <v>0</v>
      </c>
      <c r="AA32" s="60">
        <v>0</v>
      </c>
      <c r="AB32" s="60">
        <v>0</v>
      </c>
      <c r="AC32" s="60">
        <v>6</v>
      </c>
      <c r="AI32" s="56" t="s">
        <v>182</v>
      </c>
    </row>
    <row r="33" spans="2:35" ht="18.75" customHeight="1" x14ac:dyDescent="0.15">
      <c r="C33" s="20"/>
      <c r="K33" s="39"/>
    </row>
    <row r="34" spans="2:35" ht="18.75" customHeight="1" x14ac:dyDescent="0.15">
      <c r="B34" s="2" t="s">
        <v>82</v>
      </c>
      <c r="K34" s="39"/>
    </row>
    <row r="35" spans="2:35" ht="18.75" customHeight="1" x14ac:dyDescent="0.15">
      <c r="B35" s="640" t="s">
        <v>245</v>
      </c>
      <c r="C35" s="669" t="s">
        <v>81</v>
      </c>
      <c r="D35" s="670"/>
      <c r="E35" s="670"/>
      <c r="F35" s="670"/>
      <c r="G35" s="670"/>
      <c r="H35" s="670"/>
      <c r="I35" s="670"/>
      <c r="J35" s="671"/>
    </row>
    <row r="36" spans="2:35" ht="56.25" customHeight="1" thickBot="1" x14ac:dyDescent="0.2">
      <c r="B36" s="641"/>
      <c r="C36" s="669" t="s">
        <v>269</v>
      </c>
      <c r="D36" s="670"/>
      <c r="E36" s="670"/>
      <c r="F36" s="671"/>
      <c r="G36" s="676" t="s">
        <v>73</v>
      </c>
      <c r="H36" s="677"/>
      <c r="I36" s="676" t="s">
        <v>76</v>
      </c>
      <c r="J36" s="677"/>
      <c r="K36" s="39"/>
      <c r="L36" s="53" t="s">
        <v>63</v>
      </c>
    </row>
    <row r="37" spans="2:35" ht="56.25" customHeight="1" thickTop="1" thickBot="1" x14ac:dyDescent="0.2">
      <c r="B37" s="668"/>
      <c r="C37" s="683" t="s">
        <v>199</v>
      </c>
      <c r="D37" s="684"/>
      <c r="E37" s="683" t="s">
        <v>200</v>
      </c>
      <c r="F37" s="684"/>
      <c r="G37" s="678"/>
      <c r="H37" s="679"/>
      <c r="I37" s="678"/>
      <c r="J37" s="679"/>
      <c r="K37" s="39">
        <f>C38+E38+G38+I38</f>
        <v>598</v>
      </c>
      <c r="L37" s="503" t="s">
        <v>371</v>
      </c>
      <c r="M37" s="87" t="s">
        <v>296</v>
      </c>
      <c r="N37" s="87" t="s">
        <v>285</v>
      </c>
      <c r="O37" s="87" t="s">
        <v>286</v>
      </c>
      <c r="P37" s="87" t="s">
        <v>287</v>
      </c>
      <c r="Q37" s="87" t="s">
        <v>201</v>
      </c>
      <c r="R37" s="87" t="s">
        <v>202</v>
      </c>
      <c r="S37" s="87" t="s">
        <v>288</v>
      </c>
      <c r="T37" s="87" t="s">
        <v>289</v>
      </c>
      <c r="U37" s="87" t="s">
        <v>290</v>
      </c>
      <c r="V37" s="87" t="s">
        <v>291</v>
      </c>
      <c r="W37" s="87" t="s">
        <v>292</v>
      </c>
      <c r="X37" s="87" t="s">
        <v>297</v>
      </c>
      <c r="Y37" s="87" t="s">
        <v>293</v>
      </c>
      <c r="Z37" s="87" t="s">
        <v>294</v>
      </c>
      <c r="AA37" s="87" t="s">
        <v>298</v>
      </c>
      <c r="AB37" s="87" t="s">
        <v>295</v>
      </c>
      <c r="AC37" s="87" t="s">
        <v>18</v>
      </c>
    </row>
    <row r="38" spans="2:35" ht="37.5" customHeight="1" thickTop="1" x14ac:dyDescent="0.15">
      <c r="B38" s="88" t="s">
        <v>232</v>
      </c>
      <c r="C38" s="89">
        <f>IFERROR(INDEX(退院予定有無×疾患名＿寛解・院内寛解[#All],MATCH($AI38,退院予定有無×疾患名＿寛解・院内寛解[[#All],[行ラベル]],0),MATCH($AJ$4,退院予定有無×疾患名＿寛解・院内寛解[#Headers],0)),0)+IFERROR(INDEX(退院予定有無×疾患名＿寛解・院内寛解[#All],MATCH($AI38,退院予定有無×疾患名＿寛解・院内寛解[[#All],[行ラベル]],0),MATCH($AK$4,退院予定有無×疾患名＿寛解・院内寛解[#Headers],0)),0)</f>
        <v>45</v>
      </c>
      <c r="D38" s="90">
        <f>IFERROR(C38/C$41,"-")</f>
        <v>0.4838709677419355</v>
      </c>
      <c r="E38" s="89">
        <f>IFERROR(INDEX(退院予定有無×疾患名＿寛解・院内寛解[#All],MATCH($AI38,退院予定有無×疾患名＿寛解・院内寛解[[#All],[行ラベル]],0),MATCH($AL$4,退院予定有無×疾患名＿寛解・院内寛解[#Headers],0)),0)</f>
        <v>56</v>
      </c>
      <c r="F38" s="90">
        <f>IFERROR(E38/E$41,"-")</f>
        <v>0.3888888888888889</v>
      </c>
      <c r="G38" s="89">
        <f>IFERROR(INDEX(退院予定有無×疾患名＿寛解・院内寛解[#All],MATCH($AI38,退院予定有無×疾患名＿寛解・院内寛解[[#All],[行ラベル]],0),MATCH($AP$4,退院予定有無×疾患名＿寛解・院内寛解[#Headers],0)),0)</f>
        <v>368</v>
      </c>
      <c r="H38" s="90">
        <f>IFERROR(G38/G$41,"-")</f>
        <v>0.50136239782016345</v>
      </c>
      <c r="I38" s="89">
        <f>IFERROR(INDEX(退院予定有無×疾患名＿寛解・院内寛解[#All],MATCH($AI38,退院予定有無×疾患名＿寛解・院内寛解[[#All],[行ラベル]],0),MATCH($AQ$4,退院予定有無×疾患名＿寛解・院内寛解[#Headers],0)),0)+IFERROR(INDEX(退院予定有無×疾患名＿寛解・院内寛解[#All],MATCH($AI38,退院予定有無×疾患名＿寛解・院内寛解[[#All],[行ラベル]],0),MATCH($AR$4,退院予定有無×疾患名＿寛解・院内寛解[#Headers],0)),0)</f>
        <v>129</v>
      </c>
      <c r="J38" s="90">
        <f>IFERROR(I38/I$41,"-")</f>
        <v>0.39329268292682928</v>
      </c>
      <c r="K38" s="39">
        <f>C39+E39+G39+I39</f>
        <v>122</v>
      </c>
      <c r="L38" s="34">
        <v>97</v>
      </c>
      <c r="M38" s="60">
        <v>38</v>
      </c>
      <c r="N38" s="66">
        <v>7</v>
      </c>
      <c r="O38" s="66">
        <v>56</v>
      </c>
      <c r="P38" s="60">
        <v>32</v>
      </c>
      <c r="Q38" s="60">
        <v>1</v>
      </c>
      <c r="R38" s="60">
        <v>4</v>
      </c>
      <c r="S38" s="60">
        <v>368</v>
      </c>
      <c r="T38" s="60">
        <v>44</v>
      </c>
      <c r="U38" s="60">
        <v>85</v>
      </c>
      <c r="V38" s="60">
        <v>28</v>
      </c>
      <c r="W38" s="60">
        <v>3</v>
      </c>
      <c r="X38" s="60">
        <v>4</v>
      </c>
      <c r="Y38" s="60">
        <v>18</v>
      </c>
      <c r="Z38" s="60">
        <v>8</v>
      </c>
      <c r="AA38" s="60">
        <v>3</v>
      </c>
      <c r="AB38" s="60">
        <v>3</v>
      </c>
      <c r="AC38" s="60">
        <v>6</v>
      </c>
      <c r="AI38" s="413">
        <v>97</v>
      </c>
    </row>
    <row r="39" spans="2:35" ht="18.75" customHeight="1" x14ac:dyDescent="0.15">
      <c r="B39" s="91" t="s">
        <v>242</v>
      </c>
      <c r="C39" s="70">
        <f>IFERROR(INDEX(退院予定有無×疾患名＿寛解・院内寛解[#All],MATCH($AI39,退院予定有無×疾患名＿寛解・院内寛解[[#All],[行ラベル]],0),MATCH($AJ$4,退院予定有無×疾患名＿寛解・院内寛解[#Headers],0)),0)+IFERROR(INDEX(退院予定有無×疾患名＿寛解・院内寛解[#All],MATCH($AI39,退院予定有無×疾患名＿寛解・院内寛解[[#All],[行ラベル]],0),MATCH($AK$4,退院予定有無×疾患名＿寛解・院内寛解[#Headers],0)),0)</f>
        <v>12</v>
      </c>
      <c r="D39" s="69">
        <f>IFERROR(C39/C$41,"-")</f>
        <v>0.12903225806451613</v>
      </c>
      <c r="E39" s="70">
        <f>IFERROR(INDEX(退院予定有無×疾患名＿寛解・院内寛解[#All],MATCH($AI39,退院予定有無×疾患名＿寛解・院内寛解[[#All],[行ラベル]],0),MATCH($AL$4,退院予定有無×疾患名＿寛解・院内寛解[#Headers],0)),0)</f>
        <v>22</v>
      </c>
      <c r="F39" s="69">
        <f>IFERROR(E39/E$41,"-")</f>
        <v>0.15277777777777779</v>
      </c>
      <c r="G39" s="70">
        <f>IFERROR(INDEX(退院予定有無×疾患名＿寛解・院内寛解[#All],MATCH($AI39,退院予定有無×疾患名＿寛解・院内寛解[[#All],[行ラベル]],0),MATCH($AP$4,退院予定有無×疾患名＿寛解・院内寛解[#Headers],0)),0)</f>
        <v>65</v>
      </c>
      <c r="H39" s="69">
        <f>IFERROR(G39/G$41,"-")</f>
        <v>8.8555858310626706E-2</v>
      </c>
      <c r="I39" s="70">
        <f>IFERROR(INDEX(退院予定有無×疾患名＿寛解・院内寛解[#All],MATCH($AI39,退院予定有無×疾患名＿寛解・院内寛解[[#All],[行ラベル]],0),MATCH($AQ$4,退院予定有無×疾患名＿寛解・院内寛解[#Headers],0)),0)+IFERROR(INDEX(退院予定有無×疾患名＿寛解・院内寛解[#All],MATCH($AI39,退院予定有無×疾患名＿寛解・院内寛解[[#All],[行ラベル]],0),MATCH($AR$4,退院予定有無×疾患名＿寛解・院内寛解[#Headers],0)),0)</f>
        <v>23</v>
      </c>
      <c r="J39" s="69">
        <f>IFERROR(I39/I$41,"-")</f>
        <v>7.0121951219512202E-2</v>
      </c>
      <c r="K39" s="39">
        <f>C40+E40+G40+I40</f>
        <v>579</v>
      </c>
      <c r="L39" s="34">
        <v>98</v>
      </c>
      <c r="M39" s="60">
        <v>12</v>
      </c>
      <c r="N39" s="66">
        <v>0</v>
      </c>
      <c r="O39" s="66">
        <v>22</v>
      </c>
      <c r="P39" s="60">
        <v>46</v>
      </c>
      <c r="Q39" s="60">
        <v>0</v>
      </c>
      <c r="R39" s="60">
        <v>0</v>
      </c>
      <c r="S39" s="60">
        <v>65</v>
      </c>
      <c r="T39" s="60">
        <v>11</v>
      </c>
      <c r="U39" s="60">
        <v>12</v>
      </c>
      <c r="V39" s="60">
        <v>7</v>
      </c>
      <c r="W39" s="60">
        <v>2</v>
      </c>
      <c r="X39" s="60">
        <v>3</v>
      </c>
      <c r="Y39" s="60">
        <v>1</v>
      </c>
      <c r="Z39" s="60">
        <v>2</v>
      </c>
      <c r="AA39" s="60">
        <v>1</v>
      </c>
      <c r="AB39" s="60">
        <v>0</v>
      </c>
      <c r="AC39" s="60">
        <v>2</v>
      </c>
      <c r="AI39" s="413">
        <v>98</v>
      </c>
    </row>
    <row r="40" spans="2:35" ht="18.75" customHeight="1" x14ac:dyDescent="0.15">
      <c r="B40" s="92" t="s">
        <v>36</v>
      </c>
      <c r="C40" s="70">
        <f>IFERROR(INDEX(退院予定有無×疾患名＿寛解・院内寛解[#All],MATCH($AI40,退院予定有無×疾患名＿寛解・院内寛解[[#All],[行ラベル]],0),MATCH($AJ$4,退院予定有無×疾患名＿寛解・院内寛解[#Headers],0)),0)+IFERROR(INDEX(退院予定有無×疾患名＿寛解・院内寛解[#All],MATCH($AI40,退院予定有無×疾患名＿寛解・院内寛解[[#All],[行ラベル]],0),MATCH($AK$4,退院予定有無×疾患名＿寛解・院内寛解[#Headers],0)),0)</f>
        <v>36</v>
      </c>
      <c r="D40" s="69">
        <f>IFERROR(C40/C$41,"-")</f>
        <v>0.38709677419354838</v>
      </c>
      <c r="E40" s="70">
        <f>IFERROR(INDEX(退院予定有無×疾患名＿寛解・院内寛解[#All],MATCH($AI40,退院予定有無×疾患名＿寛解・院内寛解[[#All],[行ラベル]],0),MATCH($AL$4,退院予定有無×疾患名＿寛解・院内寛解[#Headers],0)),0)</f>
        <v>66</v>
      </c>
      <c r="F40" s="69">
        <f>IFERROR(E40/E$41,"-")</f>
        <v>0.45833333333333331</v>
      </c>
      <c r="G40" s="70">
        <f>IFERROR(INDEX(退院予定有無×疾患名＿寛解・院内寛解[#All],MATCH($AI40,退院予定有無×疾患名＿寛解・院内寛解[[#All],[行ラベル]],0),MATCH($AP$4,退院予定有無×疾患名＿寛解・院内寛解[#Headers],0)),0)</f>
        <v>301</v>
      </c>
      <c r="H40" s="69">
        <f>IFERROR(G40/G$41,"-")</f>
        <v>0.41008174386920981</v>
      </c>
      <c r="I40" s="70">
        <f>IFERROR(INDEX(退院予定有無×疾患名＿寛解・院内寛解[#All],MATCH($AI40,退院予定有無×疾患名＿寛解・院内寛解[[#All],[行ラベル]],0),MATCH($AQ$4,退院予定有無×疾患名＿寛解・院内寛解[#Headers],0)),0)+IFERROR(INDEX(退院予定有無×疾患名＿寛解・院内寛解[#All],MATCH($AI40,退院予定有無×疾患名＿寛解・院内寛解[[#All],[行ラベル]],0),MATCH($AR$4,退院予定有無×疾患名＿寛解・院内寛解[#Headers],0)),0)</f>
        <v>176</v>
      </c>
      <c r="J40" s="69">
        <f>IFERROR(I40/I$41,"-")</f>
        <v>0.53658536585365857</v>
      </c>
      <c r="K40" s="39">
        <f>C41+E41+G41+I41</f>
        <v>1299</v>
      </c>
      <c r="L40" s="34">
        <v>99</v>
      </c>
      <c r="M40" s="60">
        <v>35</v>
      </c>
      <c r="N40" s="66">
        <v>1</v>
      </c>
      <c r="O40" s="66">
        <v>66</v>
      </c>
      <c r="P40" s="60">
        <v>99</v>
      </c>
      <c r="Q40" s="60">
        <v>5</v>
      </c>
      <c r="R40" s="60">
        <v>15</v>
      </c>
      <c r="S40" s="60">
        <v>301</v>
      </c>
      <c r="T40" s="60">
        <v>84</v>
      </c>
      <c r="U40" s="60">
        <v>92</v>
      </c>
      <c r="V40" s="60">
        <v>30</v>
      </c>
      <c r="W40" s="60">
        <v>5</v>
      </c>
      <c r="X40" s="60">
        <v>4</v>
      </c>
      <c r="Y40" s="60">
        <v>14</v>
      </c>
      <c r="Z40" s="60">
        <v>14</v>
      </c>
      <c r="AA40" s="60">
        <v>8</v>
      </c>
      <c r="AB40" s="60">
        <v>2</v>
      </c>
      <c r="AC40" s="60">
        <v>9</v>
      </c>
      <c r="AI40" s="413">
        <v>99</v>
      </c>
    </row>
    <row r="41" spans="2:35" ht="18.75" customHeight="1" x14ac:dyDescent="0.15">
      <c r="B41" s="93" t="s">
        <v>162</v>
      </c>
      <c r="C41" s="94">
        <f t="shared" ref="C41:J41" si="6">SUM(C38:C40)</f>
        <v>93</v>
      </c>
      <c r="D41" s="95">
        <f t="shared" si="6"/>
        <v>1</v>
      </c>
      <c r="E41" s="96">
        <f t="shared" si="6"/>
        <v>144</v>
      </c>
      <c r="F41" s="95">
        <f t="shared" si="6"/>
        <v>1</v>
      </c>
      <c r="G41" s="96">
        <f t="shared" si="6"/>
        <v>734</v>
      </c>
      <c r="H41" s="95">
        <f t="shared" si="6"/>
        <v>1</v>
      </c>
      <c r="I41" s="96">
        <f t="shared" si="6"/>
        <v>328</v>
      </c>
      <c r="J41" s="95">
        <f t="shared" si="6"/>
        <v>1</v>
      </c>
      <c r="K41" s="39"/>
      <c r="L41" s="34"/>
      <c r="M41" s="43"/>
      <c r="N41" s="43"/>
      <c r="O41" s="43"/>
      <c r="P41" s="43"/>
      <c r="Q41" s="43"/>
      <c r="R41" s="43"/>
      <c r="S41" s="43"/>
      <c r="T41" s="43"/>
      <c r="U41" s="43"/>
      <c r="V41" s="43"/>
      <c r="W41" s="43"/>
      <c r="X41" s="43"/>
      <c r="Y41" s="43"/>
      <c r="Z41" s="43"/>
      <c r="AA41" s="43"/>
      <c r="AB41" s="43"/>
      <c r="AI41" s="413"/>
    </row>
    <row r="42" spans="2:35" ht="18.75" customHeight="1" thickBot="1" x14ac:dyDescent="0.2">
      <c r="B42" s="97"/>
      <c r="C42" s="98"/>
      <c r="D42" s="99"/>
      <c r="E42" s="100"/>
      <c r="F42" s="99"/>
      <c r="G42" s="100"/>
      <c r="H42" s="99"/>
      <c r="I42" s="100"/>
      <c r="J42" s="99"/>
      <c r="K42" s="39"/>
      <c r="AI42" s="413"/>
    </row>
    <row r="43" spans="2:35" ht="18.75" customHeight="1" thickTop="1" thickBot="1" x14ac:dyDescent="0.2">
      <c r="B43" s="101" t="s">
        <v>243</v>
      </c>
      <c r="C43" s="680"/>
      <c r="D43" s="681"/>
      <c r="E43" s="681"/>
      <c r="F43" s="681"/>
      <c r="G43" s="681"/>
      <c r="H43" s="681"/>
      <c r="I43" s="681"/>
      <c r="J43" s="682"/>
      <c r="K43" s="39">
        <f>C44+E44+G44+I44</f>
        <v>550</v>
      </c>
      <c r="L43" s="503" t="s">
        <v>371</v>
      </c>
      <c r="M43" s="87" t="s">
        <v>296</v>
      </c>
      <c r="N43" s="87" t="s">
        <v>285</v>
      </c>
      <c r="O43" s="87" t="s">
        <v>286</v>
      </c>
      <c r="P43" s="87" t="s">
        <v>287</v>
      </c>
      <c r="Q43" s="87" t="s">
        <v>201</v>
      </c>
      <c r="R43" s="87" t="s">
        <v>202</v>
      </c>
      <c r="S43" s="87" t="s">
        <v>288</v>
      </c>
      <c r="T43" s="87" t="s">
        <v>289</v>
      </c>
      <c r="U43" s="87" t="s">
        <v>290</v>
      </c>
      <c r="V43" s="87" t="s">
        <v>291</v>
      </c>
      <c r="W43" s="87" t="s">
        <v>292</v>
      </c>
      <c r="X43" s="87" t="s">
        <v>297</v>
      </c>
      <c r="Y43" s="87" t="s">
        <v>293</v>
      </c>
      <c r="Z43" s="87" t="s">
        <v>294</v>
      </c>
      <c r="AA43" s="87" t="s">
        <v>298</v>
      </c>
      <c r="AB43" s="87" t="s">
        <v>295</v>
      </c>
      <c r="AC43" s="87" t="s">
        <v>18</v>
      </c>
      <c r="AI43" s="413"/>
    </row>
    <row r="44" spans="2:35" ht="18.75" customHeight="1" thickTop="1" x14ac:dyDescent="0.15">
      <c r="B44" s="102" t="s">
        <v>34</v>
      </c>
      <c r="C44" s="89">
        <f>IFERROR(INDEX(阻害要因有無×疾患名＿寛解・院内寛解[#All],MATCH($AI44,阻害要因有無×疾患名＿寛解・院内寛解[[#All],[行ラベル]],0),MATCH($AJ$4,阻害要因有無×疾患名＿寛解・院内寛解[#Headers],0)),0)+IFERROR(INDEX(阻害要因有無×疾患名＿寛解・院内寛解[#All],MATCH($AI44,阻害要因有無×疾患名＿寛解・院内寛解[[#All],[行ラベル]],0),MATCH($AK$4,阻害要因有無×疾患名＿寛解・院内寛解[#Headers],0)),0)</f>
        <v>41</v>
      </c>
      <c r="D44" s="90">
        <f>IFERROR(C44/C$38,"-")</f>
        <v>0.91111111111111109</v>
      </c>
      <c r="E44" s="89">
        <f>IFERROR(INDEX(阻害要因有無×疾患名＿寛解・院内寛解[#All],MATCH($AI44,阻害要因有無×疾患名＿寛解・院内寛解[[#All],[行ラベル]],0),MATCH($AL$4,阻害要因有無×疾患名＿寛解・院内寛解[#Headers],0)),0)</f>
        <v>51</v>
      </c>
      <c r="F44" s="90">
        <f>IFERROR(E44/E$38,"-")</f>
        <v>0.9107142857142857</v>
      </c>
      <c r="G44" s="89">
        <f>IFERROR(INDEX(阻害要因有無×疾患名＿寛解・院内寛解[#All],MATCH($AI44,阻害要因有無×疾患名＿寛解・院内寛解[[#All],[行ラベル]],0),MATCH($AP$4,阻害要因有無×疾患名＿寛解・院内寛解[#Headers],0)),0)</f>
        <v>344</v>
      </c>
      <c r="H44" s="90">
        <f>IFERROR(G44/G$38,"-")</f>
        <v>0.93478260869565222</v>
      </c>
      <c r="I44" s="89">
        <f>IFERROR(INDEX(阻害要因有無×疾患名＿寛解・院内寛解[#All],MATCH($AI44,阻害要因有無×疾患名＿寛解・院内寛解[[#All],[行ラベル]],0),MATCH($AQ$4,阻害要因有無×疾患名＿寛解・院内寛解[#Headers],0)),0)+IFERROR(INDEX(阻害要因有無×疾患名＿寛解・院内寛解[#All],MATCH($AI44,阻害要因有無×疾患名＿寛解・院内寛解[[#All],[行ラベル]],0),MATCH($AR$4,阻害要因有無×疾患名＿寛解・院内寛解[#Headers],0)),0)</f>
        <v>114</v>
      </c>
      <c r="J44" s="90">
        <f>IFERROR(I44/I$38,"-")</f>
        <v>0.88372093023255816</v>
      </c>
      <c r="K44" s="39">
        <f>C45+E45+G45+I45</f>
        <v>48</v>
      </c>
      <c r="L44" s="34">
        <v>91</v>
      </c>
      <c r="M44" s="60">
        <v>34</v>
      </c>
      <c r="N44" s="66">
        <v>7</v>
      </c>
      <c r="O44" s="66">
        <v>51</v>
      </c>
      <c r="P44" s="60">
        <v>32</v>
      </c>
      <c r="Q44" s="60">
        <v>1</v>
      </c>
      <c r="R44" s="60">
        <v>4</v>
      </c>
      <c r="S44" s="60">
        <v>344</v>
      </c>
      <c r="T44" s="60">
        <v>40</v>
      </c>
      <c r="U44" s="60">
        <v>74</v>
      </c>
      <c r="V44" s="60">
        <v>26</v>
      </c>
      <c r="W44" s="60">
        <v>3</v>
      </c>
      <c r="X44" s="60">
        <v>4</v>
      </c>
      <c r="Y44" s="60">
        <v>17</v>
      </c>
      <c r="Z44" s="60">
        <v>8</v>
      </c>
      <c r="AA44" s="60">
        <v>3</v>
      </c>
      <c r="AB44" s="60">
        <v>2</v>
      </c>
      <c r="AC44" s="60">
        <v>6</v>
      </c>
      <c r="AI44" s="413">
        <v>91</v>
      </c>
    </row>
    <row r="45" spans="2:35" ht="18.75" customHeight="1" x14ac:dyDescent="0.15">
      <c r="B45" s="92" t="s">
        <v>35</v>
      </c>
      <c r="C45" s="70">
        <f>IFERROR(INDEX(阻害要因有無×疾患名＿寛解・院内寛解[#All],MATCH($AI45,阻害要因有無×疾患名＿寛解・院内寛解[[#All],[行ラベル]],0),MATCH($AJ$4,阻害要因有無×疾患名＿寛解・院内寛解[#Headers],0)),0)+IFERROR(INDEX(阻害要因有無×疾患名＿寛解・院内寛解[#All],MATCH($AI45,阻害要因有無×疾患名＿寛解・院内寛解[[#All],[行ラベル]],0),MATCH($AK$4,阻害要因有無×疾患名＿寛解・院内寛解[#Headers],0)),0)</f>
        <v>4</v>
      </c>
      <c r="D45" s="69">
        <f>IFERROR(C45/C$38,"-")</f>
        <v>8.8888888888888892E-2</v>
      </c>
      <c r="E45" s="70">
        <f>IFERROR(INDEX(阻害要因有無×疾患名＿寛解・院内寛解[#All],MATCH($AI45,阻害要因有無×疾患名＿寛解・院内寛解[[#All],[行ラベル]],0),MATCH($AL$4,阻害要因有無×疾患名＿寛解・院内寛解[#Headers],0)),0)</f>
        <v>5</v>
      </c>
      <c r="F45" s="69">
        <f>IFERROR(E45/E$38,"-")</f>
        <v>8.9285714285714288E-2</v>
      </c>
      <c r="G45" s="70">
        <f>IFERROR(INDEX(阻害要因有無×疾患名＿寛解・院内寛解[#All],MATCH($AI45,阻害要因有無×疾患名＿寛解・院内寛解[[#All],[行ラベル]],0),MATCH($AP$4,阻害要因有無×疾患名＿寛解・院内寛解[#Headers],0)),0)</f>
        <v>24</v>
      </c>
      <c r="H45" s="69">
        <f>IFERROR(G45/G$38,"-")</f>
        <v>6.5217391304347824E-2</v>
      </c>
      <c r="I45" s="70">
        <f>IFERROR(INDEX(阻害要因有無×疾患名＿寛解・院内寛解[#All],MATCH($AI45,阻害要因有無×疾患名＿寛解・院内寛解[[#All],[行ラベル]],0),MATCH($AQ$4,阻害要因有無×疾患名＿寛解・院内寛解[#Headers],0)),0)+IFERROR(INDEX(阻害要因有無×疾患名＿寛解・院内寛解[#All],MATCH($AI45,阻害要因有無×疾患名＿寛解・院内寛解[[#All],[行ラベル]],0),MATCH($AR$4,阻害要因有無×疾患名＿寛解・院内寛解[#Headers],0)),0)</f>
        <v>15</v>
      </c>
      <c r="J45" s="69">
        <f>IFERROR(I45/I$38,"-")</f>
        <v>0.11627906976744186</v>
      </c>
      <c r="K45" s="39"/>
      <c r="L45" s="34">
        <v>90</v>
      </c>
      <c r="M45" s="60">
        <v>4</v>
      </c>
      <c r="N45" s="66">
        <v>0</v>
      </c>
      <c r="O45" s="66">
        <v>5</v>
      </c>
      <c r="P45" s="60">
        <v>0</v>
      </c>
      <c r="Q45" s="60">
        <v>0</v>
      </c>
      <c r="R45" s="60">
        <v>0</v>
      </c>
      <c r="S45" s="60">
        <v>24</v>
      </c>
      <c r="T45" s="60">
        <v>4</v>
      </c>
      <c r="U45" s="60">
        <v>11</v>
      </c>
      <c r="V45" s="60">
        <v>2</v>
      </c>
      <c r="W45" s="60">
        <v>0</v>
      </c>
      <c r="X45" s="60">
        <v>0</v>
      </c>
      <c r="Y45" s="60">
        <v>1</v>
      </c>
      <c r="Z45" s="60">
        <v>0</v>
      </c>
      <c r="AA45" s="60">
        <v>0</v>
      </c>
      <c r="AB45" s="60">
        <v>1</v>
      </c>
      <c r="AC45" s="60">
        <v>0</v>
      </c>
      <c r="AI45" s="413">
        <v>90</v>
      </c>
    </row>
    <row r="46" spans="2:35" ht="19.5" customHeight="1" thickBot="1" x14ac:dyDescent="0.2">
      <c r="B46" s="103" t="s">
        <v>265</v>
      </c>
      <c r="C46" s="665"/>
      <c r="D46" s="666"/>
      <c r="E46" s="666"/>
      <c r="F46" s="666"/>
      <c r="G46" s="666"/>
      <c r="H46" s="666"/>
      <c r="I46" s="666"/>
      <c r="J46" s="667"/>
      <c r="K46" s="39">
        <f t="shared" ref="K46:K63" si="7">C48+E48+G48+I48</f>
        <v>193</v>
      </c>
    </row>
    <row r="47" spans="2:35" ht="18.75" customHeight="1" thickTop="1" thickBot="1" x14ac:dyDescent="0.2">
      <c r="B47" s="662" t="s">
        <v>275</v>
      </c>
      <c r="C47" s="663"/>
      <c r="D47" s="663"/>
      <c r="E47" s="663"/>
      <c r="F47" s="663"/>
      <c r="G47" s="663"/>
      <c r="H47" s="663"/>
      <c r="I47" s="663"/>
      <c r="J47" s="664"/>
      <c r="K47" s="39">
        <f t="shared" si="7"/>
        <v>122</v>
      </c>
      <c r="L47" s="503" t="s">
        <v>380</v>
      </c>
      <c r="M47" s="87" t="s">
        <v>296</v>
      </c>
      <c r="N47" s="87" t="s">
        <v>285</v>
      </c>
      <c r="O47" s="87" t="s">
        <v>286</v>
      </c>
      <c r="P47" s="87" t="s">
        <v>287</v>
      </c>
      <c r="Q47" s="87" t="s">
        <v>201</v>
      </c>
      <c r="R47" s="87" t="s">
        <v>202</v>
      </c>
      <c r="S47" s="87" t="s">
        <v>288</v>
      </c>
      <c r="T47" s="87" t="s">
        <v>289</v>
      </c>
      <c r="U47" s="87" t="s">
        <v>290</v>
      </c>
      <c r="V47" s="87" t="s">
        <v>291</v>
      </c>
      <c r="W47" s="87" t="s">
        <v>292</v>
      </c>
      <c r="X47" s="87" t="s">
        <v>297</v>
      </c>
      <c r="Y47" s="87" t="s">
        <v>293</v>
      </c>
      <c r="Z47" s="87" t="s">
        <v>294</v>
      </c>
      <c r="AA47" s="87" t="s">
        <v>298</v>
      </c>
      <c r="AB47" s="87" t="s">
        <v>295</v>
      </c>
      <c r="AC47" s="87" t="s">
        <v>18</v>
      </c>
    </row>
    <row r="48" spans="2:35" ht="37.5" customHeight="1" thickTop="1" x14ac:dyDescent="0.15">
      <c r="B48" s="104" t="s">
        <v>236</v>
      </c>
      <c r="C48" s="63">
        <f>IFERROR(INDEX(阻害要因×疾患名＿寛解・院内寛解[#All],MATCH($AI48,阻害要因×疾患名＿寛解・院内寛解[[#All],[値]],0),MATCH($AJ$4,阻害要因×疾患名＿寛解・院内寛解[#Headers],0)),0)+IFERROR(INDEX(阻害要因×疾患名＿寛解・院内寛解[#All],MATCH($AI48,阻害要因×疾患名＿寛解・院内寛解[[#All],[値]],0),MATCH($AK$4,阻害要因×疾患名＿寛解・院内寛解[#Headers],0)),0)</f>
        <v>13</v>
      </c>
      <c r="D48" s="64">
        <f t="shared" ref="D48:D65" si="8">IFERROR(C48/C$44,"-")</f>
        <v>0.31707317073170732</v>
      </c>
      <c r="E48" s="65">
        <f>IFERROR(INDEX(阻害要因×疾患名＿寛解・院内寛解[#All],MATCH($AI48,阻害要因×疾患名＿寛解・院内寛解[[#All],[値]],0),MATCH($AL$4,阻害要因×疾患名＿寛解・院内寛解[#Headers],0)),0)</f>
        <v>9</v>
      </c>
      <c r="F48" s="64">
        <f t="shared" ref="F48:F65" si="9">IFERROR(E48/E$44,"-")</f>
        <v>0.17647058823529413</v>
      </c>
      <c r="G48" s="65">
        <f>IFERROR(INDEX(阻害要因×疾患名＿寛解・院内寛解[#All],MATCH($AI48,阻害要因×疾患名＿寛解・院内寛解[[#All],[値]],0),MATCH($AP$4,阻害要因×疾患名＿寛解・院内寛解[#Headers],0)),0)</f>
        <v>128</v>
      </c>
      <c r="H48" s="64">
        <f t="shared" ref="H48:H65" si="10">IFERROR(G48/G$44,"-")</f>
        <v>0.37209302325581395</v>
      </c>
      <c r="I48" s="65">
        <f>IFERROR(INDEX(阻害要因×疾患名＿寛解・院内寛解[#All],MATCH($AI48,阻害要因×疾患名＿寛解・院内寛解[[#All],[値]],0),MATCH($AQ$4,阻害要因×疾患名＿寛解・院内寛解[#Headers],0)),0)+IFERROR(INDEX(阻害要因×疾患名＿寛解・院内寛解[#All],MATCH($AI48,阻害要因×疾患名＿寛解・院内寛解[[#All],[値]],0),MATCH($AR$4,阻害要因×疾患名＿寛解・院内寛解[#Headers],0)),0)</f>
        <v>43</v>
      </c>
      <c r="J48" s="64">
        <f t="shared" ref="J48:J65" si="11">IFERROR(I48/I$44,"-")</f>
        <v>0.37719298245614036</v>
      </c>
      <c r="K48" s="39">
        <f t="shared" si="7"/>
        <v>24</v>
      </c>
      <c r="L48" s="34" t="s">
        <v>310</v>
      </c>
      <c r="M48" s="60">
        <v>11</v>
      </c>
      <c r="N48" s="66">
        <v>2</v>
      </c>
      <c r="O48" s="66">
        <v>9</v>
      </c>
      <c r="P48" s="60">
        <v>5</v>
      </c>
      <c r="Q48" s="60">
        <v>0</v>
      </c>
      <c r="R48" s="60">
        <v>0</v>
      </c>
      <c r="S48" s="60">
        <v>128</v>
      </c>
      <c r="T48" s="60">
        <v>21</v>
      </c>
      <c r="U48" s="60">
        <v>22</v>
      </c>
      <c r="V48" s="60">
        <v>8</v>
      </c>
      <c r="W48" s="60">
        <v>2</v>
      </c>
      <c r="X48" s="60">
        <v>0</v>
      </c>
      <c r="Y48" s="60">
        <v>3</v>
      </c>
      <c r="Z48" s="60">
        <v>4</v>
      </c>
      <c r="AA48" s="60">
        <v>1</v>
      </c>
      <c r="AB48" s="60">
        <v>0</v>
      </c>
      <c r="AC48" s="60">
        <v>1</v>
      </c>
      <c r="AI48" s="56" t="s">
        <v>310</v>
      </c>
    </row>
    <row r="49" spans="2:35" ht="18.75" customHeight="1" x14ac:dyDescent="0.15">
      <c r="B49" s="105" t="s">
        <v>66</v>
      </c>
      <c r="C49" s="68">
        <f>IFERROR(INDEX(阻害要因×疾患名＿寛解・院内寛解[#All],MATCH($AI49,阻害要因×疾患名＿寛解・院内寛解[[#All],[値]],0),MATCH($AJ$4,阻害要因×疾患名＿寛解・院内寛解[#Headers],0)),0)+IFERROR(INDEX(阻害要因×疾患名＿寛解・院内寛解[#All],MATCH($AI49,阻害要因×疾患名＿寛解・院内寛解[[#All],[値]],0),MATCH($AK$4,阻害要因×疾患名＿寛解・院内寛解[#Headers],0)),0)</f>
        <v>9</v>
      </c>
      <c r="D49" s="73">
        <f t="shared" si="8"/>
        <v>0.21951219512195122</v>
      </c>
      <c r="E49" s="71">
        <f>IFERROR(INDEX(阻害要因×疾患名＿寛解・院内寛解[#All],MATCH($AI49,阻害要因×疾患名＿寛解・院内寛解[[#All],[値]],0),MATCH($AL$4,阻害要因×疾患名＿寛解・院内寛解[#Headers],0)),0)</f>
        <v>6</v>
      </c>
      <c r="F49" s="73">
        <f t="shared" si="9"/>
        <v>0.11764705882352941</v>
      </c>
      <c r="G49" s="70">
        <f>IFERROR(INDEX(阻害要因×疾患名＿寛解・院内寛解[#All],MATCH($AI49,阻害要因×疾患名＿寛解・院内寛解[[#All],[値]],0),MATCH($AP$4,阻害要因×疾患名＿寛解・院内寛解[#Headers],0)),0)</f>
        <v>92</v>
      </c>
      <c r="H49" s="73">
        <f t="shared" si="10"/>
        <v>0.26744186046511625</v>
      </c>
      <c r="I49" s="70">
        <f>IFERROR(INDEX(阻害要因×疾患名＿寛解・院内寛解[#All],MATCH($AI49,阻害要因×疾患名＿寛解・院内寛解[[#All],[値]],0),MATCH($AQ$4,阻害要因×疾患名＿寛解・院内寛解[#Headers],0)),0)+IFERROR(INDEX(阻害要因×疾患名＿寛解・院内寛解[#All],MATCH($AI49,阻害要因×疾患名＿寛解・院内寛解[[#All],[値]],0),MATCH($AR$4,阻害要因×疾患名＿寛解・院内寛解[#Headers],0)),0)</f>
        <v>15</v>
      </c>
      <c r="J49" s="73">
        <f t="shared" si="11"/>
        <v>0.13157894736842105</v>
      </c>
      <c r="K49" s="39">
        <f t="shared" si="7"/>
        <v>214</v>
      </c>
      <c r="L49" s="56" t="s">
        <v>311</v>
      </c>
      <c r="M49" s="66">
        <v>7</v>
      </c>
      <c r="N49" s="66">
        <v>2</v>
      </c>
      <c r="O49" s="66">
        <v>6</v>
      </c>
      <c r="P49" s="60">
        <v>10</v>
      </c>
      <c r="Q49" s="60">
        <v>0</v>
      </c>
      <c r="R49" s="60">
        <v>1</v>
      </c>
      <c r="S49" s="60">
        <v>92</v>
      </c>
      <c r="T49" s="60">
        <v>7</v>
      </c>
      <c r="U49" s="60">
        <v>8</v>
      </c>
      <c r="V49" s="60">
        <v>5</v>
      </c>
      <c r="W49" s="60">
        <v>0</v>
      </c>
      <c r="X49" s="60">
        <v>0</v>
      </c>
      <c r="Y49" s="60">
        <v>2</v>
      </c>
      <c r="Z49" s="60">
        <v>1</v>
      </c>
      <c r="AA49" s="60">
        <v>1</v>
      </c>
      <c r="AB49" s="60">
        <v>0</v>
      </c>
      <c r="AC49" s="60">
        <v>2</v>
      </c>
      <c r="AI49" s="56" t="s">
        <v>311</v>
      </c>
    </row>
    <row r="50" spans="2:35" ht="18.75" customHeight="1" x14ac:dyDescent="0.15">
      <c r="B50" s="105" t="s">
        <v>38</v>
      </c>
      <c r="C50" s="68">
        <f>IFERROR(INDEX(阻害要因×疾患名＿寛解・院内寛解[#All],MATCH($AI50,阻害要因×疾患名＿寛解・院内寛解[[#All],[値]],0),MATCH($AJ$4,阻害要因×疾患名＿寛解・院内寛解[#Headers],0)),0)+IFERROR(INDEX(阻害要因×疾患名＿寛解・院内寛解[#All],MATCH($AI50,阻害要因×疾患名＿寛解・院内寛解[[#All],[値]],0),MATCH($AK$4,阻害要因×疾患名＿寛解・院内寛解[#Headers],0)),0)</f>
        <v>2</v>
      </c>
      <c r="D50" s="73">
        <f t="shared" si="8"/>
        <v>4.878048780487805E-2</v>
      </c>
      <c r="E50" s="70">
        <f>IFERROR(INDEX(阻害要因×疾患名＿寛解・院内寛解[#All],MATCH($AI50,阻害要因×疾患名＿寛解・院内寛解[[#All],[値]],0),MATCH($AL$4,阻害要因×疾患名＿寛解・院内寛解[#Headers],0)),0)</f>
        <v>1</v>
      </c>
      <c r="F50" s="73">
        <f t="shared" si="9"/>
        <v>1.9607843137254902E-2</v>
      </c>
      <c r="G50" s="70">
        <f>IFERROR(INDEX(阻害要因×疾患名＿寛解・院内寛解[#All],MATCH($AI50,阻害要因×疾患名＿寛解・院内寛解[[#All],[値]],0),MATCH($AP$4,阻害要因×疾患名＿寛解・院内寛解[#Headers],0)),0)</f>
        <v>18</v>
      </c>
      <c r="H50" s="73">
        <f t="shared" si="10"/>
        <v>5.232558139534884E-2</v>
      </c>
      <c r="I50" s="70">
        <f>IFERROR(INDEX(阻害要因×疾患名＿寛解・院内寛解[#All],MATCH($AI50,阻害要因×疾患名＿寛解・院内寛解[[#All],[値]],0),MATCH($AQ$4,阻害要因×疾患名＿寛解・院内寛解[#Headers],0)),0)+IFERROR(INDEX(阻害要因×疾患名＿寛解・院内寛解[#All],MATCH($AI50,阻害要因×疾患名＿寛解・院内寛解[[#All],[値]],0),MATCH($AR$4,阻害要因×疾患名＿寛解・院内寛解[#Headers],0)),0)</f>
        <v>3</v>
      </c>
      <c r="J50" s="73">
        <f t="shared" si="11"/>
        <v>2.6315789473684209E-2</v>
      </c>
      <c r="K50" s="39">
        <f t="shared" si="7"/>
        <v>160</v>
      </c>
      <c r="L50" s="56" t="s">
        <v>167</v>
      </c>
      <c r="M50" s="66">
        <v>2</v>
      </c>
      <c r="N50" s="66">
        <v>0</v>
      </c>
      <c r="O50" s="66">
        <v>1</v>
      </c>
      <c r="P50" s="60">
        <v>4</v>
      </c>
      <c r="Q50" s="60">
        <v>0</v>
      </c>
      <c r="R50" s="60">
        <v>1</v>
      </c>
      <c r="S50" s="60">
        <v>18</v>
      </c>
      <c r="T50" s="60">
        <v>1</v>
      </c>
      <c r="U50" s="60">
        <v>2</v>
      </c>
      <c r="V50" s="60">
        <v>3</v>
      </c>
      <c r="W50" s="60">
        <v>0</v>
      </c>
      <c r="X50" s="60">
        <v>1</v>
      </c>
      <c r="Y50" s="60">
        <v>0</v>
      </c>
      <c r="Z50" s="60">
        <v>1</v>
      </c>
      <c r="AA50" s="60">
        <v>2</v>
      </c>
      <c r="AB50" s="60">
        <v>0</v>
      </c>
      <c r="AC50" s="60">
        <v>0</v>
      </c>
      <c r="AI50" s="56" t="s">
        <v>167</v>
      </c>
    </row>
    <row r="51" spans="2:35" ht="18.75" customHeight="1" x14ac:dyDescent="0.15">
      <c r="B51" s="105" t="s">
        <v>39</v>
      </c>
      <c r="C51" s="70">
        <f>IFERROR(INDEX(阻害要因×疾患名＿寛解・院内寛解[#All],MATCH($AI51,阻害要因×疾患名＿寛解・院内寛解[[#All],[値]],0),MATCH($AJ$4,阻害要因×疾患名＿寛解・院内寛解[#Headers],0)),0)+IFERROR(INDEX(阻害要因×疾患名＿寛解・院内寛解[#All],MATCH($AI51,阻害要因×疾患名＿寛解・院内寛解[[#All],[値]],0),MATCH($AK$4,阻害要因×疾患名＿寛解・院内寛解[#Headers],0)),0)</f>
        <v>5</v>
      </c>
      <c r="D51" s="69">
        <f t="shared" si="8"/>
        <v>0.12195121951219512</v>
      </c>
      <c r="E51" s="70">
        <f>IFERROR(INDEX(阻害要因×疾患名＿寛解・院内寛解[#All],MATCH($AI51,阻害要因×疾患名＿寛解・院内寛解[[#All],[値]],0),MATCH($AL$4,阻害要因×疾患名＿寛解・院内寛解[#Headers],0)),0)</f>
        <v>17</v>
      </c>
      <c r="F51" s="69">
        <f t="shared" si="9"/>
        <v>0.33333333333333331</v>
      </c>
      <c r="G51" s="70">
        <f>IFERROR(INDEX(阻害要因×疾患名＿寛解・院内寛解[#All],MATCH($AI51,阻害要因×疾患名＿寛解・院内寛解[[#All],[値]],0),MATCH($AP$4,阻害要因×疾患名＿寛解・院内寛解[#Headers],0)),0)</f>
        <v>141</v>
      </c>
      <c r="H51" s="69">
        <f t="shared" si="10"/>
        <v>0.40988372093023256</v>
      </c>
      <c r="I51" s="70">
        <f>IFERROR(INDEX(阻害要因×疾患名＿寛解・院内寛解[#All],MATCH($AI51,阻害要因×疾患名＿寛解・院内寛解[[#All],[値]],0),MATCH($AQ$4,阻害要因×疾患名＿寛解・院内寛解[#Headers],0)),0)+IFERROR(INDEX(阻害要因×疾患名＿寛解・院内寛解[#All],MATCH($AI51,阻害要因×疾患名＿寛解・院内寛解[[#All],[値]],0),MATCH($AR$4,阻害要因×疾患名＿寛解・院内寛解[#Headers],0)),0)</f>
        <v>51</v>
      </c>
      <c r="J51" s="69">
        <f t="shared" si="11"/>
        <v>0.44736842105263158</v>
      </c>
      <c r="K51" s="39">
        <f t="shared" si="7"/>
        <v>186</v>
      </c>
      <c r="L51" s="56" t="s">
        <v>168</v>
      </c>
      <c r="M51" s="66">
        <v>5</v>
      </c>
      <c r="N51" s="66">
        <v>0</v>
      </c>
      <c r="O51" s="66">
        <v>17</v>
      </c>
      <c r="P51" s="60">
        <v>9</v>
      </c>
      <c r="Q51" s="60">
        <v>0</v>
      </c>
      <c r="R51" s="60">
        <v>1</v>
      </c>
      <c r="S51" s="60">
        <v>141</v>
      </c>
      <c r="T51" s="60">
        <v>13</v>
      </c>
      <c r="U51" s="60">
        <v>38</v>
      </c>
      <c r="V51" s="60">
        <v>4</v>
      </c>
      <c r="W51" s="60">
        <v>0</v>
      </c>
      <c r="X51" s="60">
        <v>1</v>
      </c>
      <c r="Y51" s="60">
        <v>4</v>
      </c>
      <c r="Z51" s="60">
        <v>3</v>
      </c>
      <c r="AA51" s="60">
        <v>0</v>
      </c>
      <c r="AB51" s="60">
        <v>1</v>
      </c>
      <c r="AC51" s="60">
        <v>3</v>
      </c>
      <c r="AI51" s="56" t="s">
        <v>168</v>
      </c>
    </row>
    <row r="52" spans="2:35" ht="18.75" customHeight="1" x14ac:dyDescent="0.15">
      <c r="B52" s="105" t="s">
        <v>40</v>
      </c>
      <c r="C52" s="70">
        <f>IFERROR(INDEX(阻害要因×疾患名＿寛解・院内寛解[#All],MATCH($AI52,阻害要因×疾患名＿寛解・院内寛解[[#All],[値]],0),MATCH($AJ$4,阻害要因×疾患名＿寛解・院内寛解[#Headers],0)),0)+IFERROR(INDEX(阻害要因×疾患名＿寛解・院内寛解[#All],MATCH($AI52,阻害要因×疾患名＿寛解・院内寛解[[#All],[値]],0),MATCH($AK$4,阻害要因×疾患名＿寛解・院内寛解[#Headers],0)),0)</f>
        <v>6</v>
      </c>
      <c r="D52" s="69">
        <f t="shared" si="8"/>
        <v>0.14634146341463414</v>
      </c>
      <c r="E52" s="70">
        <f>IFERROR(INDEX(阻害要因×疾患名＿寛解・院内寛解[#All],MATCH($AI52,阻害要因×疾患名＿寛解・院内寛解[[#All],[値]],0),MATCH($AL$4,阻害要因×疾患名＿寛解・院内寛解[#Headers],0)),0)</f>
        <v>13</v>
      </c>
      <c r="F52" s="69">
        <f t="shared" si="9"/>
        <v>0.25490196078431371</v>
      </c>
      <c r="G52" s="70">
        <f>IFERROR(INDEX(阻害要因×疾患名＿寛解・院内寛解[#All],MATCH($AI52,阻害要因×疾患名＿寛解・院内寛解[[#All],[値]],0),MATCH($AP$4,阻害要因×疾患名＿寛解・院内寛解[#Headers],0)),0)</f>
        <v>118</v>
      </c>
      <c r="H52" s="69">
        <f t="shared" si="10"/>
        <v>0.34302325581395349</v>
      </c>
      <c r="I52" s="70">
        <f>IFERROR(INDEX(阻害要因×疾患名＿寛解・院内寛解[#All],MATCH($AI52,阻害要因×疾患名＿寛解・院内寛解[[#All],[値]],0),MATCH($AQ$4,阻害要因×疾患名＿寛解・院内寛解[#Headers],0)),0)+IFERROR(INDEX(阻害要因×疾患名＿寛解・院内寛解[#All],MATCH($AI52,阻害要因×疾患名＿寛解・院内寛解[[#All],[値]],0),MATCH($AR$4,阻害要因×疾患名＿寛解・院内寛解[#Headers],0)),0)</f>
        <v>23</v>
      </c>
      <c r="J52" s="69">
        <f t="shared" si="11"/>
        <v>0.20175438596491227</v>
      </c>
      <c r="K52" s="39">
        <f t="shared" si="7"/>
        <v>34</v>
      </c>
      <c r="L52" s="56" t="s">
        <v>169</v>
      </c>
      <c r="M52" s="66">
        <v>5</v>
      </c>
      <c r="N52" s="66">
        <v>1</v>
      </c>
      <c r="O52" s="66">
        <v>13</v>
      </c>
      <c r="P52" s="60">
        <v>12</v>
      </c>
      <c r="Q52" s="60">
        <v>0</v>
      </c>
      <c r="R52" s="60">
        <v>1</v>
      </c>
      <c r="S52" s="60">
        <v>118</v>
      </c>
      <c r="T52" s="60">
        <v>7</v>
      </c>
      <c r="U52" s="60">
        <v>16</v>
      </c>
      <c r="V52" s="60">
        <v>8</v>
      </c>
      <c r="W52" s="60">
        <v>1</v>
      </c>
      <c r="X52" s="60">
        <v>2</v>
      </c>
      <c r="Y52" s="60">
        <v>4</v>
      </c>
      <c r="Z52" s="60">
        <v>4</v>
      </c>
      <c r="AA52" s="60">
        <v>1</v>
      </c>
      <c r="AB52" s="60">
        <v>2</v>
      </c>
      <c r="AC52" s="60">
        <v>0</v>
      </c>
      <c r="AI52" s="56" t="s">
        <v>169</v>
      </c>
    </row>
    <row r="53" spans="2:35" ht="18.75" customHeight="1" x14ac:dyDescent="0.15">
      <c r="B53" s="105" t="s">
        <v>41</v>
      </c>
      <c r="C53" s="72">
        <f>IFERROR(INDEX(阻害要因×疾患名＿寛解・院内寛解[#All],MATCH($AI53,阻害要因×疾患名＿寛解・院内寛解[[#All],[値]],0),MATCH($AJ$4,阻害要因×疾患名＿寛解・院内寛解[#Headers],0)),0)+IFERROR(INDEX(阻害要因×疾患名＿寛解・院内寛解[#All],MATCH($AI53,阻害要因×疾患名＿寛解・院内寛解[[#All],[値]],0),MATCH($AK$4,阻害要因×疾患名＿寛解・院内寛解[#Headers],0)),0)</f>
        <v>6</v>
      </c>
      <c r="D53" s="82">
        <f t="shared" si="8"/>
        <v>0.14634146341463414</v>
      </c>
      <c r="E53" s="72">
        <f>IFERROR(INDEX(阻害要因×疾患名＿寛解・院内寛解[#All],MATCH($AI53,阻害要因×疾患名＿寛解・院内寛解[[#All],[値]],0),MATCH($AL$4,阻害要因×疾患名＿寛解・院内寛解[#Headers],0)),0)</f>
        <v>10</v>
      </c>
      <c r="F53" s="82">
        <f t="shared" si="9"/>
        <v>0.19607843137254902</v>
      </c>
      <c r="G53" s="72">
        <f>IFERROR(INDEX(阻害要因×疾患名＿寛解・院内寛解[#All],MATCH($AI53,阻害要因×疾患名＿寛解・院内寛解[[#All],[値]],0),MATCH($AP$4,阻害要因×疾患名＿寛解・院内寛解[#Headers],0)),0)</f>
        <v>125</v>
      </c>
      <c r="H53" s="82">
        <f t="shared" si="10"/>
        <v>0.36337209302325579</v>
      </c>
      <c r="I53" s="72">
        <f>IFERROR(INDEX(阻害要因×疾患名＿寛解・院内寛解[#All],MATCH($AI53,阻害要因×疾患名＿寛解・院内寛解[[#All],[値]],0),MATCH($AQ$4,阻害要因×疾患名＿寛解・院内寛解[#Headers],0)),0)+IFERROR(INDEX(阻害要因×疾患名＿寛解・院内寛解[#All],MATCH($AI53,阻害要因×疾患名＿寛解・院内寛解[[#All],[値]],0),MATCH($AR$4,阻害要因×疾患名＿寛解・院内寛解[#Headers],0)),0)</f>
        <v>45</v>
      </c>
      <c r="J53" s="82">
        <f t="shared" si="11"/>
        <v>0.39473684210526316</v>
      </c>
      <c r="K53" s="39">
        <f t="shared" si="7"/>
        <v>152</v>
      </c>
      <c r="L53" s="56" t="s">
        <v>170</v>
      </c>
      <c r="M53" s="66">
        <v>5</v>
      </c>
      <c r="N53" s="66">
        <v>1</v>
      </c>
      <c r="O53" s="66">
        <v>10</v>
      </c>
      <c r="P53" s="60">
        <v>3</v>
      </c>
      <c r="Q53" s="60">
        <v>1</v>
      </c>
      <c r="R53" s="60">
        <v>0</v>
      </c>
      <c r="S53" s="60">
        <v>125</v>
      </c>
      <c r="T53" s="60">
        <v>15</v>
      </c>
      <c r="U53" s="60">
        <v>30</v>
      </c>
      <c r="V53" s="60">
        <v>8</v>
      </c>
      <c r="W53" s="60">
        <v>1</v>
      </c>
      <c r="X53" s="60">
        <v>2</v>
      </c>
      <c r="Y53" s="60">
        <v>5</v>
      </c>
      <c r="Z53" s="60">
        <v>2</v>
      </c>
      <c r="AA53" s="60">
        <v>1</v>
      </c>
      <c r="AB53" s="60">
        <v>1</v>
      </c>
      <c r="AC53" s="60">
        <v>4</v>
      </c>
      <c r="AI53" s="56" t="s">
        <v>170</v>
      </c>
    </row>
    <row r="54" spans="2:35" ht="18.75" customHeight="1" x14ac:dyDescent="0.15">
      <c r="B54" s="105" t="s">
        <v>42</v>
      </c>
      <c r="C54" s="70">
        <f>IFERROR(INDEX(阻害要因×疾患名＿寛解・院内寛解[#All],MATCH($AI54,阻害要因×疾患名＿寛解・院内寛解[[#All],[値]],0),MATCH($AJ$4,阻害要因×疾患名＿寛解・院内寛解[#Headers],0)),0)+IFERROR(INDEX(阻害要因×疾患名＿寛解・院内寛解[#All],MATCH($AI54,阻害要因×疾患名＿寛解・院内寛解[[#All],[値]],0),MATCH($AK$4,阻害要因×疾患名＿寛解・院内寛解[#Headers],0)),0)</f>
        <v>3</v>
      </c>
      <c r="D54" s="69">
        <f t="shared" si="8"/>
        <v>7.3170731707317069E-2</v>
      </c>
      <c r="E54" s="70">
        <f>IFERROR(INDEX(阻害要因×疾患名＿寛解・院内寛解[#All],MATCH($AI54,阻害要因×疾患名＿寛解・院内寛解[[#All],[値]],0),MATCH($AL$4,阻害要因×疾患名＿寛解・院内寛解[#Headers],0)),0)</f>
        <v>3</v>
      </c>
      <c r="F54" s="69">
        <f t="shared" si="9"/>
        <v>5.8823529411764705E-2</v>
      </c>
      <c r="G54" s="70">
        <f>IFERROR(INDEX(阻害要因×疾患名＿寛解・院内寛解[#All],MATCH($AI54,阻害要因×疾患名＿寛解・院内寛解[[#All],[値]],0),MATCH($AP$4,阻害要因×疾患名＿寛解・院内寛解[#Headers],0)),0)</f>
        <v>22</v>
      </c>
      <c r="H54" s="69">
        <f t="shared" si="10"/>
        <v>6.3953488372093026E-2</v>
      </c>
      <c r="I54" s="70">
        <f>IFERROR(INDEX(阻害要因×疾患名＿寛解・院内寛解[#All],MATCH($AI54,阻害要因×疾患名＿寛解・院内寛解[[#All],[値]],0),MATCH($AQ$4,阻害要因×疾患名＿寛解・院内寛解[#Headers],0)),0)+IFERROR(INDEX(阻害要因×疾患名＿寛解・院内寛解[#All],MATCH($AI54,阻害要因×疾患名＿寛解・院内寛解[[#All],[値]],0),MATCH($AR$4,阻害要因×疾患名＿寛解・院内寛解[#Headers],0)),0)</f>
        <v>6</v>
      </c>
      <c r="J54" s="69">
        <f t="shared" si="11"/>
        <v>5.2631578947368418E-2</v>
      </c>
      <c r="K54" s="39">
        <f t="shared" si="7"/>
        <v>76</v>
      </c>
      <c r="L54" s="56" t="s">
        <v>171</v>
      </c>
      <c r="M54" s="66">
        <v>1</v>
      </c>
      <c r="N54" s="66">
        <v>2</v>
      </c>
      <c r="O54" s="66">
        <v>3</v>
      </c>
      <c r="P54" s="60">
        <v>3</v>
      </c>
      <c r="Q54" s="60">
        <v>0</v>
      </c>
      <c r="R54" s="60">
        <v>0</v>
      </c>
      <c r="S54" s="60">
        <v>22</v>
      </c>
      <c r="T54" s="60">
        <v>2</v>
      </c>
      <c r="U54" s="60">
        <v>4</v>
      </c>
      <c r="V54" s="60">
        <v>5</v>
      </c>
      <c r="W54" s="60">
        <v>0</v>
      </c>
      <c r="X54" s="60">
        <v>1</v>
      </c>
      <c r="Y54" s="60">
        <v>2</v>
      </c>
      <c r="Z54" s="60">
        <v>1</v>
      </c>
      <c r="AA54" s="60">
        <v>3</v>
      </c>
      <c r="AB54" s="60">
        <v>0</v>
      </c>
      <c r="AC54" s="60">
        <v>1</v>
      </c>
      <c r="AI54" s="56" t="s">
        <v>171</v>
      </c>
    </row>
    <row r="55" spans="2:35" ht="18.75" customHeight="1" x14ac:dyDescent="0.15">
      <c r="B55" s="105" t="s">
        <v>43</v>
      </c>
      <c r="C55" s="70">
        <f>IFERROR(INDEX(阻害要因×疾患名＿寛解・院内寛解[#All],MATCH($AI55,阻害要因×疾患名＿寛解・院内寛解[[#All],[値]],0),MATCH($AJ$4,阻害要因×疾患名＿寛解・院内寛解[#Headers],0)),0)+IFERROR(INDEX(阻害要因×疾患名＿寛解・院内寛解[#All],MATCH($AI55,阻害要因×疾患名＿寛解・院内寛解[[#All],[値]],0),MATCH($AK$4,阻害要因×疾患名＿寛解・院内寛解[#Headers],0)),0)</f>
        <v>5</v>
      </c>
      <c r="D55" s="69">
        <f t="shared" si="8"/>
        <v>0.12195121951219512</v>
      </c>
      <c r="E55" s="70">
        <f>IFERROR(INDEX(阻害要因×疾患名＿寛解・院内寛解[#All],MATCH($AI55,阻害要因×疾患名＿寛解・院内寛解[[#All],[値]],0),MATCH($AL$4,阻害要因×疾患名＿寛解・院内寛解[#Headers],0)),0)</f>
        <v>10</v>
      </c>
      <c r="F55" s="69">
        <f t="shared" si="9"/>
        <v>0.19607843137254902</v>
      </c>
      <c r="G55" s="70">
        <f>IFERROR(INDEX(阻害要因×疾患名＿寛解・院内寛解[#All],MATCH($AI55,阻害要因×疾患名＿寛解・院内寛解[[#All],[値]],0),MATCH($AP$4,阻害要因×疾患名＿寛解・院内寛解[#Headers],0)),0)</f>
        <v>114</v>
      </c>
      <c r="H55" s="69">
        <f t="shared" si="10"/>
        <v>0.33139534883720928</v>
      </c>
      <c r="I55" s="70">
        <f>IFERROR(INDEX(阻害要因×疾患名＿寛解・院内寛解[#All],MATCH($AI55,阻害要因×疾患名＿寛解・院内寛解[[#All],[値]],0),MATCH($AQ$4,阻害要因×疾患名＿寛解・院内寛解[#Headers],0)),0)+IFERROR(INDEX(阻害要因×疾患名＿寛解・院内寛解[#All],MATCH($AI55,阻害要因×疾患名＿寛解・院内寛解[[#All],[値]],0),MATCH($AR$4,阻害要因×疾患名＿寛解・院内寛解[#Headers],0)),0)</f>
        <v>23</v>
      </c>
      <c r="J55" s="69">
        <f t="shared" si="11"/>
        <v>0.20175438596491227</v>
      </c>
      <c r="K55" s="39">
        <f t="shared" si="7"/>
        <v>129</v>
      </c>
      <c r="L55" s="56" t="s">
        <v>172</v>
      </c>
      <c r="M55" s="66">
        <v>3</v>
      </c>
      <c r="N55" s="66">
        <v>2</v>
      </c>
      <c r="O55" s="66">
        <v>10</v>
      </c>
      <c r="P55" s="60">
        <v>8</v>
      </c>
      <c r="Q55" s="60">
        <v>1</v>
      </c>
      <c r="R55" s="60">
        <v>1</v>
      </c>
      <c r="S55" s="60">
        <v>114</v>
      </c>
      <c r="T55" s="60">
        <v>6</v>
      </c>
      <c r="U55" s="60">
        <v>17</v>
      </c>
      <c r="V55" s="60">
        <v>5</v>
      </c>
      <c r="W55" s="60">
        <v>1</v>
      </c>
      <c r="X55" s="60">
        <v>1</v>
      </c>
      <c r="Y55" s="60">
        <v>4</v>
      </c>
      <c r="Z55" s="60">
        <v>2</v>
      </c>
      <c r="AA55" s="60">
        <v>1</v>
      </c>
      <c r="AB55" s="60">
        <v>2</v>
      </c>
      <c r="AC55" s="60">
        <v>2</v>
      </c>
      <c r="AI55" s="56" t="s">
        <v>172</v>
      </c>
    </row>
    <row r="56" spans="2:35" ht="18.75" customHeight="1" x14ac:dyDescent="0.15">
      <c r="B56" s="105" t="s">
        <v>44</v>
      </c>
      <c r="C56" s="70">
        <f>IFERROR(INDEX(阻害要因×疾患名＿寛解・院内寛解[#All],MATCH($AI56,阻害要因×疾患名＿寛解・院内寛解[[#All],[値]],0),MATCH($AJ$4,阻害要因×疾患名＿寛解・院内寛解[#Headers],0)),0)+IFERROR(INDEX(阻害要因×疾患名＿寛解・院内寛解[#All],MATCH($AI56,阻害要因×疾患名＿寛解・院内寛解[[#All],[値]],0),MATCH($AK$4,阻害要因×疾患名＿寛解・院内寛解[#Headers],0)),0)</f>
        <v>3</v>
      </c>
      <c r="D56" s="69">
        <f t="shared" si="8"/>
        <v>7.3170731707317069E-2</v>
      </c>
      <c r="E56" s="70">
        <f>IFERROR(INDEX(阻害要因×疾患名＿寛解・院内寛解[#All],MATCH($AI56,阻害要因×疾患名＿寛解・院内寛解[[#All],[値]],0),MATCH($AL$4,阻害要因×疾患名＿寛解・院内寛解[#Headers],0)),0)</f>
        <v>9</v>
      </c>
      <c r="F56" s="69">
        <f t="shared" si="9"/>
        <v>0.17647058823529413</v>
      </c>
      <c r="G56" s="70">
        <f>IFERROR(INDEX(阻害要因×疾患名＿寛解・院内寛解[#All],MATCH($AI56,阻害要因×疾患名＿寛解・院内寛解[[#All],[値]],0),MATCH($AP$4,阻害要因×疾患名＿寛解・院内寛解[#Headers],0)),0)</f>
        <v>47</v>
      </c>
      <c r="H56" s="69">
        <f t="shared" si="10"/>
        <v>0.13662790697674418</v>
      </c>
      <c r="I56" s="70">
        <f>IFERROR(INDEX(阻害要因×疾患名＿寛解・院内寛解[#All],MATCH($AI56,阻害要因×疾患名＿寛解・院内寛解[[#All],[値]],0),MATCH($AQ$4,阻害要因×疾患名＿寛解・院内寛解[#Headers],0)),0)+IFERROR(INDEX(阻害要因×疾患名＿寛解・院内寛解[#All],MATCH($AI56,阻害要因×疾患名＿寛解・院内寛解[[#All],[値]],0),MATCH($AR$4,阻害要因×疾患名＿寛解・院内寛解[#Headers],0)),0)</f>
        <v>17</v>
      </c>
      <c r="J56" s="69">
        <f t="shared" si="11"/>
        <v>0.14912280701754385</v>
      </c>
      <c r="K56" s="39">
        <f t="shared" si="7"/>
        <v>168</v>
      </c>
      <c r="L56" s="56" t="s">
        <v>173</v>
      </c>
      <c r="M56" s="66">
        <v>3</v>
      </c>
      <c r="N56" s="66">
        <v>0</v>
      </c>
      <c r="O56" s="66">
        <v>9</v>
      </c>
      <c r="P56" s="60">
        <v>7</v>
      </c>
      <c r="Q56" s="60">
        <v>0</v>
      </c>
      <c r="R56" s="60">
        <v>0</v>
      </c>
      <c r="S56" s="60">
        <v>47</v>
      </c>
      <c r="T56" s="60">
        <v>3</v>
      </c>
      <c r="U56" s="60">
        <v>14</v>
      </c>
      <c r="V56" s="60">
        <v>6</v>
      </c>
      <c r="W56" s="60">
        <v>1</v>
      </c>
      <c r="X56" s="60">
        <v>1</v>
      </c>
      <c r="Y56" s="60">
        <v>4</v>
      </c>
      <c r="Z56" s="60">
        <v>1</v>
      </c>
      <c r="AA56" s="60">
        <v>1</v>
      </c>
      <c r="AB56" s="60">
        <v>1</v>
      </c>
      <c r="AC56" s="60">
        <v>0</v>
      </c>
      <c r="AI56" s="56" t="s">
        <v>173</v>
      </c>
    </row>
    <row r="57" spans="2:35" ht="18.75" customHeight="1" x14ac:dyDescent="0.15">
      <c r="B57" s="105" t="s">
        <v>247</v>
      </c>
      <c r="C57" s="70">
        <f>IFERROR(INDEX(阻害要因×疾患名＿寛解・院内寛解[#All],MATCH($AI57,阻害要因×疾患名＿寛解・院内寛解[[#All],[値]],0),MATCH($AJ$4,阻害要因×疾患名＿寛解・院内寛解[#Headers],0)),0)+IFERROR(INDEX(阻害要因×疾患名＿寛解・院内寛解[#All],MATCH($AI57,阻害要因×疾患名＿寛解・院内寛解[[#All],[値]],0),MATCH($AK$4,阻害要因×疾患名＿寛解・院内寛解[#Headers],0)),0)</f>
        <v>12</v>
      </c>
      <c r="D57" s="69">
        <f t="shared" si="8"/>
        <v>0.29268292682926828</v>
      </c>
      <c r="E57" s="70">
        <f>IFERROR(INDEX(阻害要因×疾患名＿寛解・院内寛解[#All],MATCH($AI57,阻害要因×疾患名＿寛解・院内寛解[[#All],[値]],0),MATCH($AL$4,阻害要因×疾患名＿寛解・院内寛解[#Headers],0)),0)</f>
        <v>14</v>
      </c>
      <c r="F57" s="69">
        <f t="shared" si="9"/>
        <v>0.27450980392156865</v>
      </c>
      <c r="G57" s="70">
        <f>IFERROR(INDEX(阻害要因×疾患名＿寛解・院内寛解[#All],MATCH($AI57,阻害要因×疾患名＿寛解・院内寛解[[#All],[値]],0),MATCH($AP$4,阻害要因×疾患名＿寛解・院内寛解[#Headers],0)),0)</f>
        <v>88</v>
      </c>
      <c r="H57" s="69">
        <f t="shared" si="10"/>
        <v>0.2558139534883721</v>
      </c>
      <c r="I57" s="70">
        <f>IFERROR(INDEX(阻害要因×疾患名＿寛解・院内寛解[#All],MATCH($AI57,阻害要因×疾患名＿寛解・院内寛解[[#All],[値]],0),MATCH($AQ$4,阻害要因×疾患名＿寛解・院内寛解[#Headers],0)),0)+IFERROR(INDEX(阻害要因×疾患名＿寛解・院内寛解[#All],MATCH($AI57,阻害要因×疾患名＿寛解・院内寛解[[#All],[値]],0),MATCH($AR$4,阻害要因×疾患名＿寛解・院内寛解[#Headers],0)),0)</f>
        <v>15</v>
      </c>
      <c r="J57" s="69">
        <f t="shared" si="11"/>
        <v>0.13157894736842105</v>
      </c>
      <c r="K57" s="39">
        <f t="shared" si="7"/>
        <v>33</v>
      </c>
      <c r="L57" s="56" t="s">
        <v>174</v>
      </c>
      <c r="M57" s="66">
        <v>8</v>
      </c>
      <c r="N57" s="66">
        <v>4</v>
      </c>
      <c r="O57" s="66">
        <v>14</v>
      </c>
      <c r="P57" s="60">
        <v>11</v>
      </c>
      <c r="Q57" s="60">
        <v>0</v>
      </c>
      <c r="R57" s="60">
        <v>1</v>
      </c>
      <c r="S57" s="60">
        <v>88</v>
      </c>
      <c r="T57" s="60">
        <v>5</v>
      </c>
      <c r="U57" s="60">
        <v>10</v>
      </c>
      <c r="V57" s="60">
        <v>4</v>
      </c>
      <c r="W57" s="60">
        <v>0</v>
      </c>
      <c r="X57" s="60">
        <v>0</v>
      </c>
      <c r="Y57" s="60">
        <v>3</v>
      </c>
      <c r="Z57" s="60">
        <v>2</v>
      </c>
      <c r="AA57" s="60">
        <v>1</v>
      </c>
      <c r="AB57" s="60">
        <v>1</v>
      </c>
      <c r="AC57" s="60">
        <v>3</v>
      </c>
      <c r="AI57" s="56" t="s">
        <v>174</v>
      </c>
    </row>
    <row r="58" spans="2:35" ht="18.75" customHeight="1" x14ac:dyDescent="0.15">
      <c r="B58" s="105" t="s">
        <v>46</v>
      </c>
      <c r="C58" s="106">
        <f>IFERROR(INDEX(阻害要因×疾患名＿寛解・院内寛解[#All],MATCH($AI58,阻害要因×疾患名＿寛解・院内寛解[[#All],[値]],0),MATCH($AJ$4,阻害要因×疾患名＿寛解・院内寛解[#Headers],0)),0)+IFERROR(INDEX(阻害要因×疾患名＿寛解・院内寛解[#All],MATCH($AI58,阻害要因×疾患名＿寛解・院内寛解[[#All],[値]],0),MATCH($AK$4,阻害要因×疾患名＿寛解・院内寛解[#Headers],0)),0)</f>
        <v>10</v>
      </c>
      <c r="D58" s="69">
        <f t="shared" si="8"/>
        <v>0.24390243902439024</v>
      </c>
      <c r="E58" s="70">
        <f>IFERROR(INDEX(阻害要因×疾患名＿寛解・院内寛解[#All],MATCH($AI58,阻害要因×疾患名＿寛解・院内寛解[[#All],[値]],0),MATCH($AL$4,阻害要因×疾患名＿寛解・院内寛解[#Headers],0)),0)</f>
        <v>21</v>
      </c>
      <c r="F58" s="69">
        <f t="shared" si="9"/>
        <v>0.41176470588235292</v>
      </c>
      <c r="G58" s="70">
        <f>IFERROR(INDEX(阻害要因×疾患名＿寛解・院内寛解[#All],MATCH($AI58,阻害要因×疾患名＿寛解・院内寛解[[#All],[値]],0),MATCH($AP$4,阻害要因×疾患名＿寛解・院内寛解[#Headers],0)),0)</f>
        <v>109</v>
      </c>
      <c r="H58" s="69">
        <f t="shared" si="10"/>
        <v>0.31686046511627908</v>
      </c>
      <c r="I58" s="70">
        <f>IFERROR(INDEX(阻害要因×疾患名＿寛解・院内寛解[#All],MATCH($AI58,阻害要因×疾患名＿寛解・院内寛解[[#All],[値]],0),MATCH($AQ$4,阻害要因×疾患名＿寛解・院内寛解[#Headers],0)),0)+IFERROR(INDEX(阻害要因×疾患名＿寛解・院内寛解[#All],MATCH($AI58,阻害要因×疾患名＿寛解・院内寛解[[#All],[値]],0),MATCH($AR$4,阻害要因×疾患名＿寛解・院内寛解[#Headers],0)),0)</f>
        <v>28</v>
      </c>
      <c r="J58" s="69">
        <f t="shared" si="11"/>
        <v>0.24561403508771928</v>
      </c>
      <c r="K58" s="39">
        <f t="shared" si="7"/>
        <v>31</v>
      </c>
      <c r="L58" s="56" t="s">
        <v>175</v>
      </c>
      <c r="M58" s="66">
        <v>9</v>
      </c>
      <c r="N58" s="66">
        <v>1</v>
      </c>
      <c r="O58" s="66">
        <v>21</v>
      </c>
      <c r="P58" s="60">
        <v>16</v>
      </c>
      <c r="Q58" s="60">
        <v>1</v>
      </c>
      <c r="R58" s="60">
        <v>3</v>
      </c>
      <c r="S58" s="60">
        <v>109</v>
      </c>
      <c r="T58" s="60">
        <v>9</v>
      </c>
      <c r="U58" s="60">
        <v>19</v>
      </c>
      <c r="V58" s="60">
        <v>11</v>
      </c>
      <c r="W58" s="60">
        <v>0</v>
      </c>
      <c r="X58" s="60">
        <v>1</v>
      </c>
      <c r="Y58" s="60">
        <v>4</v>
      </c>
      <c r="Z58" s="60">
        <v>4</v>
      </c>
      <c r="AA58" s="60">
        <v>1</v>
      </c>
      <c r="AB58" s="60">
        <v>0</v>
      </c>
      <c r="AC58" s="60">
        <v>3</v>
      </c>
      <c r="AI58" s="56" t="s">
        <v>175</v>
      </c>
    </row>
    <row r="59" spans="2:35" ht="18.75" customHeight="1" x14ac:dyDescent="0.15">
      <c r="B59" s="105" t="s">
        <v>47</v>
      </c>
      <c r="C59" s="70">
        <f>IFERROR(INDEX(阻害要因×疾患名＿寛解・院内寛解[#All],MATCH($AI59,阻害要因×疾患名＿寛解・院内寛解[[#All],[値]],0),MATCH($AJ$4,阻害要因×疾患名＿寛解・院内寛解[#Headers],0)),0)+IFERROR(INDEX(阻害要因×疾患名＿寛解・院内寛解[#All],MATCH($AI59,阻害要因×疾患名＿寛解・院内寛解[[#All],[値]],0),MATCH($AK$4,阻害要因×疾患名＿寛解・院内寛解[#Headers],0)),0)</f>
        <v>3</v>
      </c>
      <c r="D59" s="69">
        <f t="shared" si="8"/>
        <v>7.3170731707317069E-2</v>
      </c>
      <c r="E59" s="70">
        <f>IFERROR(INDEX(阻害要因×疾患名＿寛解・院内寛解[#All],MATCH($AI59,阻害要因×疾患名＿寛解・院内寛解[[#All],[値]],0),MATCH($AL$4,阻害要因×疾患名＿寛解・院内寛解[#Headers],0)),0)</f>
        <v>3</v>
      </c>
      <c r="F59" s="69">
        <f t="shared" si="9"/>
        <v>5.8823529411764705E-2</v>
      </c>
      <c r="G59" s="70">
        <f>IFERROR(INDEX(阻害要因×疾患名＿寛解・院内寛解[#All],MATCH($AI59,阻害要因×疾患名＿寛解・院内寛解[[#All],[値]],0),MATCH($AP$4,阻害要因×疾患名＿寛解・院内寛解[#Headers],0)),0)</f>
        <v>19</v>
      </c>
      <c r="H59" s="69">
        <f t="shared" si="10"/>
        <v>5.5232558139534885E-2</v>
      </c>
      <c r="I59" s="70">
        <f>IFERROR(INDEX(阻害要因×疾患名＿寛解・院内寛解[#All],MATCH($AI59,阻害要因×疾患名＿寛解・院内寛解[[#All],[値]],0),MATCH($AQ$4,阻害要因×疾患名＿寛解・院内寛解[#Headers],0)),0)+IFERROR(INDEX(阻害要因×疾患名＿寛解・院内寛解[#All],MATCH($AI59,阻害要因×疾患名＿寛解・院内寛解[[#All],[値]],0),MATCH($AR$4,阻害要因×疾患名＿寛解・院内寛解[#Headers],0)),0)</f>
        <v>8</v>
      </c>
      <c r="J59" s="69">
        <f t="shared" si="11"/>
        <v>7.0175438596491224E-2</v>
      </c>
      <c r="K59" s="39">
        <f t="shared" si="7"/>
        <v>0</v>
      </c>
      <c r="L59" s="56" t="s">
        <v>176</v>
      </c>
      <c r="M59" s="66">
        <v>1</v>
      </c>
      <c r="N59" s="66">
        <v>2</v>
      </c>
      <c r="O59" s="66">
        <v>3</v>
      </c>
      <c r="P59" s="60">
        <v>2</v>
      </c>
      <c r="Q59" s="60">
        <v>0</v>
      </c>
      <c r="R59" s="60">
        <v>1</v>
      </c>
      <c r="S59" s="60">
        <v>19</v>
      </c>
      <c r="T59" s="60">
        <v>1</v>
      </c>
      <c r="U59" s="60">
        <v>7</v>
      </c>
      <c r="V59" s="60">
        <v>3</v>
      </c>
      <c r="W59" s="60">
        <v>0</v>
      </c>
      <c r="X59" s="60">
        <v>0</v>
      </c>
      <c r="Y59" s="60">
        <v>1</v>
      </c>
      <c r="Z59" s="60">
        <v>1</v>
      </c>
      <c r="AA59" s="60">
        <v>0</v>
      </c>
      <c r="AB59" s="60">
        <v>0</v>
      </c>
      <c r="AC59" s="60">
        <v>1</v>
      </c>
      <c r="AI59" s="56" t="s">
        <v>176</v>
      </c>
    </row>
    <row r="60" spans="2:35" ht="18.75" customHeight="1" x14ac:dyDescent="0.15">
      <c r="B60" s="105" t="s">
        <v>48</v>
      </c>
      <c r="C60" s="70">
        <f>IFERROR(INDEX(阻害要因×疾患名＿寛解・院内寛解[#All],MATCH($AI60,阻害要因×疾患名＿寛解・院内寛解[[#All],[値]],0),MATCH($AJ$4,阻害要因×疾患名＿寛解・院内寛解[#Headers],0)),0)+IFERROR(INDEX(阻害要因×疾患名＿寛解・院内寛解[#All],MATCH($AI60,阻害要因×疾患名＿寛解・院内寛解[[#All],[値]],0),MATCH($AK$4,阻害要因×疾患名＿寛解・院内寛解[#Headers],0)),0)</f>
        <v>2</v>
      </c>
      <c r="D60" s="69">
        <f t="shared" si="8"/>
        <v>4.878048780487805E-2</v>
      </c>
      <c r="E60" s="70">
        <f>IFERROR(INDEX(阻害要因×疾患名＿寛解・院内寛解[#All],MATCH($AI60,阻害要因×疾患名＿寛解・院内寛解[[#All],[値]],0),MATCH($AL$4,阻害要因×疾患名＿寛解・院内寛解[#Headers],0)),0)</f>
        <v>2</v>
      </c>
      <c r="F60" s="69">
        <f t="shared" si="9"/>
        <v>3.9215686274509803E-2</v>
      </c>
      <c r="G60" s="70">
        <f>IFERROR(INDEX(阻害要因×疾患名＿寛解・院内寛解[#All],MATCH($AI60,阻害要因×疾患名＿寛解・院内寛解[[#All],[値]],0),MATCH($AP$4,阻害要因×疾患名＿寛解・院内寛解[#Headers],0)),0)</f>
        <v>15</v>
      </c>
      <c r="H60" s="69">
        <f t="shared" si="10"/>
        <v>4.3604651162790699E-2</v>
      </c>
      <c r="I60" s="70">
        <f>IFERROR(INDEX(阻害要因×疾患名＿寛解・院内寛解[#All],MATCH($AI60,阻害要因×疾患名＿寛解・院内寛解[[#All],[値]],0),MATCH($AQ$4,阻害要因×疾患名＿寛解・院内寛解[#Headers],0)),0)+IFERROR(INDEX(阻害要因×疾患名＿寛解・院内寛解[#All],MATCH($AI60,阻害要因×疾患名＿寛解・院内寛解[[#All],[値]],0),MATCH($AR$4,阻害要因×疾患名＿寛解・院内寛解[#Headers],0)),0)</f>
        <v>12</v>
      </c>
      <c r="J60" s="69">
        <f t="shared" si="11"/>
        <v>0.10526315789473684</v>
      </c>
      <c r="K60" s="39">
        <f t="shared" si="7"/>
        <v>46</v>
      </c>
      <c r="L60" s="56" t="s">
        <v>177</v>
      </c>
      <c r="M60" s="66">
        <v>2</v>
      </c>
      <c r="N60" s="66">
        <v>0</v>
      </c>
      <c r="O60" s="66">
        <v>2</v>
      </c>
      <c r="P60" s="60">
        <v>4</v>
      </c>
      <c r="Q60" s="60">
        <v>0</v>
      </c>
      <c r="R60" s="60">
        <v>0</v>
      </c>
      <c r="S60" s="60">
        <v>15</v>
      </c>
      <c r="T60" s="60">
        <v>2</v>
      </c>
      <c r="U60" s="60">
        <v>10</v>
      </c>
      <c r="V60" s="60">
        <v>3</v>
      </c>
      <c r="W60" s="60">
        <v>0</v>
      </c>
      <c r="X60" s="60">
        <v>1</v>
      </c>
      <c r="Y60" s="60">
        <v>1</v>
      </c>
      <c r="Z60" s="60">
        <v>2</v>
      </c>
      <c r="AA60" s="60">
        <v>0</v>
      </c>
      <c r="AB60" s="60">
        <v>0</v>
      </c>
      <c r="AC60" s="60">
        <v>1</v>
      </c>
      <c r="AI60" s="56" t="s">
        <v>177</v>
      </c>
    </row>
    <row r="61" spans="2:35" ht="18.75" customHeight="1" x14ac:dyDescent="0.15">
      <c r="B61" s="105" t="s">
        <v>49</v>
      </c>
      <c r="C61" s="68">
        <f>IFERROR(INDEX(阻害要因×疾患名＿寛解・院内寛解[#All],MATCH($AI61,阻害要因×疾患名＿寛解・院内寛解[[#All],[値]],0),MATCH($AJ$4,阻害要因×疾患名＿寛解・院内寛解[#Headers],0)),0)+IFERROR(INDEX(阻害要因×疾患名＿寛解・院内寛解[#All],MATCH($AI61,阻害要因×疾患名＿寛解・院内寛解[[#All],[値]],0),MATCH($AK$4,阻害要因×疾患名＿寛解・院内寛解[#Headers],0)),0)</f>
        <v>0</v>
      </c>
      <c r="D61" s="73">
        <f t="shared" si="8"/>
        <v>0</v>
      </c>
      <c r="E61" s="68">
        <f>IFERROR(INDEX(阻害要因×疾患名＿寛解・院内寛解[#All],MATCH($AI61,阻害要因×疾患名＿寛解・院内寛解[[#All],[値]],0),MATCH($AL$4,阻害要因×疾患名＿寛解・院内寛解[#Headers],0)),0)</f>
        <v>0</v>
      </c>
      <c r="F61" s="73">
        <f t="shared" si="9"/>
        <v>0</v>
      </c>
      <c r="G61" s="68">
        <f>IFERROR(INDEX(阻害要因×疾患名＿寛解・院内寛解[#All],MATCH($AI61,阻害要因×疾患名＿寛解・院内寛解[[#All],[値]],0),MATCH($AP$4,阻害要因×疾患名＿寛解・院内寛解[#Headers],0)),0)</f>
        <v>0</v>
      </c>
      <c r="H61" s="73">
        <f t="shared" si="10"/>
        <v>0</v>
      </c>
      <c r="I61" s="68">
        <f>IFERROR(INDEX(阻害要因×疾患名＿寛解・院内寛解[#All],MATCH($AI61,阻害要因×疾患名＿寛解・院内寛解[[#All],[値]],0),MATCH($AQ$4,阻害要因×疾患名＿寛解・院内寛解[#Headers],0)),0)+IFERROR(INDEX(阻害要因×疾患名＿寛解・院内寛解[#All],MATCH($AI61,阻害要因×疾患名＿寛解・院内寛解[[#All],[値]],0),MATCH($AR$4,阻害要因×疾患名＿寛解・院内寛解[#Headers],0)),0)</f>
        <v>0</v>
      </c>
      <c r="J61" s="73">
        <f t="shared" si="11"/>
        <v>0</v>
      </c>
      <c r="K61" s="39">
        <f t="shared" si="7"/>
        <v>55</v>
      </c>
      <c r="L61" s="56" t="s">
        <v>178</v>
      </c>
      <c r="M61" s="66">
        <v>0</v>
      </c>
      <c r="N61" s="60">
        <v>0</v>
      </c>
      <c r="O61" s="60">
        <v>0</v>
      </c>
      <c r="P61" s="60">
        <v>0</v>
      </c>
      <c r="Q61" s="60">
        <v>0</v>
      </c>
      <c r="R61" s="60">
        <v>0</v>
      </c>
      <c r="S61" s="60">
        <v>0</v>
      </c>
      <c r="T61" s="60">
        <v>0</v>
      </c>
      <c r="U61" s="60">
        <v>0</v>
      </c>
      <c r="V61" s="60">
        <v>0</v>
      </c>
      <c r="W61" s="60">
        <v>0</v>
      </c>
      <c r="X61" s="60">
        <v>0</v>
      </c>
      <c r="Y61" s="60">
        <v>0</v>
      </c>
      <c r="Z61" s="60">
        <v>0</v>
      </c>
      <c r="AA61" s="60">
        <v>0</v>
      </c>
      <c r="AB61" s="60">
        <v>0</v>
      </c>
      <c r="AC61" s="60">
        <v>0</v>
      </c>
      <c r="AI61" s="56" t="s">
        <v>178</v>
      </c>
    </row>
    <row r="62" spans="2:35" ht="18.75" customHeight="1" x14ac:dyDescent="0.15">
      <c r="B62" s="105" t="s">
        <v>50</v>
      </c>
      <c r="C62" s="106">
        <f>IFERROR(INDEX(阻害要因×疾患名＿寛解・院内寛解[#All],MATCH($AI62,阻害要因×疾患名＿寛解・院内寛解[[#All],[値]],0),MATCH($AJ$4,阻害要因×疾患名＿寛解・院内寛解[#Headers],0)),0)+IFERROR(INDEX(阻害要因×疾患名＿寛解・院内寛解[#All],MATCH($AI62,阻害要因×疾患名＿寛解・院内寛解[[#All],[値]],0),MATCH($AK$4,阻害要因×疾患名＿寛解・院内寛解[#Headers],0)),0)</f>
        <v>1</v>
      </c>
      <c r="D62" s="69">
        <f t="shared" si="8"/>
        <v>2.4390243902439025E-2</v>
      </c>
      <c r="E62" s="70">
        <f>IFERROR(INDEX(阻害要因×疾患名＿寛解・院内寛解[#All],MATCH($AI62,阻害要因×疾患名＿寛解・院内寛解[[#All],[値]],0),MATCH($AL$4,阻害要因×疾患名＿寛解・院内寛解[#Headers],0)),0)</f>
        <v>5</v>
      </c>
      <c r="F62" s="69">
        <f t="shared" si="9"/>
        <v>9.8039215686274508E-2</v>
      </c>
      <c r="G62" s="70">
        <f>IFERROR(INDEX(阻害要因×疾患名＿寛解・院内寛解[#All],MATCH($AI62,阻害要因×疾患名＿寛解・院内寛解[[#All],[値]],0),MATCH($AP$4,阻害要因×疾患名＿寛解・院内寛解[#Headers],0)),0)</f>
        <v>35</v>
      </c>
      <c r="H62" s="69">
        <f t="shared" si="10"/>
        <v>0.10174418604651163</v>
      </c>
      <c r="I62" s="70">
        <f>IFERROR(INDEX(阻害要因×疾患名＿寛解・院内寛解[#All],MATCH($AI62,阻害要因×疾患名＿寛解・院内寛解[[#All],[値]],0),MATCH($AQ$4,阻害要因×疾患名＿寛解・院内寛解[#Headers],0)),0)+IFERROR(INDEX(阻害要因×疾患名＿寛解・院内寛解[#All],MATCH($AI62,阻害要因×疾患名＿寛解・院内寛解[[#All],[値]],0),MATCH($AR$4,阻害要因×疾患名＿寛解・院内寛解[#Headers],0)),0)</f>
        <v>5</v>
      </c>
      <c r="J62" s="69">
        <f t="shared" si="11"/>
        <v>4.3859649122807015E-2</v>
      </c>
      <c r="K62" s="39">
        <f t="shared" si="7"/>
        <v>12</v>
      </c>
      <c r="L62" s="56" t="s">
        <v>179</v>
      </c>
      <c r="M62" s="66">
        <v>1</v>
      </c>
      <c r="N62" s="60">
        <v>0</v>
      </c>
      <c r="O62" s="60">
        <v>5</v>
      </c>
      <c r="P62" s="60">
        <v>7</v>
      </c>
      <c r="Q62" s="60">
        <v>0</v>
      </c>
      <c r="R62" s="60">
        <v>0</v>
      </c>
      <c r="S62" s="60">
        <v>35</v>
      </c>
      <c r="T62" s="60">
        <v>1</v>
      </c>
      <c r="U62" s="60">
        <v>4</v>
      </c>
      <c r="V62" s="60">
        <v>2</v>
      </c>
      <c r="W62" s="60">
        <v>1</v>
      </c>
      <c r="X62" s="60">
        <v>0</v>
      </c>
      <c r="Y62" s="60">
        <v>5</v>
      </c>
      <c r="Z62" s="60">
        <v>0</v>
      </c>
      <c r="AA62" s="60">
        <v>1</v>
      </c>
      <c r="AB62" s="60">
        <v>0</v>
      </c>
      <c r="AC62" s="60">
        <v>1</v>
      </c>
      <c r="AI62" s="56" t="s">
        <v>179</v>
      </c>
    </row>
    <row r="63" spans="2:35" ht="18.75" customHeight="1" x14ac:dyDescent="0.15">
      <c r="B63" s="105" t="s">
        <v>51</v>
      </c>
      <c r="C63" s="106">
        <f>IFERROR(INDEX(阻害要因×疾患名＿寛解・院内寛解[#All],MATCH($AI63,阻害要因×疾患名＿寛解・院内寛解[[#All],[値]],0),MATCH($AJ$4,阻害要因×疾患名＿寛解・院内寛解[#Headers],0)),0)+IFERROR(INDEX(阻害要因×疾患名＿寛解・院内寛解[#All],MATCH($AI63,阻害要因×疾患名＿寛解・院内寛解[[#All],[値]],0),MATCH($AK$4,阻害要因×疾患名＿寛解・院内寛解[#Headers],0)),0)</f>
        <v>3</v>
      </c>
      <c r="D63" s="69">
        <f t="shared" si="8"/>
        <v>7.3170731707317069E-2</v>
      </c>
      <c r="E63" s="70">
        <f>IFERROR(INDEX(阻害要因×疾患名＿寛解・院内寛解[#All],MATCH($AI63,阻害要因×疾患名＿寛解・院内寛解[[#All],[値]],0),MATCH($AL$4,阻害要因×疾患名＿寛解・院内寛解[#Headers],0)),0)</f>
        <v>7</v>
      </c>
      <c r="F63" s="69">
        <f t="shared" si="9"/>
        <v>0.13725490196078433</v>
      </c>
      <c r="G63" s="70">
        <f>IFERROR(INDEX(阻害要因×疾患名＿寛解・院内寛解[#All],MATCH($AI63,阻害要因×疾患名＿寛解・院内寛解[[#All],[値]],0),MATCH($AP$4,阻害要因×疾患名＿寛解・院内寛解[#Headers],0)),0)</f>
        <v>37</v>
      </c>
      <c r="H63" s="69">
        <f t="shared" si="10"/>
        <v>0.10755813953488372</v>
      </c>
      <c r="I63" s="70">
        <f>IFERROR(INDEX(阻害要因×疾患名＿寛解・院内寛解[#All],MATCH($AI63,阻害要因×疾患名＿寛解・院内寛解[[#All],[値]],0),MATCH($AQ$4,阻害要因×疾患名＿寛解・院内寛解[#Headers],0)),0)+IFERROR(INDEX(阻害要因×疾患名＿寛解・院内寛解[#All],MATCH($AI63,阻害要因×疾患名＿寛解・院内寛解[[#All],[値]],0),MATCH($AR$4,阻害要因×疾患名＿寛解・院内寛解[#Headers],0)),0)</f>
        <v>8</v>
      </c>
      <c r="J63" s="69">
        <f t="shared" si="11"/>
        <v>7.0175438596491224E-2</v>
      </c>
      <c r="K63" s="39">
        <f t="shared" si="7"/>
        <v>23</v>
      </c>
      <c r="L63" s="56" t="s">
        <v>180</v>
      </c>
      <c r="M63" s="66">
        <v>2</v>
      </c>
      <c r="N63" s="60">
        <v>1</v>
      </c>
      <c r="O63" s="60">
        <v>7</v>
      </c>
      <c r="P63" s="60">
        <v>7</v>
      </c>
      <c r="Q63" s="60">
        <v>1</v>
      </c>
      <c r="R63" s="60">
        <v>0</v>
      </c>
      <c r="S63" s="60">
        <v>37</v>
      </c>
      <c r="T63" s="60">
        <v>3</v>
      </c>
      <c r="U63" s="60">
        <v>5</v>
      </c>
      <c r="V63" s="60">
        <v>2</v>
      </c>
      <c r="W63" s="60">
        <v>0</v>
      </c>
      <c r="X63" s="60">
        <v>1</v>
      </c>
      <c r="Y63" s="60">
        <v>3</v>
      </c>
      <c r="Z63" s="60">
        <v>2</v>
      </c>
      <c r="AA63" s="60">
        <v>1</v>
      </c>
      <c r="AB63" s="60">
        <v>0</v>
      </c>
      <c r="AC63" s="60">
        <v>1</v>
      </c>
      <c r="AI63" s="56" t="s">
        <v>180</v>
      </c>
    </row>
    <row r="64" spans="2:35" x14ac:dyDescent="0.15">
      <c r="B64" s="105" t="s">
        <v>248</v>
      </c>
      <c r="C64" s="70">
        <f>IFERROR(INDEX(阻害要因×疾患名＿寛解・院内寛解[#All],MATCH($AI64,阻害要因×疾患名＿寛解・院内寛解[[#All],[値]],0),MATCH($AJ$4,阻害要因×疾患名＿寛解・院内寛解[#Headers],0)),0)+IFERROR(INDEX(阻害要因×疾患名＿寛解・院内寛解[#All],MATCH($AI64,阻害要因×疾患名＿寛解・院内寛解[[#All],[値]],0),MATCH($AK$4,阻害要因×疾患名＿寛解・院内寛解[#Headers],0)),0)</f>
        <v>0</v>
      </c>
      <c r="D64" s="69">
        <f t="shared" si="8"/>
        <v>0</v>
      </c>
      <c r="E64" s="70">
        <f>IFERROR(INDEX(阻害要因×疾患名＿寛解・院内寛解[#All],MATCH($AI64,阻害要因×疾患名＿寛解・院内寛解[[#All],[値]],0),MATCH($AL$4,阻害要因×疾患名＿寛解・院内寛解[#Headers],0)),0)</f>
        <v>2</v>
      </c>
      <c r="F64" s="69">
        <f t="shared" si="9"/>
        <v>3.9215686274509803E-2</v>
      </c>
      <c r="G64" s="70">
        <f>IFERROR(INDEX(阻害要因×疾患名＿寛解・院内寛解[#All],MATCH($AI64,阻害要因×疾患名＿寛解・院内寛解[[#All],[値]],0),MATCH($AP$4,阻害要因×疾患名＿寛解・院内寛解[#Headers],0)),0)</f>
        <v>8</v>
      </c>
      <c r="H64" s="69">
        <f t="shared" si="10"/>
        <v>2.3255813953488372E-2</v>
      </c>
      <c r="I64" s="70">
        <f>IFERROR(INDEX(阻害要因×疾患名＿寛解・院内寛解[#All],MATCH($AI64,阻害要因×疾患名＿寛解・院内寛解[[#All],[値]],0),MATCH($AQ$4,阻害要因×疾患名＿寛解・院内寛解[#Headers],0)),0)+IFERROR(INDEX(阻害要因×疾患名＿寛解・院内寛解[#All],MATCH($AI64,阻害要因×疾患名＿寛解・院内寛解[[#All],[値]],0),MATCH($AR$4,阻害要因×疾患名＿寛解・院内寛解[#Headers],0)),0)</f>
        <v>2</v>
      </c>
      <c r="J64" s="69">
        <f t="shared" si="11"/>
        <v>1.7543859649122806E-2</v>
      </c>
      <c r="L64" s="56" t="s">
        <v>181</v>
      </c>
      <c r="M64" s="66">
        <v>0</v>
      </c>
      <c r="N64" s="60">
        <v>0</v>
      </c>
      <c r="O64" s="60">
        <v>2</v>
      </c>
      <c r="P64" s="60">
        <v>6</v>
      </c>
      <c r="Q64" s="60">
        <v>0</v>
      </c>
      <c r="R64" s="60">
        <v>0</v>
      </c>
      <c r="S64" s="60">
        <v>8</v>
      </c>
      <c r="T64" s="60">
        <v>0</v>
      </c>
      <c r="U64" s="60">
        <v>2</v>
      </c>
      <c r="V64" s="60">
        <v>1</v>
      </c>
      <c r="W64" s="60">
        <v>0</v>
      </c>
      <c r="X64" s="60">
        <v>1</v>
      </c>
      <c r="Y64" s="60">
        <v>1</v>
      </c>
      <c r="Z64" s="60">
        <v>1</v>
      </c>
      <c r="AA64" s="60">
        <v>0</v>
      </c>
      <c r="AB64" s="60">
        <v>1</v>
      </c>
      <c r="AC64" s="60">
        <v>1</v>
      </c>
      <c r="AI64" s="56" t="s">
        <v>181</v>
      </c>
    </row>
    <row r="65" spans="2:35" x14ac:dyDescent="0.15">
      <c r="B65" s="107" t="s">
        <v>53</v>
      </c>
      <c r="C65" s="74">
        <f>IFERROR(INDEX(阻害要因×疾患名＿寛解・院内寛解[#All],MATCH($AI65,阻害要因×疾患名＿寛解・院内寛解[[#All],[値]],0),MATCH($AJ$4,阻害要因×疾患名＿寛解・院内寛解[#Headers],0)),0)+IFERROR(INDEX(阻害要因×疾患名＿寛解・院内寛解[#All],MATCH($AI65,阻害要因×疾患名＿寛解・院内寛解[[#All],[値]],0),MATCH($AK$4,阻害要因×疾患名＿寛解・院内寛解[#Headers],0)),0)</f>
        <v>2</v>
      </c>
      <c r="D65" s="77">
        <f t="shared" si="8"/>
        <v>4.878048780487805E-2</v>
      </c>
      <c r="E65" s="74">
        <f>IFERROR(INDEX(阻害要因×疾患名＿寛解・院内寛解[#All],MATCH($AI65,阻害要因×疾患名＿寛解・院内寛解[[#All],[値]],0),MATCH($AL$4,阻害要因×疾患名＿寛解・院内寛解[#Headers],0)),0)</f>
        <v>3</v>
      </c>
      <c r="F65" s="77">
        <f t="shared" si="9"/>
        <v>5.8823529411764705E-2</v>
      </c>
      <c r="G65" s="74">
        <f>IFERROR(INDEX(阻害要因×疾患名＿寛解・院内寛解[#All],MATCH($AI65,阻害要因×疾患名＿寛解・院内寛解[[#All],[値]],0),MATCH($AP$4,阻害要因×疾患名＿寛解・院内寛解[#Headers],0)),0)</f>
        <v>15</v>
      </c>
      <c r="H65" s="77">
        <f t="shared" si="10"/>
        <v>4.3604651162790699E-2</v>
      </c>
      <c r="I65" s="74">
        <f>IFERROR(INDEX(阻害要因×疾患名＿寛解・院内寛解[#All],MATCH($AI65,阻害要因×疾患名＿寛解・院内寛解[[#All],[値]],0),MATCH($AQ$4,阻害要因×疾患名＿寛解・院内寛解[#Headers],0)),0)+IFERROR(INDEX(阻害要因×疾患名＿寛解・院内寛解[#All],MATCH($AI65,阻害要因×疾患名＿寛解・院内寛解[[#All],[値]],0),MATCH($AR$4,阻害要因×疾患名＿寛解・院内寛解[#Headers],0)),0)</f>
        <v>3</v>
      </c>
      <c r="J65" s="77">
        <f t="shared" si="11"/>
        <v>2.6315789473684209E-2</v>
      </c>
      <c r="L65" s="56" t="s">
        <v>182</v>
      </c>
      <c r="M65" s="66">
        <v>1</v>
      </c>
      <c r="N65" s="60">
        <v>1</v>
      </c>
      <c r="O65" s="60">
        <v>3</v>
      </c>
      <c r="P65" s="60">
        <v>2</v>
      </c>
      <c r="Q65" s="60">
        <v>0</v>
      </c>
      <c r="R65" s="60">
        <v>1</v>
      </c>
      <c r="S65" s="60">
        <v>15</v>
      </c>
      <c r="T65" s="60">
        <v>0</v>
      </c>
      <c r="U65" s="60">
        <v>3</v>
      </c>
      <c r="V65" s="60">
        <v>3</v>
      </c>
      <c r="W65" s="60">
        <v>1</v>
      </c>
      <c r="X65" s="60">
        <v>0</v>
      </c>
      <c r="Y65" s="60">
        <v>0</v>
      </c>
      <c r="Z65" s="60">
        <v>0</v>
      </c>
      <c r="AA65" s="60">
        <v>0</v>
      </c>
      <c r="AB65" s="60">
        <v>0</v>
      </c>
      <c r="AC65" s="60">
        <v>1</v>
      </c>
      <c r="AI65" s="56" t="s">
        <v>182</v>
      </c>
    </row>
    <row r="66" spans="2:35" x14ac:dyDescent="0.15">
      <c r="F66" s="67"/>
      <c r="H66" s="67"/>
      <c r="J66" s="67"/>
    </row>
    <row r="67" spans="2:35" x14ac:dyDescent="0.15">
      <c r="F67" s="67"/>
      <c r="H67" s="67"/>
      <c r="J67" s="67"/>
    </row>
  </sheetData>
  <mergeCells count="20">
    <mergeCell ref="C13:J13"/>
    <mergeCell ref="C10:J10"/>
    <mergeCell ref="B2:B4"/>
    <mergeCell ref="C2:J2"/>
    <mergeCell ref="C4:D4"/>
    <mergeCell ref="E4:F4"/>
    <mergeCell ref="C3:F3"/>
    <mergeCell ref="G3:H4"/>
    <mergeCell ref="I3:J4"/>
    <mergeCell ref="C36:F36"/>
    <mergeCell ref="G36:H37"/>
    <mergeCell ref="I36:J37"/>
    <mergeCell ref="B14:J14"/>
    <mergeCell ref="B47:J47"/>
    <mergeCell ref="C43:J43"/>
    <mergeCell ref="C46:J46"/>
    <mergeCell ref="B35:B37"/>
    <mergeCell ref="C35:J35"/>
    <mergeCell ref="C37:D37"/>
    <mergeCell ref="E37:F37"/>
  </mergeCells>
  <phoneticPr fontId="2"/>
  <printOptions horizontalCentered="1"/>
  <pageMargins left="0.70866141732283472" right="0.70866141732283472" top="0.74803149606299213" bottom="0.74803149606299213" header="0.31496062992125984" footer="0.31496062992125984"/>
  <pageSetup paperSize="9" scale="75" fitToHeight="0" orientation="portrait" r:id="rId1"/>
  <rowBreaks count="1" manualBreakCount="1">
    <brk id="33" min="1" max="9" man="1"/>
  </rowBreaks>
  <drawing r:id="rId2"/>
  <legacyDrawing r:id="rId3"/>
  <mc:AlternateContent xmlns:mc="http://schemas.openxmlformats.org/markup-compatibility/2006">
    <mc:Choice Requires="x14">
      <controls>
        <mc:AlternateContent xmlns:mc="http://schemas.openxmlformats.org/markup-compatibility/2006">
          <mc:Choice Requires="x14">
            <control shapeId="25601" r:id="rId4" name="Button 1">
              <controlPr defaultSize="0" print="0" autoFill="0" autoPict="0" macro="[0]!データ削除20">
                <anchor moveWithCells="1" sizeWithCells="1">
                  <from>
                    <xdr:col>29</xdr:col>
                    <xdr:colOff>581025</xdr:colOff>
                    <xdr:row>3</xdr:row>
                    <xdr:rowOff>285750</xdr:rowOff>
                  </from>
                  <to>
                    <xdr:col>32</xdr:col>
                    <xdr:colOff>85725</xdr:colOff>
                    <xdr:row>4</xdr:row>
                    <xdr:rowOff>171450</xdr:rowOff>
                  </to>
                </anchor>
              </controlPr>
            </control>
          </mc:Choice>
        </mc:AlternateContent>
      </controls>
    </mc:Choice>
  </mc:AlternateContent>
  <tableParts count="6">
    <tablePart r:id="rId5"/>
    <tablePart r:id="rId6"/>
    <tablePart r:id="rId7"/>
    <tablePart r:id="rId8"/>
    <tablePart r:id="rId9"/>
    <tablePart r:id="rId10"/>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1">
    <tabColor rgb="FFFF0000"/>
    <pageSetUpPr fitToPage="1"/>
  </sheetPr>
  <dimension ref="B1:AX230"/>
  <sheetViews>
    <sheetView view="pageBreakPreview" zoomScaleNormal="100" zoomScaleSheetLayoutView="100" workbookViewId="0">
      <selection activeCell="G20" sqref="G20"/>
    </sheetView>
  </sheetViews>
  <sheetFormatPr defaultRowHeight="18.75" x14ac:dyDescent="0.15"/>
  <cols>
    <col min="1" max="1" width="4" style="1" customWidth="1"/>
    <col min="2" max="2" width="12.5" style="1" customWidth="1"/>
    <col min="3" max="12" width="8.75" style="1" customWidth="1"/>
    <col min="13" max="13" width="16.5" style="1" customWidth="1"/>
    <col min="14" max="14" width="2.5" style="1" customWidth="1"/>
    <col min="15" max="15" width="17.75" style="1" hidden="1" customWidth="1"/>
    <col min="16" max="31" width="11.125" style="1" hidden="1" customWidth="1"/>
    <col min="32" max="33" width="0" style="1" hidden="1" customWidth="1"/>
    <col min="34" max="34" width="9" style="1" hidden="1" customWidth="1"/>
    <col min="35" max="51" width="0" style="1" hidden="1" customWidth="1"/>
    <col min="52" max="16384" width="9" style="1"/>
  </cols>
  <sheetData>
    <row r="1" spans="2:50" ht="19.5" customHeight="1" x14ac:dyDescent="0.15">
      <c r="B1" s="2" t="s">
        <v>74</v>
      </c>
    </row>
    <row r="2" spans="2:50" ht="18.75" customHeight="1" thickBot="1" x14ac:dyDescent="0.2">
      <c r="B2" s="688" t="s">
        <v>65</v>
      </c>
      <c r="C2" s="690" t="s">
        <v>64</v>
      </c>
      <c r="D2" s="691"/>
      <c r="E2" s="691"/>
      <c r="F2" s="691"/>
      <c r="G2" s="691"/>
      <c r="H2" s="691"/>
      <c r="I2" s="691"/>
      <c r="J2" s="691"/>
      <c r="K2" s="691"/>
      <c r="L2" s="692"/>
      <c r="O2" s="34" t="s">
        <v>63</v>
      </c>
    </row>
    <row r="3" spans="2:50" ht="18.75" customHeight="1" thickTop="1" thickBot="1" x14ac:dyDescent="0.2">
      <c r="B3" s="689"/>
      <c r="C3" s="693" t="s">
        <v>69</v>
      </c>
      <c r="D3" s="694"/>
      <c r="E3" s="693" t="s">
        <v>70</v>
      </c>
      <c r="F3" s="694"/>
      <c r="G3" s="693" t="s">
        <v>71</v>
      </c>
      <c r="H3" s="694"/>
      <c r="I3" s="693" t="s">
        <v>72</v>
      </c>
      <c r="J3" s="694"/>
      <c r="K3" s="693" t="s">
        <v>62</v>
      </c>
      <c r="L3" s="694"/>
      <c r="O3" s="430" t="s">
        <v>371</v>
      </c>
      <c r="P3" s="504" t="s">
        <v>183</v>
      </c>
      <c r="Q3" s="62" t="s">
        <v>184</v>
      </c>
      <c r="R3" s="62" t="s">
        <v>185</v>
      </c>
      <c r="S3" s="62" t="s">
        <v>186</v>
      </c>
      <c r="T3" s="62" t="s">
        <v>187</v>
      </c>
      <c r="U3" s="62" t="s">
        <v>188</v>
      </c>
      <c r="V3" s="62" t="s">
        <v>189</v>
      </c>
      <c r="W3" s="62" t="s">
        <v>190</v>
      </c>
      <c r="X3" s="62" t="s">
        <v>191</v>
      </c>
      <c r="Y3" s="62" t="s">
        <v>192</v>
      </c>
      <c r="Z3" s="62" t="s">
        <v>193</v>
      </c>
      <c r="AA3" s="62" t="s">
        <v>194</v>
      </c>
      <c r="AB3" s="62" t="s">
        <v>195</v>
      </c>
      <c r="AC3" s="62" t="s">
        <v>196</v>
      </c>
      <c r="AD3" s="62" t="s">
        <v>197</v>
      </c>
      <c r="AE3" s="53" t="s">
        <v>198</v>
      </c>
      <c r="AI3" s="487" t="s">
        <v>183</v>
      </c>
      <c r="AJ3" s="488" t="s">
        <v>184</v>
      </c>
      <c r="AK3" s="488" t="s">
        <v>185</v>
      </c>
      <c r="AL3" s="488" t="s">
        <v>186</v>
      </c>
      <c r="AM3" s="488" t="s">
        <v>187</v>
      </c>
      <c r="AN3" s="488" t="s">
        <v>188</v>
      </c>
      <c r="AO3" s="488" t="s">
        <v>189</v>
      </c>
      <c r="AP3" s="488" t="s">
        <v>190</v>
      </c>
      <c r="AQ3" s="488" t="s">
        <v>191</v>
      </c>
      <c r="AR3" s="488" t="s">
        <v>192</v>
      </c>
      <c r="AS3" s="488" t="s">
        <v>193</v>
      </c>
      <c r="AT3" s="488" t="s">
        <v>194</v>
      </c>
      <c r="AU3" s="488" t="s">
        <v>195</v>
      </c>
      <c r="AV3" s="488" t="s">
        <v>196</v>
      </c>
      <c r="AW3" s="488" t="s">
        <v>197</v>
      </c>
      <c r="AX3" s="487" t="s">
        <v>198</v>
      </c>
    </row>
    <row r="4" spans="2:50" s="22" customFormat="1" ht="18.75" customHeight="1" thickTop="1" x14ac:dyDescent="0.15">
      <c r="B4" s="228" t="s">
        <v>2</v>
      </c>
      <c r="C4" s="229">
        <f>IFERROR(INDEX(年齢階層×在院期間区分F2[#All],MATCH($AH4,年齢階層×在院期間区分F2[[#All],[行ラベル]],0),MATCH($AI$3,年齢階層×在院期間区分F2[#Headers],0)),0)+IFERROR(INDEX(年齢階層×在院期間区分F2[#All],MATCH($AH4,年齢階層×在院期間区分F2[[#All],[行ラベル]],0),MATCH($AJ$3,年齢階層×在院期間区分F2[#Headers],0)),0)+IFERROR(INDEX(年齢階層×在院期間区分F2[#All],MATCH($AH4,年齢階層×在院期間区分F2[[#All],[行ラベル]],0),MATCH($AK$3,年齢階層×在院期間区分F2[#Headers],0)),0)+IFERROR(INDEX(年齢階層×在院期間区分F2[#All],MATCH($AH4,年齢階層×在院期間区分F2[[#All],[行ラベル]],0),MATCH($AL$3,年齢階層×在院期間区分F2[#Headers],0)),0)</f>
        <v>16</v>
      </c>
      <c r="D4" s="224">
        <f t="shared" ref="D4:D12" si="0">IFERROR(C4/$C$13,"-")</f>
        <v>6.7653276955602533E-3</v>
      </c>
      <c r="E4" s="229">
        <f>IFERROR(INDEX(年齢階層×在院期間区分F2[#All],MATCH($AH4,年齢階層×在院期間区分F2[[#All],[行ラベル]],0),MATCH($AM$3,年齢階層×在院期間区分F2[#Headers],0)),0)+IFERROR(INDEX(年齢階層×在院期間区分F2[#All],MATCH($AH4,年齢階層×在院期間区分F2[[#All],[行ラベル]],0),MATCH($AN$3,年齢階層×在院期間区分F2[#Headers],0)),0)+IFERROR(INDEX(年齢階層×在院期間区分F2[#All],MATCH($AH4,年齢階層×在院期間区分F2[[#All],[行ラベル]],0),MATCH($AO$3,年齢階層×在院期間区分F2[#Headers],0)),0)+IFERROR(INDEX(年齢階層×在院期間区分F2[#All],MATCH($AH4,年齢階層×在院期間区分F2[[#All],[行ラベル]],0),MATCH($AP$3,年齢階層×在院期間区分F2[#Headers],0)),0)+IFERROR(INDEX(年齢階層×在院期間区分F2[#All],MATCH($AH4,年齢階層×在院期間区分F2[[#All],[行ラベル]],0),MATCH($AQ$3,年齢階層×在院期間区分F2[#Headers],0)),0)</f>
        <v>1</v>
      </c>
      <c r="F4" s="224">
        <f t="shared" ref="F4:F12" si="1">IFERROR(E4/$E$13,"-")</f>
        <v>4.2444821731748726E-4</v>
      </c>
      <c r="G4" s="229">
        <f>IFERROR(INDEX(年齢階層×在院期間区分F2[#All],MATCH($AH4,年齢階層×在院期間区分F2[[#All],[行ラベル]],0),MATCH($AR$3,年齢階層×在院期間区分F2[#Headers],0)),0)+IFERROR(INDEX(年齢階層×在院期間区分F2[#All],MATCH($AH4,年齢階層×在院期間区分F2[[#All],[行ラベル]],0),MATCH($AS$3,年齢階層×在院期間区分F2[#Headers],0)),0)+IFERROR(INDEX(年齢階層×在院期間区分F2[#All],MATCH($AH4,年齢階層×在院期間区分F2[[#All],[行ラベル]],0),MATCH($AT$3,年齢階層×在院期間区分F2[#Headers],0)),0)+IFERROR(INDEX(年齢階層×在院期間区分F2[#All],MATCH($AH4,年齢階層×在院期間区分F2[[#All],[行ラベル]],0),MATCH($AU$3,年齢階層×在院期間区分F2[#Headers],0)),0)+IFERROR(INDEX(年齢階層×在院期間区分F2[#All],MATCH($AH4,年齢階層×在院期間区分F2[[#All],[行ラベル]],0),MATCH($AV$3,年齢階層×在院期間区分F2[#Headers],0)),0)</f>
        <v>0</v>
      </c>
      <c r="H4" s="224">
        <f t="shared" ref="H4:H12" si="2">IFERROR(G4/$G$13,"-")</f>
        <v>0</v>
      </c>
      <c r="I4" s="223">
        <f>IFERROR(INDEX(年齢階層×在院期間区分F2[#All],MATCH($AH4,年齢階層×在院期間区分F2[[#All],[行ラベル]],0),MATCH($AW$3,年齢階層×在院期間区分F2[#Headers],0)),0)+IFERROR(INDEX(年齢階層×在院期間区分F2[#All],MATCH($AH4,年齢階層×在院期間区分F2[[#All],[行ラベル]],0),MATCH($AX$3,年齢階層×在院期間区分F2[#Headers],0)),0)</f>
        <v>0</v>
      </c>
      <c r="J4" s="224">
        <f t="shared" ref="J4:J12" si="3">IFERROR(I4/$I$13,"-")</f>
        <v>0</v>
      </c>
      <c r="K4" s="223">
        <f t="shared" ref="K4:K12" si="4">SUM(C4,E4,G4,I4)</f>
        <v>17</v>
      </c>
      <c r="L4" s="224">
        <f t="shared" ref="L4:L12" si="5">IFERROR(K4/$K$13,"-")</f>
        <v>2.1386337904138884E-3</v>
      </c>
      <c r="O4" s="54" t="s">
        <v>2</v>
      </c>
      <c r="P4" s="66">
        <v>10</v>
      </c>
      <c r="Q4" s="66">
        <v>4</v>
      </c>
      <c r="R4" s="66">
        <v>0</v>
      </c>
      <c r="S4" s="66">
        <v>2</v>
      </c>
      <c r="T4" s="66">
        <v>1</v>
      </c>
      <c r="U4" s="66">
        <v>0</v>
      </c>
      <c r="V4" s="66">
        <v>0</v>
      </c>
      <c r="W4" s="66">
        <v>0</v>
      </c>
      <c r="X4" s="66">
        <v>0</v>
      </c>
      <c r="Y4" s="66">
        <v>0</v>
      </c>
      <c r="Z4" s="66">
        <v>0</v>
      </c>
      <c r="AA4" s="66">
        <v>0</v>
      </c>
      <c r="AB4" s="66">
        <v>0</v>
      </c>
      <c r="AC4" s="66">
        <v>0</v>
      </c>
      <c r="AD4" s="66">
        <v>0</v>
      </c>
      <c r="AE4" s="66">
        <v>0</v>
      </c>
      <c r="AH4" s="54" t="s">
        <v>2</v>
      </c>
      <c r="AI4" s="67"/>
      <c r="AL4" s="81"/>
    </row>
    <row r="5" spans="2:50" s="22" customFormat="1" ht="18.75" customHeight="1" x14ac:dyDescent="0.15">
      <c r="B5" s="230" t="s">
        <v>3</v>
      </c>
      <c r="C5" s="231">
        <f>IFERROR(INDEX(年齢階層×在院期間区分F2[#All],MATCH($AH5,年齢階層×在院期間区分F2[[#All],[行ラベル]],0),MATCH($AI$3,年齢階層×在院期間区分F2[#Headers],0)),0)+IFERROR(INDEX(年齢階層×在院期間区分F2[#All],MATCH($AH5,年齢階層×在院期間区分F2[[#All],[行ラベル]],0),MATCH($AJ$3,年齢階層×在院期間区分F2[#Headers],0)),0)+IFERROR(INDEX(年齢階層×在院期間区分F2[#All],MATCH($AH5,年齢階層×在院期間区分F2[[#All],[行ラベル]],0),MATCH($AK$3,年齢階層×在院期間区分F2[#Headers],0)),0)+IFERROR(INDEX(年齢階層×在院期間区分F2[#All],MATCH($AH5,年齢階層×在院期間区分F2[[#All],[行ラベル]],0),MATCH($AL$3,年齢階層×在院期間区分F2[#Headers],0)),0)</f>
        <v>96</v>
      </c>
      <c r="D5" s="209">
        <f t="shared" si="0"/>
        <v>4.059196617336152E-2</v>
      </c>
      <c r="E5" s="208">
        <f>IFERROR(INDEX(年齢階層×在院期間区分F2[#All],MATCH($AH5,年齢階層×在院期間区分F2[[#All],[行ラベル]],0),MATCH($AM$3,年齢階層×在院期間区分F2[#Headers],0)),0)+IFERROR(INDEX(年齢階層×在院期間区分F2[#All],MATCH($AH5,年齢階層×在院期間区分F2[[#All],[行ラベル]],0),MATCH($AN$3,年齢階層×在院期間区分F2[#Headers],0)),0)+IFERROR(INDEX(年齢階層×在院期間区分F2[#All],MATCH($AH5,年齢階層×在院期間区分F2[[#All],[行ラベル]],0),MATCH($AO$3,年齢階層×在院期間区分F2[#Headers],0)),0)+IFERROR(INDEX(年齢階層×在院期間区分F2[#All],MATCH($AH5,年齢階層×在院期間区分F2[[#All],[行ラベル]],0),MATCH($AP$3,年齢階層×在院期間区分F2[#Headers],0)),0)+IFERROR(INDEX(年齢階層×在院期間区分F2[#All],MATCH($AH5,年齢階層×在院期間区分F2[[#All],[行ラベル]],0),MATCH($AQ$3,年齢階層×在院期間区分F2[#Headers],0)),0)</f>
        <v>32</v>
      </c>
      <c r="F5" s="209">
        <f t="shared" si="1"/>
        <v>1.3582342954159592E-2</v>
      </c>
      <c r="G5" s="231">
        <f>IFERROR(INDEX(年齢階層×在院期間区分F2[#All],MATCH($AH5,年齢階層×在院期間区分F2[[#All],[行ラベル]],0),MATCH($AR$3,年齢階層×在院期間区分F2[#Headers],0)),0)+IFERROR(INDEX(年齢階層×在院期間区分F2[#All],MATCH($AH5,年齢階層×在院期間区分F2[[#All],[行ラベル]],0),MATCH($AS$3,年齢階層×在院期間区分F2[#Headers],0)),0)+IFERROR(INDEX(年齢階層×在院期間区分F2[#All],MATCH($AH5,年齢階層×在院期間区分F2[[#All],[行ラベル]],0),MATCH($AT$3,年齢階層×在院期間区分F2[#Headers],0)),0)+IFERROR(INDEX(年齢階層×在院期間区分F2[#All],MATCH($AH5,年齢階層×在院期間区分F2[[#All],[行ラベル]],0),MATCH($AU$3,年齢階層×在院期間区分F2[#Headers],0)),0)+IFERROR(INDEX(年齢階層×在院期間区分F2[#All],MATCH($AH5,年齢階層×在院期間区分F2[[#All],[行ラベル]],0),MATCH($AV$3,年齢階層×在院期間区分F2[#Headers],0)),0)</f>
        <v>7</v>
      </c>
      <c r="H5" s="209">
        <f t="shared" si="2"/>
        <v>5.2950075642965201E-3</v>
      </c>
      <c r="I5" s="232">
        <f>IFERROR(INDEX(年齢階層×在院期間区分F2[#All],MATCH($AH5,年齢階層×在院期間区分F2[[#All],[行ラベル]],0),MATCH($AW$3,年齢階層×在院期間区分F2[#Headers],0)),0)+IFERROR(INDEX(年齢階層×在院期間区分F2[#All],MATCH($AH5,年齢階層×在院期間区分F2[[#All],[行ラベル]],0),MATCH($AX$3,年齢階層×在院期間区分F2[#Headers],0)),0)</f>
        <v>0</v>
      </c>
      <c r="J5" s="209">
        <f t="shared" si="3"/>
        <v>0</v>
      </c>
      <c r="K5" s="208">
        <f t="shared" si="4"/>
        <v>135</v>
      </c>
      <c r="L5" s="209">
        <f t="shared" si="5"/>
        <v>1.6983268335639703E-2</v>
      </c>
      <c r="O5" s="54" t="s">
        <v>3</v>
      </c>
      <c r="P5" s="66">
        <v>33</v>
      </c>
      <c r="Q5" s="66">
        <v>26</v>
      </c>
      <c r="R5" s="66">
        <v>9</v>
      </c>
      <c r="S5" s="66">
        <v>28</v>
      </c>
      <c r="T5" s="66">
        <v>10</v>
      </c>
      <c r="U5" s="66">
        <v>4</v>
      </c>
      <c r="V5" s="66">
        <v>6</v>
      </c>
      <c r="W5" s="66">
        <v>4</v>
      </c>
      <c r="X5" s="66">
        <v>8</v>
      </c>
      <c r="Y5" s="66">
        <v>2</v>
      </c>
      <c r="Z5" s="66">
        <v>2</v>
      </c>
      <c r="AA5" s="66">
        <v>2</v>
      </c>
      <c r="AB5" s="66">
        <v>1</v>
      </c>
      <c r="AC5" s="66">
        <v>0</v>
      </c>
      <c r="AD5" s="66">
        <v>0</v>
      </c>
      <c r="AE5" s="66">
        <v>0</v>
      </c>
      <c r="AH5" s="54" t="s">
        <v>3</v>
      </c>
      <c r="AI5" s="67"/>
      <c r="AJ5" s="67"/>
      <c r="AL5" s="81"/>
    </row>
    <row r="6" spans="2:50" s="22" customFormat="1" ht="18.75" customHeight="1" x14ac:dyDescent="0.15">
      <c r="B6" s="230" t="s">
        <v>4</v>
      </c>
      <c r="C6" s="231">
        <f>IFERROR(INDEX(年齢階層×在院期間区分F2[#All],MATCH($AH6,年齢階層×在院期間区分F2[[#All],[行ラベル]],0),MATCH($AI$3,年齢階層×在院期間区分F2[#Headers],0)),0)+IFERROR(INDEX(年齢階層×在院期間区分F2[#All],MATCH($AH6,年齢階層×在院期間区分F2[[#All],[行ラベル]],0),MATCH($AJ$3,年齢階層×在院期間区分F2[#Headers],0)),0)+IFERROR(INDEX(年齢階層×在院期間区分F2[#All],MATCH($AH6,年齢階層×在院期間区分F2[[#All],[行ラベル]],0),MATCH($AK$3,年齢階層×在院期間区分F2[#Headers],0)),0)+IFERROR(INDEX(年齢階層×在院期間区分F2[#All],MATCH($AH6,年齢階層×在院期間区分F2[[#All],[行ラベル]],0),MATCH($AL$3,年齢階層×在院期間区分F2[#Headers],0)),0)</f>
        <v>231</v>
      </c>
      <c r="D6" s="209">
        <f t="shared" si="0"/>
        <v>9.7674418604651161E-2</v>
      </c>
      <c r="E6" s="232">
        <f>IFERROR(INDEX(年齢階層×在院期間区分F2[#All],MATCH($AH6,年齢階層×在院期間区分F2[[#All],[行ラベル]],0),MATCH($AM$3,年齢階層×在院期間区分F2[#Headers],0)),0)+IFERROR(INDEX(年齢階層×在院期間区分F2[#All],MATCH($AH6,年齢階層×在院期間区分F2[[#All],[行ラベル]],0),MATCH($AN$3,年齢階層×在院期間区分F2[#Headers],0)),0)+IFERROR(INDEX(年齢階層×在院期間区分F2[#All],MATCH($AH6,年齢階層×在院期間区分F2[[#All],[行ラベル]],0),MATCH($AO$3,年齢階層×在院期間区分F2[#Headers],0)),0)+IFERROR(INDEX(年齢階層×在院期間区分F2[#All],MATCH($AH6,年齢階層×在院期間区分F2[[#All],[行ラベル]],0),MATCH($AP$3,年齢階層×在院期間区分F2[#Headers],0)),0)+IFERROR(INDEX(年齢階層×在院期間区分F2[#All],MATCH($AH6,年齢階層×在院期間区分F2[[#All],[行ラベル]],0),MATCH($AQ$3,年齢階層×在院期間区分F2[#Headers],0)),0)</f>
        <v>123</v>
      </c>
      <c r="F6" s="209">
        <f t="shared" si="1"/>
        <v>5.2207130730050934E-2</v>
      </c>
      <c r="G6" s="231">
        <f>IFERROR(INDEX(年齢階層×在院期間区分F2[#All],MATCH($AH6,年齢階層×在院期間区分F2[[#All],[行ラベル]],0),MATCH($AR$3,年齢階層×在院期間区分F2[#Headers],0)),0)+IFERROR(INDEX(年齢階層×在院期間区分F2[#All],MATCH($AH6,年齢階層×在院期間区分F2[[#All],[行ラベル]],0),MATCH($AS$3,年齢階層×在院期間区分F2[#Headers],0)),0)+IFERROR(INDEX(年齢階層×在院期間区分F2[#All],MATCH($AH6,年齢階層×在院期間区分F2[[#All],[行ラベル]],0),MATCH($AT$3,年齢階層×在院期間区分F2[#Headers],0)),0)+IFERROR(INDEX(年齢階層×在院期間区分F2[#All],MATCH($AH6,年齢階層×在院期間区分F2[[#All],[行ラベル]],0),MATCH($AU$3,年齢階層×在院期間区分F2[#Headers],0)),0)+IFERROR(INDEX(年齢階層×在院期間区分F2[#All],MATCH($AH6,年齢階層×在院期間区分F2[[#All],[行ラベル]],0),MATCH($AV$3,年齢階層×在院期間区分F2[#Headers],0)),0)</f>
        <v>57</v>
      </c>
      <c r="H6" s="209">
        <f t="shared" si="2"/>
        <v>4.3116490166414521E-2</v>
      </c>
      <c r="I6" s="208">
        <f>IFERROR(INDEX(年齢階層×在院期間区分F2[#All],MATCH($AH6,年齢階層×在院期間区分F2[[#All],[行ラベル]],0),MATCH($AW$3,年齢階層×在院期間区分F2[#Headers],0)),0)+IFERROR(INDEX(年齢階層×在院期間区分F2[#All],MATCH($AH6,年齢階層×在院期間区分F2[[#All],[行ラベル]],0),MATCH($AX$3,年齢階層×在院期間区分F2[#Headers],0)),0)</f>
        <v>30</v>
      </c>
      <c r="J6" s="209">
        <f t="shared" si="3"/>
        <v>1.5739769150052464E-2</v>
      </c>
      <c r="K6" s="208">
        <f t="shared" si="4"/>
        <v>441</v>
      </c>
      <c r="L6" s="209">
        <f t="shared" si="5"/>
        <v>5.5478676563089697E-2</v>
      </c>
      <c r="O6" s="54" t="s">
        <v>4</v>
      </c>
      <c r="P6" s="66">
        <v>76</v>
      </c>
      <c r="Q6" s="66">
        <v>66</v>
      </c>
      <c r="R6" s="66">
        <v>40</v>
      </c>
      <c r="S6" s="66">
        <v>49</v>
      </c>
      <c r="T6" s="66">
        <v>28</v>
      </c>
      <c r="U6" s="66">
        <v>27</v>
      </c>
      <c r="V6" s="66">
        <v>27</v>
      </c>
      <c r="W6" s="66">
        <v>25</v>
      </c>
      <c r="X6" s="66">
        <v>16</v>
      </c>
      <c r="Y6" s="66">
        <v>28</v>
      </c>
      <c r="Z6" s="66">
        <v>7</v>
      </c>
      <c r="AA6" s="66">
        <v>6</v>
      </c>
      <c r="AB6" s="66">
        <v>9</v>
      </c>
      <c r="AC6" s="66">
        <v>7</v>
      </c>
      <c r="AD6" s="66">
        <v>29</v>
      </c>
      <c r="AE6" s="66">
        <v>1</v>
      </c>
      <c r="AH6" s="54" t="s">
        <v>4</v>
      </c>
      <c r="AI6" s="67"/>
      <c r="AJ6" s="67"/>
      <c r="AL6" s="81"/>
    </row>
    <row r="7" spans="2:50" s="22" customFormat="1" ht="18.75" customHeight="1" x14ac:dyDescent="0.15">
      <c r="B7" s="230" t="s">
        <v>5</v>
      </c>
      <c r="C7" s="208">
        <f>IFERROR(INDEX(年齢階層×在院期間区分F2[#All],MATCH($AH7,年齢階層×在院期間区分F2[[#All],[行ラベル]],0),MATCH($AI$3,年齢階層×在院期間区分F2[#Headers],0)),0)+IFERROR(INDEX(年齢階層×在院期間区分F2[#All],MATCH($AH7,年齢階層×在院期間区分F2[[#All],[行ラベル]],0),MATCH($AJ$3,年齢階層×在院期間区分F2[#Headers],0)),0)+IFERROR(INDEX(年齢階層×在院期間区分F2[#All],MATCH($AH7,年齢階層×在院期間区分F2[[#All],[行ラベル]],0),MATCH($AK$3,年齢階層×在院期間区分F2[#Headers],0)),0)+IFERROR(INDEX(年齢階層×在院期間区分F2[#All],MATCH($AH7,年齢階層×在院期間区分F2[[#All],[行ラベル]],0),MATCH($AL$3,年齢階層×在院期間区分F2[#Headers],0)),0)</f>
        <v>405</v>
      </c>
      <c r="D7" s="209">
        <f t="shared" si="0"/>
        <v>0.17124735729386892</v>
      </c>
      <c r="E7" s="208">
        <f>IFERROR(INDEX(年齢階層×在院期間区分F2[#All],MATCH($AH7,年齢階層×在院期間区分F2[[#All],[行ラベル]],0),MATCH($AM$3,年齢階層×在院期間区分F2[#Headers],0)),0)+IFERROR(INDEX(年齢階層×在院期間区分F2[#All],MATCH($AH7,年齢階層×在院期間区分F2[[#All],[行ラベル]],0),MATCH($AN$3,年齢階層×在院期間区分F2[#Headers],0)),0)+IFERROR(INDEX(年齢階層×在院期間区分F2[#All],MATCH($AH7,年齢階層×在院期間区分F2[[#All],[行ラベル]],0),MATCH($AO$3,年齢階層×在院期間区分F2[#Headers],0)),0)+IFERROR(INDEX(年齢階層×在院期間区分F2[#All],MATCH($AH7,年齢階層×在院期間区分F2[[#All],[行ラベル]],0),MATCH($AP$3,年齢階層×在院期間区分F2[#Headers],0)),0)+IFERROR(INDEX(年齢階層×在院期間区分F2[#All],MATCH($AH7,年齢階層×在院期間区分F2[[#All],[行ラベル]],0),MATCH($AQ$3,年齢階層×在院期間区分F2[#Headers],0)),0)</f>
        <v>312</v>
      </c>
      <c r="F7" s="209">
        <f t="shared" si="1"/>
        <v>0.13242784380305603</v>
      </c>
      <c r="G7" s="231">
        <f>IFERROR(INDEX(年齢階層×在院期間区分F2[#All],MATCH($AH7,年齢階層×在院期間区分F2[[#All],[行ラベル]],0),MATCH($AR$3,年齢階層×在院期間区分F2[#Headers],0)),0)+IFERROR(INDEX(年齢階層×在院期間区分F2[#All],MATCH($AH7,年齢階層×在院期間区分F2[[#All],[行ラベル]],0),MATCH($AS$3,年齢階層×在院期間区分F2[#Headers],0)),0)+IFERROR(INDEX(年齢階層×在院期間区分F2[#All],MATCH($AH7,年齢階層×在院期間区分F2[[#All],[行ラベル]],0),MATCH($AT$3,年齢階層×在院期間区分F2[#Headers],0)),0)+IFERROR(INDEX(年齢階層×在院期間区分F2[#All],MATCH($AH7,年齢階層×在院期間区分F2[[#All],[行ラベル]],0),MATCH($AU$3,年齢階層×在院期間区分F2[#Headers],0)),0)+IFERROR(INDEX(年齢階層×在院期間区分F2[#All],MATCH($AH7,年齢階層×在院期間区分F2[[#All],[行ラベル]],0),MATCH($AV$3,年齢階層×在院期間区分F2[#Headers],0)),0)</f>
        <v>195</v>
      </c>
      <c r="H7" s="209">
        <f t="shared" si="2"/>
        <v>0.14750378214826021</v>
      </c>
      <c r="I7" s="232">
        <f>IFERROR(INDEX(年齢階層×在院期間区分F2[#All],MATCH($AH7,年齢階層×在院期間区分F2[[#All],[行ラベル]],0),MATCH($AW$3,年齢階層×在院期間区分F2[#Headers],0)),0)+IFERROR(INDEX(年齢階層×在院期間区分F2[#All],MATCH($AH7,年齢階層×在院期間区分F2[[#All],[行ラベル]],0),MATCH($AX$3,年齢階層×在院期間区分F2[#Headers],0)),0)</f>
        <v>188</v>
      </c>
      <c r="J7" s="209">
        <f t="shared" si="3"/>
        <v>9.8635886673662118E-2</v>
      </c>
      <c r="K7" s="208">
        <f t="shared" si="4"/>
        <v>1100</v>
      </c>
      <c r="L7" s="209">
        <f t="shared" si="5"/>
        <v>0.13838218643854572</v>
      </c>
      <c r="O7" s="54" t="s">
        <v>5</v>
      </c>
      <c r="P7" s="66">
        <v>124</v>
      </c>
      <c r="Q7" s="66">
        <v>120</v>
      </c>
      <c r="R7" s="66">
        <v>64</v>
      </c>
      <c r="S7" s="66">
        <v>97</v>
      </c>
      <c r="T7" s="66">
        <v>59</v>
      </c>
      <c r="U7" s="66">
        <v>55</v>
      </c>
      <c r="V7" s="66">
        <v>95</v>
      </c>
      <c r="W7" s="66">
        <v>55</v>
      </c>
      <c r="X7" s="66">
        <v>48</v>
      </c>
      <c r="Y7" s="66">
        <v>49</v>
      </c>
      <c r="Z7" s="66">
        <v>39</v>
      </c>
      <c r="AA7" s="66">
        <v>46</v>
      </c>
      <c r="AB7" s="66">
        <v>29</v>
      </c>
      <c r="AC7" s="66">
        <v>32</v>
      </c>
      <c r="AD7" s="66">
        <v>147</v>
      </c>
      <c r="AE7" s="66">
        <v>41</v>
      </c>
      <c r="AH7" s="54" t="s">
        <v>5</v>
      </c>
      <c r="AI7" s="67"/>
      <c r="AJ7" s="67"/>
      <c r="AL7" s="81"/>
    </row>
    <row r="8" spans="2:50" s="22" customFormat="1" ht="18.75" customHeight="1" x14ac:dyDescent="0.15">
      <c r="B8" s="230" t="s">
        <v>6</v>
      </c>
      <c r="C8" s="208">
        <f>IFERROR(INDEX(年齢階層×在院期間区分F2[#All],MATCH($AH8,年齢階層×在院期間区分F2[[#All],[行ラベル]],0),MATCH($AI$3,年齢階層×在院期間区分F2[#Headers],0)),0)+IFERROR(INDEX(年齢階層×在院期間区分F2[#All],MATCH($AH8,年齢階層×在院期間区分F2[[#All],[行ラベル]],0),MATCH($AJ$3,年齢階層×在院期間区分F2[#Headers],0)),0)+IFERROR(INDEX(年齢階層×在院期間区分F2[#All],MATCH($AH8,年齢階層×在院期間区分F2[[#All],[行ラベル]],0),MATCH($AK$3,年齢階層×在院期間区分F2[#Headers],0)),0)+IFERROR(INDEX(年齢階層×在院期間区分F2[#All],MATCH($AH8,年齢階層×在院期間区分F2[[#All],[行ラベル]],0),MATCH($AL$3,年齢階層×在院期間区分F2[#Headers],0)),0)</f>
        <v>535</v>
      </c>
      <c r="D8" s="209">
        <f t="shared" si="0"/>
        <v>0.22621564482029599</v>
      </c>
      <c r="E8" s="208">
        <f>IFERROR(INDEX(年齢階層×在院期間区分F2[#All],MATCH($AH8,年齢階層×在院期間区分F2[[#All],[行ラベル]],0),MATCH($AM$3,年齢階層×在院期間区分F2[#Headers],0)),0)+IFERROR(INDEX(年齢階層×在院期間区分F2[#All],MATCH($AH8,年齢階層×在院期間区分F2[[#All],[行ラベル]],0),MATCH($AN$3,年齢階層×在院期間区分F2[#Headers],0)),0)+IFERROR(INDEX(年齢階層×在院期間区分F2[#All],MATCH($AH8,年齢階層×在院期間区分F2[[#All],[行ラベル]],0),MATCH($AO$3,年齢階層×在院期間区分F2[#Headers],0)),0)+IFERROR(INDEX(年齢階層×在院期間区分F2[#All],MATCH($AH8,年齢階層×在院期間区分F2[[#All],[行ラベル]],0),MATCH($AP$3,年齢階層×在院期間区分F2[#Headers],0)),0)+IFERROR(INDEX(年齢階層×在院期間区分F2[#All],MATCH($AH8,年齢階層×在院期間区分F2[[#All],[行ラベル]],0),MATCH($AQ$3,年齢階層×在院期間区分F2[#Headers],0)),0)</f>
        <v>526</v>
      </c>
      <c r="F8" s="209">
        <f t="shared" si="1"/>
        <v>0.2232597623089983</v>
      </c>
      <c r="G8" s="231">
        <f>IFERROR(INDEX(年齢階層×在院期間区分F2[#All],MATCH($AH8,年齢階層×在院期間区分F2[[#All],[行ラベル]],0),MATCH($AR$3,年齢階層×在院期間区分F2[#Headers],0)),0)+IFERROR(INDEX(年齢階層×在院期間区分F2[#All],MATCH($AH8,年齢階層×在院期間区分F2[[#All],[行ラベル]],0),MATCH($AS$3,年齢階層×在院期間区分F2[#Headers],0)),0)+IFERROR(INDEX(年齢階層×在院期間区分F2[#All],MATCH($AH8,年齢階層×在院期間区分F2[[#All],[行ラベル]],0),MATCH($AT$3,年齢階層×在院期間区分F2[#Headers],0)),0)+IFERROR(INDEX(年齢階層×在院期間区分F2[#All],MATCH($AH8,年齢階層×在院期間区分F2[[#All],[行ラベル]],0),MATCH($AU$3,年齢階層×在院期間区分F2[#Headers],0)),0)+IFERROR(INDEX(年齢階層×在院期間区分F2[#All],MATCH($AH8,年齢階層×在院期間区分F2[[#All],[行ラベル]],0),MATCH($AV$3,年齢階層×在院期間区分F2[#Headers],0)),0)</f>
        <v>303</v>
      </c>
      <c r="H8" s="209">
        <f t="shared" si="2"/>
        <v>0.22919818456883509</v>
      </c>
      <c r="I8" s="231">
        <f>IFERROR(INDEX(年齢階層×在院期間区分F2[#All],MATCH($AH8,年齢階層×在院期間区分F2[[#All],[行ラベル]],0),MATCH($AW$3,年齢階層×在院期間区分F2[#Headers],0)),0)+IFERROR(INDEX(年齢階層×在院期間区分F2[#All],MATCH($AH8,年齢階層×在院期間区分F2[[#All],[行ラベル]],0),MATCH($AX$3,年齢階層×在院期間区分F2[#Headers],0)),0)</f>
        <v>374</v>
      </c>
      <c r="J8" s="209">
        <f t="shared" si="3"/>
        <v>0.19622245540398742</v>
      </c>
      <c r="K8" s="208">
        <f t="shared" si="4"/>
        <v>1738</v>
      </c>
      <c r="L8" s="209">
        <f t="shared" si="5"/>
        <v>0.21864385457290225</v>
      </c>
      <c r="O8" s="54" t="s">
        <v>6</v>
      </c>
      <c r="P8" s="66">
        <v>150</v>
      </c>
      <c r="Q8" s="66">
        <v>139</v>
      </c>
      <c r="R8" s="66">
        <v>109</v>
      </c>
      <c r="S8" s="66">
        <v>137</v>
      </c>
      <c r="T8" s="66">
        <v>95</v>
      </c>
      <c r="U8" s="66">
        <v>89</v>
      </c>
      <c r="V8" s="66">
        <v>150</v>
      </c>
      <c r="W8" s="66">
        <v>107</v>
      </c>
      <c r="X8" s="66">
        <v>85</v>
      </c>
      <c r="Y8" s="66">
        <v>85</v>
      </c>
      <c r="Z8" s="66">
        <v>61</v>
      </c>
      <c r="AA8" s="66">
        <v>51</v>
      </c>
      <c r="AB8" s="66">
        <v>58</v>
      </c>
      <c r="AC8" s="66">
        <v>48</v>
      </c>
      <c r="AD8" s="66">
        <v>241</v>
      </c>
      <c r="AE8" s="66">
        <v>133</v>
      </c>
      <c r="AH8" s="54" t="s">
        <v>6</v>
      </c>
      <c r="AI8" s="67"/>
      <c r="AJ8" s="67"/>
      <c r="AL8" s="81"/>
    </row>
    <row r="9" spans="2:50" s="22" customFormat="1" ht="18.75" customHeight="1" x14ac:dyDescent="0.15">
      <c r="B9" s="230" t="s">
        <v>7</v>
      </c>
      <c r="C9" s="208">
        <f>IFERROR(INDEX(年齢階層×在院期間区分F2[#All],MATCH($AH9,年齢階層×在院期間区分F2[[#All],[行ラベル]],0),MATCH($AI$3,年齢階層×在院期間区分F2[#Headers],0)),0)+IFERROR(INDEX(年齢階層×在院期間区分F2[#All],MATCH($AH9,年齢階層×在院期間区分F2[[#All],[行ラベル]],0),MATCH($AJ$3,年齢階層×在院期間区分F2[#Headers],0)),0)+IFERROR(INDEX(年齢階層×在院期間区分F2[#All],MATCH($AH9,年齢階層×在院期間区分F2[[#All],[行ラベル]],0),MATCH($AK$3,年齢階層×在院期間区分F2[#Headers],0)),0)+IFERROR(INDEX(年齢階層×在院期間区分F2[#All],MATCH($AH9,年齢階層×在院期間区分F2[[#All],[行ラベル]],0),MATCH($AL$3,年齢階層×在院期間区分F2[#Headers],0)),0)</f>
        <v>453</v>
      </c>
      <c r="D9" s="209">
        <f t="shared" si="0"/>
        <v>0.19154334038054968</v>
      </c>
      <c r="E9" s="232">
        <f>IFERROR(INDEX(年齢階層×在院期間区分F2[#All],MATCH($AH9,年齢階層×在院期間区分F2[[#All],[行ラベル]],0),MATCH($AM$3,年齢階層×在院期間区分F2[#Headers],0)),0)+IFERROR(INDEX(年齢階層×在院期間区分F2[#All],MATCH($AH9,年齢階層×在院期間区分F2[[#All],[行ラベル]],0),MATCH($AN$3,年齢階層×在院期間区分F2[#Headers],0)),0)+IFERROR(INDEX(年齢階層×在院期間区分F2[#All],MATCH($AH9,年齢階層×在院期間区分F2[[#All],[行ラベル]],0),MATCH($AO$3,年齢階層×在院期間区分F2[#Headers],0)),0)+IFERROR(INDEX(年齢階層×在院期間区分F2[#All],MATCH($AH9,年齢階層×在院期間区分F2[[#All],[行ラベル]],0),MATCH($AP$3,年齢階層×在院期間区分F2[#Headers],0)),0)+IFERROR(INDEX(年齢階層×在院期間区分F2[#All],MATCH($AH9,年齢階層×在院期間区分F2[[#All],[行ラベル]],0),MATCH($AQ$3,年齢階層×在院期間区分F2[#Headers],0)),0)</f>
        <v>514</v>
      </c>
      <c r="F9" s="209">
        <f t="shared" si="1"/>
        <v>0.21816638370118846</v>
      </c>
      <c r="G9" s="231">
        <f>IFERROR(INDEX(年齢階層×在院期間区分F2[#All],MATCH($AH9,年齢階層×在院期間区分F2[[#All],[行ラベル]],0),MATCH($AR$3,年齢階層×在院期間区分F2[#Headers],0)),0)+IFERROR(INDEX(年齢階層×在院期間区分F2[#All],MATCH($AH9,年齢階層×在院期間区分F2[[#All],[行ラベル]],0),MATCH($AS$3,年齢階層×在院期間区分F2[#Headers],0)),0)+IFERROR(INDEX(年齢階層×在院期間区分F2[#All],MATCH($AH9,年齢階層×在院期間区分F2[[#All],[行ラベル]],0),MATCH($AT$3,年齢階層×在院期間区分F2[#Headers],0)),0)+IFERROR(INDEX(年齢階層×在院期間区分F2[#All],MATCH($AH9,年齢階層×在院期間区分F2[[#All],[行ラベル]],0),MATCH($AU$3,年齢階層×在院期間区分F2[#Headers],0)),0)+IFERROR(INDEX(年齢階層×在院期間区分F2[#All],MATCH($AH9,年齢階層×在院期間区分F2[[#All],[行ラベル]],0),MATCH($AV$3,年齢階層×在院期間区分F2[#Headers],0)),0)</f>
        <v>314</v>
      </c>
      <c r="H9" s="209">
        <f t="shared" si="2"/>
        <v>0.23751891074130105</v>
      </c>
      <c r="I9" s="208">
        <f>IFERROR(INDEX(年齢階層×在院期間区分F2[#All],MATCH($AH9,年齢階層×在院期間区分F2[[#All],[行ラベル]],0),MATCH($AW$3,年齢階層×在院期間区分F2[#Headers],0)),0)+IFERROR(INDEX(年齢階層×在院期間区分F2[#All],MATCH($AH9,年齢階層×在院期間区分F2[[#All],[行ラベル]],0),MATCH($AX$3,年齢階層×在院期間区分F2[#Headers],0)),0)</f>
        <v>512</v>
      </c>
      <c r="J9" s="209">
        <f t="shared" si="3"/>
        <v>0.26862539349422876</v>
      </c>
      <c r="K9" s="208">
        <f t="shared" si="4"/>
        <v>1793</v>
      </c>
      <c r="L9" s="209">
        <f t="shared" si="5"/>
        <v>0.22556296389482955</v>
      </c>
      <c r="O9" s="54" t="s">
        <v>7</v>
      </c>
      <c r="P9" s="66">
        <v>101</v>
      </c>
      <c r="Q9" s="66">
        <v>107</v>
      </c>
      <c r="R9" s="66">
        <v>115</v>
      </c>
      <c r="S9" s="66">
        <v>130</v>
      </c>
      <c r="T9" s="66">
        <v>87</v>
      </c>
      <c r="U9" s="66">
        <v>83</v>
      </c>
      <c r="V9" s="66">
        <v>146</v>
      </c>
      <c r="W9" s="66">
        <v>113</v>
      </c>
      <c r="X9" s="66">
        <v>85</v>
      </c>
      <c r="Y9" s="66">
        <v>73</v>
      </c>
      <c r="Z9" s="66">
        <v>70</v>
      </c>
      <c r="AA9" s="66">
        <v>58</v>
      </c>
      <c r="AB9" s="66">
        <v>59</v>
      </c>
      <c r="AC9" s="66">
        <v>54</v>
      </c>
      <c r="AD9" s="66">
        <v>293</v>
      </c>
      <c r="AE9" s="66">
        <v>219</v>
      </c>
      <c r="AH9" s="54" t="s">
        <v>7</v>
      </c>
      <c r="AI9" s="67"/>
      <c r="AJ9" s="67"/>
      <c r="AL9" s="81"/>
    </row>
    <row r="10" spans="2:50" s="22" customFormat="1" ht="18.75" customHeight="1" x14ac:dyDescent="0.15">
      <c r="B10" s="230" t="s">
        <v>8</v>
      </c>
      <c r="C10" s="232">
        <f>IFERROR(INDEX(年齢階層×在院期間区分F2[#All],MATCH($AH10,年齢階層×在院期間区分F2[[#All],[行ラベル]],0),MATCH($AI$3,年齢階層×在院期間区分F2[#Headers],0)),0)+IFERROR(INDEX(年齢階層×在院期間区分F2[#All],MATCH($AH10,年齢階層×在院期間区分F2[[#All],[行ラベル]],0),MATCH($AJ$3,年齢階層×在院期間区分F2[#Headers],0)),0)+IFERROR(INDEX(年齢階層×在院期間区分F2[#All],MATCH($AH10,年齢階層×在院期間区分F2[[#All],[行ラベル]],0),MATCH($AK$3,年齢階層×在院期間区分F2[#Headers],0)),0)+IFERROR(INDEX(年齢階層×在院期間区分F2[#All],MATCH($AH10,年齢階層×在院期間区分F2[[#All],[行ラベル]],0),MATCH($AL$3,年齢階層×在院期間区分F2[#Headers],0)),0)</f>
        <v>455</v>
      </c>
      <c r="D10" s="209">
        <f t="shared" si="0"/>
        <v>0.19238900634249473</v>
      </c>
      <c r="E10" s="231">
        <f>IFERROR(INDEX(年齢階層×在院期間区分F2[#All],MATCH($AH10,年齢階層×在院期間区分F2[[#All],[行ラベル]],0),MATCH($AM$3,年齢階層×在院期間区分F2[#Headers],0)),0)+IFERROR(INDEX(年齢階層×在院期間区分F2[#All],MATCH($AH10,年齢階層×在院期間区分F2[[#All],[行ラベル]],0),MATCH($AN$3,年齢階層×在院期間区分F2[#Headers],0)),0)+IFERROR(INDEX(年齢階層×在院期間区分F2[#All],MATCH($AH10,年齢階層×在院期間区分F2[[#All],[行ラベル]],0),MATCH($AO$3,年齢階層×在院期間区分F2[#Headers],0)),0)+IFERROR(INDEX(年齢階層×在院期間区分F2[#All],MATCH($AH10,年齢階層×在院期間区分F2[[#All],[行ラベル]],0),MATCH($AP$3,年齢階層×在院期間区分F2[#Headers],0)),0)+IFERROR(INDEX(年齢階層×在院期間区分F2[#All],MATCH($AH10,年齢階層×在院期間区分F2[[#All],[行ラベル]],0),MATCH($AQ$3,年齢階層×在院期間区分F2[#Headers],0)),0)</f>
        <v>589</v>
      </c>
      <c r="F10" s="209">
        <f t="shared" si="1"/>
        <v>0.25</v>
      </c>
      <c r="G10" s="231">
        <f>IFERROR(INDEX(年齢階層×在院期間区分F2[#All],MATCH($AH10,年齢階層×在院期間区分F2[[#All],[行ラベル]],0),MATCH($AR$3,年齢階層×在院期間区分F2[#Headers],0)),0)+IFERROR(INDEX(年齢階層×在院期間区分F2[#All],MATCH($AH10,年齢階層×在院期間区分F2[[#All],[行ラベル]],0),MATCH($AS$3,年齢階層×在院期間区分F2[#Headers],0)),0)+IFERROR(INDEX(年齢階層×在院期間区分F2[#All],MATCH($AH10,年齢階層×在院期間区分F2[[#All],[行ラベル]],0),MATCH($AT$3,年齢階層×在院期間区分F2[#Headers],0)),0)+IFERROR(INDEX(年齢階層×在院期間区分F2[#All],MATCH($AH10,年齢階層×在院期間区分F2[[#All],[行ラベル]],0),MATCH($AU$3,年齢階層×在院期間区分F2[#Headers],0)),0)+IFERROR(INDEX(年齢階層×在院期間区分F2[#All],MATCH($AH10,年齢階層×在院期間区分F2[[#All],[行ラベル]],0),MATCH($AV$3,年齢階層×在院期間区分F2[#Headers],0)),0)</f>
        <v>323</v>
      </c>
      <c r="H10" s="209">
        <f t="shared" si="2"/>
        <v>0.2443267776096823</v>
      </c>
      <c r="I10" s="208">
        <f>IFERROR(INDEX(年齢階層×在院期間区分F2[#All],MATCH($AH10,年齢階層×在院期間区分F2[[#All],[行ラベル]],0),MATCH($AW$3,年齢階層×在院期間区分F2[#Headers],0)),0)+IFERROR(INDEX(年齢階層×在院期間区分F2[#All],MATCH($AH10,年齢階層×在院期間区分F2[[#All],[行ラベル]],0),MATCH($AX$3,年齢階層×在院期間区分F2[#Headers],0)),0)</f>
        <v>604</v>
      </c>
      <c r="J10" s="209">
        <f t="shared" si="3"/>
        <v>0.31689401888772301</v>
      </c>
      <c r="K10" s="208">
        <f t="shared" si="4"/>
        <v>1971</v>
      </c>
      <c r="L10" s="209">
        <f t="shared" si="5"/>
        <v>0.24795571770033967</v>
      </c>
      <c r="O10" s="54" t="s">
        <v>8</v>
      </c>
      <c r="P10" s="66">
        <v>74</v>
      </c>
      <c r="Q10" s="66">
        <v>119</v>
      </c>
      <c r="R10" s="66">
        <v>118</v>
      </c>
      <c r="S10" s="66">
        <v>144</v>
      </c>
      <c r="T10" s="66">
        <v>100</v>
      </c>
      <c r="U10" s="66">
        <v>102</v>
      </c>
      <c r="V10" s="66">
        <v>179</v>
      </c>
      <c r="W10" s="66">
        <v>114</v>
      </c>
      <c r="X10" s="66">
        <v>94</v>
      </c>
      <c r="Y10" s="66">
        <v>80</v>
      </c>
      <c r="Z10" s="66">
        <v>74</v>
      </c>
      <c r="AA10" s="66">
        <v>57</v>
      </c>
      <c r="AB10" s="66">
        <v>54</v>
      </c>
      <c r="AC10" s="66">
        <v>58</v>
      </c>
      <c r="AD10" s="66">
        <v>302</v>
      </c>
      <c r="AE10" s="66">
        <v>302</v>
      </c>
      <c r="AH10" s="54" t="s">
        <v>8</v>
      </c>
      <c r="AI10" s="67"/>
      <c r="AJ10" s="67"/>
      <c r="AL10" s="81"/>
    </row>
    <row r="11" spans="2:50" s="22" customFormat="1" ht="18.75" customHeight="1" x14ac:dyDescent="0.15">
      <c r="B11" s="230" t="s">
        <v>9</v>
      </c>
      <c r="C11" s="208">
        <f>IFERROR(INDEX(年齢階層×在院期間区分F2[#All],MATCH($AH11,年齢階層×在院期間区分F2[[#All],[行ラベル]],0),MATCH($AI$3,年齢階層×在院期間区分F2[#Headers],0)),0)+IFERROR(INDEX(年齢階層×在院期間区分F2[#All],MATCH($AH11,年齢階層×在院期間区分F2[[#All],[行ラベル]],0),MATCH($AJ$3,年齢階層×在院期間区分F2[#Headers],0)),0)+IFERROR(INDEX(年齢階層×在院期間区分F2[#All],MATCH($AH11,年齢階層×在院期間区分F2[[#All],[行ラベル]],0),MATCH($AK$3,年齢階層×在院期間区分F2[#Headers],0)),0)+IFERROR(INDEX(年齢階層×在院期間区分F2[#All],MATCH($AH11,年齢階層×在院期間区分F2[[#All],[行ラベル]],0),MATCH($AL$3,年齢階層×在院期間区分F2[#Headers],0)),0)</f>
        <v>155</v>
      </c>
      <c r="D11" s="209">
        <f t="shared" si="0"/>
        <v>6.5539112050739964E-2</v>
      </c>
      <c r="E11" s="231">
        <f>IFERROR(INDEX(年齢階層×在院期間区分F2[#All],MATCH($AH11,年齢階層×在院期間区分F2[[#All],[行ラベル]],0),MATCH($AM$3,年齢階層×在院期間区分F2[#Headers],0)),0)+IFERROR(INDEX(年齢階層×在院期間区分F2[#All],MATCH($AH11,年齢階層×在院期間区分F2[[#All],[行ラベル]],0),MATCH($AN$3,年齢階層×在院期間区分F2[#Headers],0)),0)+IFERROR(INDEX(年齢階層×在院期間区分F2[#All],MATCH($AH11,年齢階層×在院期間区分F2[[#All],[行ラベル]],0),MATCH($AO$3,年齢階層×在院期間区分F2[#Headers],0)),0)+IFERROR(INDEX(年齢階層×在院期間区分F2[#All],MATCH($AH11,年齢階層×在院期間区分F2[[#All],[行ラベル]],0),MATCH($AP$3,年齢階層×在院期間区分F2[#Headers],0)),0)+IFERROR(INDEX(年齢階層×在院期間区分F2[#All],MATCH($AH11,年齢階層×在院期間区分F2[[#All],[行ラベル]],0),MATCH($AQ$3,年齢階層×在院期間区分F2[#Headers],0)),0)</f>
        <v>232</v>
      </c>
      <c r="F11" s="209">
        <f t="shared" si="1"/>
        <v>9.8471986417657045E-2</v>
      </c>
      <c r="G11" s="231">
        <f>IFERROR(INDEX(年齢階層×在院期間区分F2[#All],MATCH($AH11,年齢階層×在院期間区分F2[[#All],[行ラベル]],0),MATCH($AR$3,年齢階層×在院期間区分F2[#Headers],0)),0)+IFERROR(INDEX(年齢階層×在院期間区分F2[#All],MATCH($AH11,年齢階層×在院期間区分F2[[#All],[行ラベル]],0),MATCH($AS$3,年齢階層×在院期間区分F2[#Headers],0)),0)+IFERROR(INDEX(年齢階層×在院期間区分F2[#All],MATCH($AH11,年齢階層×在院期間区分F2[[#All],[行ラベル]],0),MATCH($AT$3,年齢階層×在院期間区分F2[#Headers],0)),0)+IFERROR(INDEX(年齢階層×在院期間区分F2[#All],MATCH($AH11,年齢階層×在院期間区分F2[[#All],[行ラベル]],0),MATCH($AU$3,年齢階層×在院期間区分F2[#Headers],0)),0)+IFERROR(INDEX(年齢階層×在院期間区分F2[#All],MATCH($AH11,年齢階層×在院期間区分F2[[#All],[行ラベル]],0),MATCH($AV$3,年齢階層×在院期間区分F2[#Headers],0)),0)</f>
        <v>106</v>
      </c>
      <c r="H11" s="209">
        <f t="shared" si="2"/>
        <v>8.0181543116490173E-2</v>
      </c>
      <c r="I11" s="232">
        <f>IFERROR(INDEX(年齢階層×在院期間区分F2[#All],MATCH($AH11,年齢階層×在院期間区分F2[[#All],[行ラベル]],0),MATCH($AW$3,年齢階層×在院期間区分F2[#Headers],0)),0)+IFERROR(INDEX(年齢階層×在院期間区分F2[#All],MATCH($AH11,年齢階層×在院期間区分F2[[#All],[行ラベル]],0),MATCH($AX$3,年齢階層×在院期間区分F2[#Headers],0)),0)</f>
        <v>172</v>
      </c>
      <c r="J11" s="209">
        <f t="shared" si="3"/>
        <v>9.0241343126967466E-2</v>
      </c>
      <c r="K11" s="208">
        <f t="shared" si="4"/>
        <v>665</v>
      </c>
      <c r="L11" s="209">
        <f t="shared" si="5"/>
        <v>8.365832180148447E-2</v>
      </c>
      <c r="O11" s="54" t="s">
        <v>9</v>
      </c>
      <c r="P11" s="66">
        <v>32</v>
      </c>
      <c r="Q11" s="66">
        <v>26</v>
      </c>
      <c r="R11" s="66">
        <v>43</v>
      </c>
      <c r="S11" s="66">
        <v>54</v>
      </c>
      <c r="T11" s="66">
        <v>50</v>
      </c>
      <c r="U11" s="66">
        <v>39</v>
      </c>
      <c r="V11" s="66">
        <v>72</v>
      </c>
      <c r="W11" s="66">
        <v>42</v>
      </c>
      <c r="X11" s="66">
        <v>29</v>
      </c>
      <c r="Y11" s="66">
        <v>23</v>
      </c>
      <c r="Z11" s="66">
        <v>27</v>
      </c>
      <c r="AA11" s="66">
        <v>18</v>
      </c>
      <c r="AB11" s="66">
        <v>21</v>
      </c>
      <c r="AC11" s="66">
        <v>17</v>
      </c>
      <c r="AD11" s="66">
        <v>88</v>
      </c>
      <c r="AE11" s="66">
        <v>84</v>
      </c>
      <c r="AH11" s="54" t="s">
        <v>9</v>
      </c>
      <c r="AI11" s="67"/>
      <c r="AJ11" s="67"/>
      <c r="AL11" s="81"/>
    </row>
    <row r="12" spans="2:50" s="22" customFormat="1" ht="18.75" customHeight="1" thickBot="1" x14ac:dyDescent="0.2">
      <c r="B12" s="233" t="s">
        <v>10</v>
      </c>
      <c r="C12" s="234">
        <f>IFERROR(INDEX(年齢階層×在院期間区分F2[#All],MATCH($AH12,年齢階層×在院期間区分F2[[#All],[行ラベル]],0),MATCH($AI$3,年齢階層×在院期間区分F2[#Headers],0)),0)+IFERROR(INDEX(年齢階層×在院期間区分F2[#All],MATCH($AH12,年齢階層×在院期間区分F2[[#All],[行ラベル]],0),MATCH($AJ$3,年齢階層×在院期間区分F2[#Headers],0)),0)+IFERROR(INDEX(年齢階層×在院期間区分F2[#All],MATCH($AH12,年齢階層×在院期間区分F2[[#All],[行ラベル]],0),MATCH($AK$3,年齢階層×在院期間区分F2[#Headers],0)),0)+IFERROR(INDEX(年齢階層×在院期間区分F2[#All],MATCH($AH12,年齢階層×在院期間区分F2[[#All],[行ラベル]],0),MATCH($AL$3,年齢階層×在院期間区分F2[#Headers],0)),0)</f>
        <v>19</v>
      </c>
      <c r="D12" s="225">
        <f t="shared" si="0"/>
        <v>8.033826638477801E-3</v>
      </c>
      <c r="E12" s="211">
        <f>IFERROR(INDEX(年齢階層×在院期間区分F2[#All],MATCH($AH12,年齢階層×在院期間区分F2[[#All],[行ラベル]],0),MATCH($AM$3,年齢階層×在院期間区分F2[#Headers],0)),0)+IFERROR(INDEX(年齢階層×在院期間区分F2[#All],MATCH($AH12,年齢階層×在院期間区分F2[[#All],[行ラベル]],0),MATCH($AN$3,年齢階層×在院期間区分F2[#Headers],0)),0)+IFERROR(INDEX(年齢階層×在院期間区分F2[#All],MATCH($AH12,年齢階層×在院期間区分F2[[#All],[行ラベル]],0),MATCH($AO$3,年齢階層×在院期間区分F2[#Headers],0)),0)+IFERROR(INDEX(年齢階層×在院期間区分F2[#All],MATCH($AH12,年齢階層×在院期間区分F2[[#All],[行ラベル]],0),MATCH($AP$3,年齢階層×在院期間区分F2[#Headers],0)),0)+IFERROR(INDEX(年齢階層×在院期間区分F2[#All],MATCH($AH12,年齢階層×在院期間区分F2[[#All],[行ラベル]],0),MATCH($AQ$3,年齢階層×在院期間区分F2[#Headers],0)),0)</f>
        <v>27</v>
      </c>
      <c r="F12" s="225">
        <f t="shared" si="1"/>
        <v>1.1460101867572157E-2</v>
      </c>
      <c r="G12" s="211">
        <f>IFERROR(INDEX(年齢階層×在院期間区分F2[#All],MATCH($AH12,年齢階層×在院期間区分F2[[#All],[行ラベル]],0),MATCH($AR$3,年齢階層×在院期間区分F2[#Headers],0)),0)+IFERROR(INDEX(年齢階層×在院期間区分F2[#All],MATCH($AH12,年齢階層×在院期間区分F2[[#All],[行ラベル]],0),MATCH($AS$3,年齢階層×在院期間区分F2[#Headers],0)),0)+IFERROR(INDEX(年齢階層×在院期間区分F2[#All],MATCH($AH12,年齢階層×在院期間区分F2[[#All],[行ラベル]],0),MATCH($AT$3,年齢階層×在院期間区分F2[#Headers],0)),0)+IFERROR(INDEX(年齢階層×在院期間区分F2[#All],MATCH($AH12,年齢階層×在院期間区分F2[[#All],[行ラベル]],0),MATCH($AU$3,年齢階層×在院期間区分F2[#Headers],0)),0)+IFERROR(INDEX(年齢階層×在院期間区分F2[#All],MATCH($AH12,年齢階層×在院期間区分F2[[#All],[行ラベル]],0),MATCH($AV$3,年齢階層×在院期間区分F2[#Headers],0)),0)</f>
        <v>17</v>
      </c>
      <c r="H12" s="225">
        <f t="shared" si="2"/>
        <v>1.2859304084720122E-2</v>
      </c>
      <c r="I12" s="211">
        <f>IFERROR(INDEX(年齢階層×在院期間区分F2[#All],MATCH($AH12,年齢階層×在院期間区分F2[[#All],[行ラベル]],0),MATCH($AW$3,年齢階層×在院期間区分F2[#Headers],0)),0)+IFERROR(INDEX(年齢階層×在院期間区分F2[#All],MATCH($AH12,年齢階層×在院期間区分F2[[#All],[行ラベル]],0),MATCH($AX$3,年齢階層×在院期間区分F2[#Headers],0)),0)</f>
        <v>26</v>
      </c>
      <c r="J12" s="225">
        <f t="shared" si="3"/>
        <v>1.3641133263378805E-2</v>
      </c>
      <c r="K12" s="211">
        <f t="shared" si="4"/>
        <v>89</v>
      </c>
      <c r="L12" s="225">
        <f t="shared" si="5"/>
        <v>1.1196376902755064E-2</v>
      </c>
      <c r="O12" s="54" t="s">
        <v>10</v>
      </c>
      <c r="P12" s="66">
        <v>8</v>
      </c>
      <c r="Q12" s="66">
        <v>4</v>
      </c>
      <c r="R12" s="66">
        <v>2</v>
      </c>
      <c r="S12" s="66">
        <v>5</v>
      </c>
      <c r="T12" s="66">
        <v>6</v>
      </c>
      <c r="U12" s="66">
        <v>6</v>
      </c>
      <c r="V12" s="66">
        <v>7</v>
      </c>
      <c r="W12" s="66">
        <v>2</v>
      </c>
      <c r="X12" s="66">
        <v>6</v>
      </c>
      <c r="Y12" s="66">
        <v>4</v>
      </c>
      <c r="Z12" s="66">
        <v>6</v>
      </c>
      <c r="AA12" s="66">
        <v>1</v>
      </c>
      <c r="AB12" s="66">
        <v>3</v>
      </c>
      <c r="AC12" s="66">
        <v>3</v>
      </c>
      <c r="AD12" s="66">
        <v>14</v>
      </c>
      <c r="AE12" s="66">
        <v>12</v>
      </c>
      <c r="AH12" s="54" t="s">
        <v>10</v>
      </c>
      <c r="AI12" s="67"/>
      <c r="AJ12" s="67"/>
      <c r="AL12" s="81"/>
    </row>
    <row r="13" spans="2:50" s="22" customFormat="1" ht="18.75" customHeight="1" thickTop="1" thickBot="1" x14ac:dyDescent="0.2">
      <c r="B13" s="235" t="s">
        <v>162</v>
      </c>
      <c r="C13" s="236">
        <f t="shared" ref="C13:L13" si="6">SUM(C4:C12)</f>
        <v>2365</v>
      </c>
      <c r="D13" s="237">
        <f t="shared" si="6"/>
        <v>1</v>
      </c>
      <c r="E13" s="236">
        <f t="shared" si="6"/>
        <v>2356</v>
      </c>
      <c r="F13" s="237">
        <f t="shared" si="6"/>
        <v>1</v>
      </c>
      <c r="G13" s="236">
        <f t="shared" si="6"/>
        <v>1322</v>
      </c>
      <c r="H13" s="237">
        <f t="shared" si="6"/>
        <v>1</v>
      </c>
      <c r="I13" s="236">
        <f t="shared" si="6"/>
        <v>1906</v>
      </c>
      <c r="J13" s="237">
        <f t="shared" si="6"/>
        <v>1</v>
      </c>
      <c r="K13" s="236">
        <f t="shared" si="6"/>
        <v>7949</v>
      </c>
      <c r="L13" s="237">
        <f t="shared" si="6"/>
        <v>1</v>
      </c>
      <c r="O13" s="430" t="s">
        <v>309</v>
      </c>
      <c r="P13" s="504" t="s">
        <v>183</v>
      </c>
      <c r="Q13" s="62" t="s">
        <v>184</v>
      </c>
      <c r="R13" s="62" t="s">
        <v>185</v>
      </c>
      <c r="S13" s="62" t="s">
        <v>186</v>
      </c>
      <c r="T13" s="62" t="s">
        <v>187</v>
      </c>
      <c r="U13" s="62" t="s">
        <v>188</v>
      </c>
      <c r="V13" s="62" t="s">
        <v>189</v>
      </c>
      <c r="W13" s="62" t="s">
        <v>190</v>
      </c>
      <c r="X13" s="62" t="s">
        <v>191</v>
      </c>
      <c r="Y13" s="62" t="s">
        <v>192</v>
      </c>
      <c r="Z13" s="62" t="s">
        <v>193</v>
      </c>
      <c r="AA13" s="62" t="s">
        <v>194</v>
      </c>
      <c r="AB13" s="62" t="s">
        <v>195</v>
      </c>
      <c r="AC13" s="62" t="s">
        <v>196</v>
      </c>
      <c r="AD13" s="62" t="s">
        <v>197</v>
      </c>
      <c r="AE13" s="378" t="s">
        <v>198</v>
      </c>
      <c r="AH13" s="81"/>
      <c r="AI13" s="81"/>
      <c r="AL13" s="81"/>
    </row>
    <row r="14" spans="2:50" s="22" customFormat="1" ht="18.75" customHeight="1" thickTop="1" x14ac:dyDescent="0.15">
      <c r="B14" s="238" t="s">
        <v>93</v>
      </c>
      <c r="C14" s="239">
        <f>IFERROR(INDEX(年齢階層×在院期間区分F2_65歳未満以上[#All],MATCH($AH14,年齢階層×在院期間区分F2_65歳未満以上[[#All],[列1]],0),MATCH($AI$3,年齢階層×在院期間区分F2_65歳未満以上[#Headers],0)),0)+IFERROR(INDEX(年齢階層×在院期間区分F2_65歳未満以上[#All],MATCH($AH14,年齢階層×在院期間区分F2_65歳未満以上[[#All],[列1]],0),MATCH($AJ$3,年齢階層×在院期間区分F2_65歳未満以上[#Headers],0)),0)+IFERROR(INDEX(年齢階層×在院期間区分F2_65歳未満以上[#All],MATCH($AH14,年齢階層×在院期間区分F2_65歳未満以上[[#All],[列1]],0),MATCH($AK$3,年齢階層×在院期間区分F2_65歳未満以上[#Headers],0)),0)+IFERROR(INDEX(年齢階層×在院期間区分F2_65歳未満以上[#All],MATCH($AH14,年齢階層×在院期間区分F2_65歳未満以上[[#All],[列1]],0),MATCH($AL$3,年齢階層×在院期間区分F2_65歳未満以上[#Headers],0)),0)</f>
        <v>1489</v>
      </c>
      <c r="D14" s="210">
        <f>IFERROR(C14/$C$13,"-")</f>
        <v>0.62959830866807609</v>
      </c>
      <c r="E14" s="239">
        <f>IFERROR(INDEX(年齢階層×在院期間区分F2_65歳未満以上[#All],MATCH($AH14,年齢階層×在院期間区分F2_65歳未満以上[[#All],[列1]],0),MATCH($AM$3,年齢階層×在院期間区分F2_65歳未満以上[#Headers],0)),0)+IFERROR(INDEX(年齢階層×在院期間区分F2_65歳未満以上[#All],MATCH($AH14,年齢階層×在院期間区分F2_65歳未満以上[[#All],[列1]],0),MATCH($AN$3,年齢階層×在院期間区分F2_65歳未満以上[#Headers],0)),0)+IFERROR(INDEX(年齢階層×在院期間区分F2_65歳未満以上[#All],MATCH($AH14,年齢階層×在院期間区分F2_65歳未満以上[[#All],[列1]],0),MATCH($AO$3,年齢階層×在院期間区分F2_65歳未満以上[#Headers],0)),0)+IFERROR(INDEX(年齢階層×在院期間区分F2_65歳未満以上[#All],MATCH($AH14,年齢階層×在院期間区分F2_65歳未満以上[[#All],[列1]],0),MATCH($AP$3,年齢階層×在院期間区分F2_65歳未満以上[#Headers],0)),0)+IFERROR(INDEX(年齢階層×在院期間区分F2_65歳未満以上[#All],MATCH($AH14,年齢階層×在院期間区分F2_65歳未満以上[[#All],[列1]],0),MATCH($AQ$3,年齢階層×在院期間区分F2_65歳未満以上[#Headers],0)),0)</f>
        <v>1219</v>
      </c>
      <c r="F14" s="210">
        <f>IFERROR(E14/$E$13,"-")</f>
        <v>0.517402376910017</v>
      </c>
      <c r="G14" s="239">
        <f>IFERROR(INDEX(年齢階層×在院期間区分F2_65歳未満以上[#All],MATCH($AH14,年齢階層×在院期間区分F2_65歳未満以上[[#All],[列1]],0),MATCH($AR$3,年齢階層×在院期間区分F2_65歳未満以上[#Headers],0)),0)+IFERROR(INDEX(年齢階層×在院期間区分F2_65歳未満以上[#All],MATCH($AH14,年齢階層×在院期間区分F2_65歳未満以上[[#All],[列1]],0),MATCH($AS$3,年齢階層×在院期間区分F2_65歳未満以上[#Headers],0)),0)+IFERROR(INDEX(年齢階層×在院期間区分F2_65歳未満以上[#All],MATCH($AH14,年齢階層×在院期間区分F2_65歳未満以上[[#All],[列1]],0),MATCH($AT$3,年齢階層×在院期間区分F2_65歳未満以上[#Headers],0)),0)+IFERROR(INDEX(年齢階層×在院期間区分F2_65歳未満以上[#All],MATCH($AH14,年齢階層×在院期間区分F2_65歳未満以上[[#All],[列1]],0),MATCH($AU$3,年齢階層×在院期間区分F2_65歳未満以上[#Headers],0)),0)+IFERROR(INDEX(年齢階層×在院期間区分F2_65歳未満以上[#All],MATCH($AH14,年齢階層×在院期間区分F2_65歳未満以上[[#All],[列1]],0),MATCH($AV$3,年齢階層×在院期間区分F2_65歳未満以上[#Headers],0)),0)</f>
        <v>704</v>
      </c>
      <c r="H14" s="210">
        <f>IFERROR(G14/$G$13,"-")</f>
        <v>0.53252647503782147</v>
      </c>
      <c r="I14" s="239">
        <f>IFERROR(INDEX(年齢階層×在院期間区分F2_65歳未満以上[#All],MATCH($AH14,年齢階層×在院期間区分F2_65歳未満以上[[#All],[列1]],0),MATCH($AW$3,年齢階層×在院期間区分F2_65歳未満以上[#Headers],0)),0)+IFERROR(INDEX(年齢階層×在院期間区分F2_65歳未満以上[#All],MATCH($AH14,年齢階層×在院期間区分F2_65歳未満以上[[#All],[列1]],0),MATCH($AX$3,年齢階層×在院期間区分F2_65歳未満以上[#Headers],0)),0)</f>
        <v>824</v>
      </c>
      <c r="J14" s="210">
        <f>IFERROR(I14/$I$13,"-")</f>
        <v>0.43231899265477441</v>
      </c>
      <c r="K14" s="239">
        <f>C14+E14+G14+I14</f>
        <v>4236</v>
      </c>
      <c r="L14" s="210">
        <f>IFERROR(K14/$K$13,"-")</f>
        <v>0.53289721977607252</v>
      </c>
      <c r="O14" s="54" t="s">
        <v>307</v>
      </c>
      <c r="P14" s="66">
        <v>454</v>
      </c>
      <c r="Q14" s="66">
        <v>410</v>
      </c>
      <c r="R14" s="66">
        <v>263</v>
      </c>
      <c r="S14" s="66">
        <v>362</v>
      </c>
      <c r="T14" s="66">
        <v>235</v>
      </c>
      <c r="U14" s="66">
        <v>210</v>
      </c>
      <c r="V14" s="66">
        <v>345</v>
      </c>
      <c r="W14" s="66">
        <v>237</v>
      </c>
      <c r="X14" s="66">
        <v>192</v>
      </c>
      <c r="Y14" s="66">
        <v>199</v>
      </c>
      <c r="Z14" s="66">
        <v>136</v>
      </c>
      <c r="AA14" s="66">
        <v>133</v>
      </c>
      <c r="AB14" s="66">
        <v>123</v>
      </c>
      <c r="AC14" s="66">
        <v>113</v>
      </c>
      <c r="AD14" s="66">
        <v>558</v>
      </c>
      <c r="AE14" s="66">
        <v>266</v>
      </c>
      <c r="AH14" s="83" t="s">
        <v>157</v>
      </c>
    </row>
    <row r="15" spans="2:50" s="22" customFormat="1" ht="18.75" customHeight="1" x14ac:dyDescent="0.15">
      <c r="B15" s="240" t="s">
        <v>89</v>
      </c>
      <c r="C15" s="239">
        <f>IFERROR(INDEX(年齢階層×在院期間区分F2_65歳未満以上[#All],MATCH($AH15,年齢階層×在院期間区分F2_65歳未満以上[[#All],[列1]],0),MATCH($AI$3,年齢階層×在院期間区分F2_65歳未満以上[#Headers],0)),0)+IFERROR(INDEX(年齢階層×在院期間区分F2_65歳未満以上[#All],MATCH($AH15,年齢階層×在院期間区分F2_65歳未満以上[[#All],[列1]],0),MATCH($AJ$3,年齢階層×在院期間区分F2_65歳未満以上[#Headers],0)),0)+IFERROR(INDEX(年齢階層×在院期間区分F2_65歳未満以上[#All],MATCH($AH15,年齢階層×在院期間区分F2_65歳未満以上[[#All],[列1]],0),MATCH($AK$3,年齢階層×在院期間区分F2_65歳未満以上[#Headers],0)),0)+IFERROR(INDEX(年齢階層×在院期間区分F2_65歳未満以上[#All],MATCH($AH15,年齢階層×在院期間区分F2_65歳未満以上[[#All],[列1]],0),MATCH($AL$3,年齢階層×在院期間区分F2_65歳未満以上[#Headers],0)),0)</f>
        <v>876</v>
      </c>
      <c r="D15" s="241">
        <f>IFERROR(C15/$C$13,"-")</f>
        <v>0.37040169133192391</v>
      </c>
      <c r="E15" s="239">
        <f>IFERROR(INDEX(年齢階層×在院期間区分F2_65歳未満以上[#All],MATCH($AH15,年齢階層×在院期間区分F2_65歳未満以上[[#All],[列1]],0),MATCH($AM$3,年齢階層×在院期間区分F2_65歳未満以上[#Headers],0)),0)+IFERROR(INDEX(年齢階層×在院期間区分F2_65歳未満以上[#All],MATCH($AH15,年齢階層×在院期間区分F2_65歳未満以上[[#All],[列1]],0),MATCH($AN$3,年齢階層×在院期間区分F2_65歳未満以上[#Headers],0)),0)+IFERROR(INDEX(年齢階層×在院期間区分F2_65歳未満以上[#All],MATCH($AH15,年齢階層×在院期間区分F2_65歳未満以上[[#All],[列1]],0),MATCH($AO$3,年齢階層×在院期間区分F2_65歳未満以上[#Headers],0)),0)+IFERROR(INDEX(年齢階層×在院期間区分F2_65歳未満以上[#All],MATCH($AH15,年齢階層×在院期間区分F2_65歳未満以上[[#All],[列1]],0),MATCH($AP$3,年齢階層×在院期間区分F2_65歳未満以上[#Headers],0)),0)+IFERROR(INDEX(年齢階層×在院期間区分F2_65歳未満以上[#All],MATCH($AH15,年齢階層×在院期間区分F2_65歳未満以上[[#All],[列1]],0),MATCH($AQ$3,年齢階層×在院期間区分F2_65歳未満以上[#Headers],0)),0)</f>
        <v>1137</v>
      </c>
      <c r="F15" s="241">
        <f>IFERROR(E15/$E$13,"-")</f>
        <v>0.482597623089983</v>
      </c>
      <c r="G15" s="239">
        <f>IFERROR(INDEX(年齢階層×在院期間区分F2_65歳未満以上[#All],MATCH($AH15,年齢階層×在院期間区分F2_65歳未満以上[[#All],[列1]],0),MATCH($AR$3,年齢階層×在院期間区分F2_65歳未満以上[#Headers],0)),0)+IFERROR(INDEX(年齢階層×在院期間区分F2_65歳未満以上[#All],MATCH($AH15,年齢階層×在院期間区分F2_65歳未満以上[[#All],[列1]],0),MATCH($AS$3,年齢階層×在院期間区分F2_65歳未満以上[#Headers],0)),0)+IFERROR(INDEX(年齢階層×在院期間区分F2_65歳未満以上[#All],MATCH($AH15,年齢階層×在院期間区分F2_65歳未満以上[[#All],[列1]],0),MATCH($AT$3,年齢階層×在院期間区分F2_65歳未満以上[#Headers],0)),0)+IFERROR(INDEX(年齢階層×在院期間区分F2_65歳未満以上[#All],MATCH($AH15,年齢階層×在院期間区分F2_65歳未満以上[[#All],[列1]],0),MATCH($AU$3,年齢階層×在院期間区分F2_65歳未満以上[#Headers],0)),0)+IFERROR(INDEX(年齢階層×在院期間区分F2_65歳未満以上[#All],MATCH($AH15,年齢階層×在院期間区分F2_65歳未満以上[[#All],[列1]],0),MATCH($AV$3,年齢階層×在院期間区分F2_65歳未満以上[#Headers],0)),0)</f>
        <v>618</v>
      </c>
      <c r="H15" s="241">
        <f>IFERROR(G15/$G$13,"-")</f>
        <v>0.46747352496217853</v>
      </c>
      <c r="I15" s="239">
        <f>IFERROR(INDEX(年齢階層×在院期間区分F2_65歳未満以上[#All],MATCH($AH15,年齢階層×在院期間区分F2_65歳未満以上[[#All],[列1]],0),MATCH($AW$3,年齢階層×在院期間区分F2_65歳未満以上[#Headers],0)),0)+IFERROR(INDEX(年齢階層×在院期間区分F2_65歳未満以上[#All],MATCH($AH15,年齢階層×在院期間区分F2_65歳未満以上[[#All],[列1]],0),MATCH($AX$3,年齢階層×在院期間区分F2_65歳未満以上[#Headers],0)),0)</f>
        <v>1082</v>
      </c>
      <c r="J15" s="241">
        <f>IFERROR(I15/$I$13,"-")</f>
        <v>0.56768100734522564</v>
      </c>
      <c r="K15" s="239">
        <f>C15+E15+G15+I15</f>
        <v>3713</v>
      </c>
      <c r="L15" s="241">
        <f>IFERROR(K15/$K$13,"-")</f>
        <v>0.46710278022392754</v>
      </c>
      <c r="O15" s="83" t="s">
        <v>308</v>
      </c>
      <c r="P15" s="66">
        <v>154</v>
      </c>
      <c r="Q15" s="66">
        <v>201</v>
      </c>
      <c r="R15" s="66">
        <v>237</v>
      </c>
      <c r="S15" s="66">
        <v>284</v>
      </c>
      <c r="T15" s="66">
        <v>201</v>
      </c>
      <c r="U15" s="66">
        <v>195</v>
      </c>
      <c r="V15" s="66">
        <v>337</v>
      </c>
      <c r="W15" s="66">
        <v>225</v>
      </c>
      <c r="X15" s="66">
        <v>179</v>
      </c>
      <c r="Y15" s="66">
        <v>145</v>
      </c>
      <c r="Z15" s="66">
        <v>150</v>
      </c>
      <c r="AA15" s="66">
        <v>106</v>
      </c>
      <c r="AB15" s="66">
        <v>111</v>
      </c>
      <c r="AC15" s="66">
        <v>106</v>
      </c>
      <c r="AD15" s="66">
        <v>556</v>
      </c>
      <c r="AE15" s="66">
        <v>526</v>
      </c>
      <c r="AH15" s="83" t="s">
        <v>88</v>
      </c>
    </row>
    <row r="16" spans="2:50" ht="18.75" customHeight="1" x14ac:dyDescent="0.15"/>
    <row r="17" spans="2:38" ht="18.75" customHeight="1" x14ac:dyDescent="0.15">
      <c r="B17" s="2" t="s">
        <v>75</v>
      </c>
    </row>
    <row r="18" spans="2:38" ht="18.75" customHeight="1" thickBot="1" x14ac:dyDescent="0.2">
      <c r="B18" s="688" t="s">
        <v>65</v>
      </c>
      <c r="C18" s="690" t="s">
        <v>64</v>
      </c>
      <c r="D18" s="691"/>
      <c r="E18" s="691"/>
      <c r="F18" s="691"/>
      <c r="G18" s="691"/>
      <c r="H18" s="691"/>
      <c r="I18" s="691"/>
      <c r="J18" s="691"/>
      <c r="K18" s="691"/>
      <c r="L18" s="692"/>
      <c r="O18" s="34" t="s">
        <v>63</v>
      </c>
    </row>
    <row r="19" spans="2:38" ht="18.75" customHeight="1" thickTop="1" thickBot="1" x14ac:dyDescent="0.2">
      <c r="B19" s="689"/>
      <c r="C19" s="693" t="s">
        <v>69</v>
      </c>
      <c r="D19" s="694"/>
      <c r="E19" s="693" t="s">
        <v>70</v>
      </c>
      <c r="F19" s="694"/>
      <c r="G19" s="693" t="s">
        <v>71</v>
      </c>
      <c r="H19" s="694"/>
      <c r="I19" s="693" t="s">
        <v>72</v>
      </c>
      <c r="J19" s="694"/>
      <c r="K19" s="693" t="s">
        <v>62</v>
      </c>
      <c r="L19" s="694"/>
      <c r="O19" s="430" t="s">
        <v>371</v>
      </c>
      <c r="P19" s="504" t="s">
        <v>183</v>
      </c>
      <c r="Q19" s="62" t="s">
        <v>184</v>
      </c>
      <c r="R19" s="62" t="s">
        <v>185</v>
      </c>
      <c r="S19" s="62" t="s">
        <v>186</v>
      </c>
      <c r="T19" s="62" t="s">
        <v>187</v>
      </c>
      <c r="U19" s="62" t="s">
        <v>188</v>
      </c>
      <c r="V19" s="62" t="s">
        <v>189</v>
      </c>
      <c r="W19" s="62" t="s">
        <v>190</v>
      </c>
      <c r="X19" s="62" t="s">
        <v>191</v>
      </c>
      <c r="Y19" s="62" t="s">
        <v>192</v>
      </c>
      <c r="Z19" s="62" t="s">
        <v>193</v>
      </c>
      <c r="AA19" s="62" t="s">
        <v>194</v>
      </c>
      <c r="AB19" s="62" t="s">
        <v>195</v>
      </c>
      <c r="AC19" s="62" t="s">
        <v>196</v>
      </c>
      <c r="AD19" s="62" t="s">
        <v>197</v>
      </c>
      <c r="AE19" s="378" t="s">
        <v>198</v>
      </c>
    </row>
    <row r="20" spans="2:38" s="22" customFormat="1" ht="18.75" customHeight="1" thickTop="1" x14ac:dyDescent="0.15">
      <c r="B20" s="228" t="s">
        <v>2</v>
      </c>
      <c r="C20" s="229">
        <f>IFERROR(INDEX(年齢階層×在院期間区分F2＿寛解・院内寛解[#All],MATCH($AH4,年齢階層×在院期間区分F2＿寛解・院内寛解[[#All],[行ラベル]],0),MATCH($AI$3,年齢階層×在院期間区分F2＿寛解・院内寛解[#Headers],0)),0)+IFERROR(INDEX(年齢階層×在院期間区分F2＿寛解・院内寛解[#All],MATCH($AH4,年齢階層×在院期間区分F2＿寛解・院内寛解[[#All],[行ラベル]],0),MATCH($AJ$3,年齢階層×在院期間区分F2＿寛解・院内寛解[#Headers],0)),0)+IFERROR(INDEX(年齢階層×在院期間区分F2＿寛解・院内寛解[#All],MATCH($AH4,年齢階層×在院期間区分F2＿寛解・院内寛解[[#All],[行ラベル]],0),MATCH($AK$3,年齢階層×在院期間区分F2＿寛解・院内寛解[#Headers],0)),0)+IFERROR(INDEX(年齢階層×在院期間区分F2＿寛解・院内寛解[#All],MATCH($AH4,年齢階層×在院期間区分F2＿寛解・院内寛解[[#All],[行ラベル]],0),MATCH($AL$3,年齢階層×在院期間区分F2＿寛解・院内寛解[#Headers],0)),0)</f>
        <v>2</v>
      </c>
      <c r="D20" s="242">
        <f t="shared" ref="D20:D28" si="7">IFERROR(C20/$C$29,"-")</f>
        <v>5.208333333333333E-3</v>
      </c>
      <c r="E20" s="229">
        <f>IFERROR(INDEX(年齢階層×在院期間区分F2＿寛解・院内寛解[#All],MATCH($AH4,年齢階層×在院期間区分F2＿寛解・院内寛解[[#All],[行ラベル]],0),MATCH($AM$3,年齢階層×在院期間区分F2＿寛解・院内寛解[#Headers],0)),0)+IFERROR(INDEX(年齢階層×在院期間区分F2＿寛解・院内寛解[#All],MATCH($AH4,年齢階層×在院期間区分F2＿寛解・院内寛解[[#All],[行ラベル]],0),MATCH($AN$3,年齢階層×在院期間区分F2＿寛解・院内寛解[#Headers],0)),0)+IFERROR(INDEX(年齢階層×在院期間区分F2＿寛解・院内寛解[#All],MATCH($AH4,年齢階層×在院期間区分F2＿寛解・院内寛解[[#All],[行ラベル]],0),MATCH($AO$3,年齢階層×在院期間区分F2＿寛解・院内寛解[#Headers],0)),0)+IFERROR(INDEX(年齢階層×在院期間区分F2＿寛解・院内寛解[#All],MATCH($AH4,年齢階層×在院期間区分F2＿寛解・院内寛解[[#All],[行ラベル]],0),MATCH($AP$3,年齢階層×在院期間区分F2＿寛解・院内寛解[#Headers],0)),0)+IFERROR(INDEX(年齢階層×在院期間区分F2＿寛解・院内寛解[#All],MATCH($AH4,年齢階層×在院期間区分F2＿寛解・院内寛解[[#All],[行ラベル]],0),MATCH($AQ$3,年齢階層×在院期間区分F2＿寛解・院内寛解[#Headers],0)),0)</f>
        <v>0</v>
      </c>
      <c r="F20" s="242">
        <f t="shared" ref="F20:F28" si="8">IFERROR(E20/$E$29,"-")</f>
        <v>0</v>
      </c>
      <c r="G20" s="223">
        <f>IFERROR(INDEX(年齢階層×在院期間区分F2＿寛解・院内寛解[#All],MATCH($AH4,年齢階層×在院期間区分F2＿寛解・院内寛解[[#All],[行ラベル]],0),MATCH($AR$3,年齢階層×在院期間区分F2＿寛解・院内寛解[#Headers],0)),0)+IFERROR(INDEX(年齢階層×在院期間区分F2＿寛解・院内寛解[#All],MATCH($AH4,年齢階層×在院期間区分F2＿寛解・院内寛解[[#All],[行ラベル]],0),MATCH($AS$3,年齢階層×在院期間区分F2＿寛解・院内寛解[#Headers],0)),0)+IFERROR(INDEX(年齢階層×在院期間区分F2＿寛解・院内寛解[#All],MATCH($AH4,年齢階層×在院期間区分F2＿寛解・院内寛解[[#All],[行ラベル]],0),MATCH($AT$3,年齢階層×在院期間区分F2＿寛解・院内寛解[#Headers],0)),0)+IFERROR(INDEX(年齢階層×在院期間区分F2＿寛解・院内寛解[#All],MATCH($AH4,年齢階層×在院期間区分F2＿寛解・院内寛解[[#All],[行ラベル]],0),MATCH($AU$3,年齢階層×在院期間区分F2＿寛解・院内寛解[#Headers],0)),0)+IFERROR(INDEX(年齢階層×在院期間区分F2＿寛解・院内寛解[#All],MATCH($AH4,年齢階層×在院期間区分F2＿寛解・院内寛解[[#All],[行ラベル]],0),MATCH($AV$3,年齢階層×在院期間区分F2＿寛解・院内寛解[#Headers],0)),0)</f>
        <v>0</v>
      </c>
      <c r="H20" s="242">
        <f t="shared" ref="H20:H28" si="9">IFERROR(G20/$G$29,"-")</f>
        <v>0</v>
      </c>
      <c r="I20" s="229">
        <f>IFERROR(INDEX(年齢階層×在院期間区分F2＿寛解・院内寛解[#All],MATCH($AH4,年齢階層×在院期間区分F2＿寛解・院内寛解[[#All],[行ラベル]],0),MATCH($AW$3,年齢階層×在院期間区分F2＿寛解・院内寛解[#Headers],0)),0)+IFERROR(INDEX(年齢階層×在院期間区分F2＿寛解・院内寛解[#All],MATCH($AH4,年齢階層×在院期間区分F2＿寛解・院内寛解[[#All],[行ラベル]],0),MATCH($AX$3,年齢階層×在院期間区分F2＿寛解・院内寛解[#Headers],0)),0)</f>
        <v>0</v>
      </c>
      <c r="J20" s="242">
        <f t="shared" ref="J20:J28" si="10">IFERROR(I20/$I$29,"-")</f>
        <v>0</v>
      </c>
      <c r="K20" s="223">
        <f t="shared" ref="K20:K28" si="11">SUM(C20,E20,G20,I20)</f>
        <v>2</v>
      </c>
      <c r="L20" s="242">
        <f t="shared" ref="L20:L28" si="12">IFERROR(K20/$K$29,"-")</f>
        <v>2.7247956403269754E-3</v>
      </c>
      <c r="O20" s="54" t="s">
        <v>2</v>
      </c>
      <c r="P20" s="66">
        <v>1</v>
      </c>
      <c r="Q20" s="66">
        <v>1</v>
      </c>
      <c r="R20" s="66">
        <v>0</v>
      </c>
      <c r="S20" s="66">
        <v>0</v>
      </c>
      <c r="T20" s="66">
        <v>0</v>
      </c>
      <c r="U20" s="66">
        <v>0</v>
      </c>
      <c r="V20" s="66">
        <v>0</v>
      </c>
      <c r="W20" s="66">
        <v>0</v>
      </c>
      <c r="X20" s="66">
        <v>0</v>
      </c>
      <c r="Y20" s="66">
        <v>0</v>
      </c>
      <c r="Z20" s="66">
        <v>0</v>
      </c>
      <c r="AA20" s="66">
        <v>0</v>
      </c>
      <c r="AB20" s="66">
        <v>0</v>
      </c>
      <c r="AC20" s="66">
        <v>0</v>
      </c>
      <c r="AD20" s="66">
        <v>0</v>
      </c>
      <c r="AE20" s="66">
        <v>0</v>
      </c>
      <c r="AH20" s="54" t="s">
        <v>2</v>
      </c>
    </row>
    <row r="21" spans="2:38" s="22" customFormat="1" ht="18.75" customHeight="1" x14ac:dyDescent="0.15">
      <c r="B21" s="230" t="s">
        <v>3</v>
      </c>
      <c r="C21" s="231">
        <f>IFERROR(INDEX(年齢階層×在院期間区分F2＿寛解・院内寛解[#All],MATCH($AH5,年齢階層×在院期間区分F2＿寛解・院内寛解[[#All],[行ラベル]],0),MATCH($AI$3,年齢階層×在院期間区分F2＿寛解・院内寛解[#Headers],0)),0)+IFERROR(INDEX(年齢階層×在院期間区分F2＿寛解・院内寛解[#All],MATCH($AH5,年齢階層×在院期間区分F2＿寛解・院内寛解[[#All],[行ラベル]],0),MATCH($AJ$3,年齢階層×在院期間区分F2＿寛解・院内寛解[#Headers],0)),0)+IFERROR(INDEX(年齢階層×在院期間区分F2＿寛解・院内寛解[#All],MATCH($AH5,年齢階層×在院期間区分F2＿寛解・院内寛解[[#All],[行ラベル]],0),MATCH($AK$3,年齢階層×在院期間区分F2＿寛解・院内寛解[#Headers],0)),0)+IFERROR(INDEX(年齢階層×在院期間区分F2＿寛解・院内寛解[#All],MATCH($AH5,年齢階層×在院期間区分F2＿寛解・院内寛解[[#All],[行ラベル]],0),MATCH($AL$3,年齢階層×在院期間区分F2＿寛解・院内寛解[#Headers],0)),0)</f>
        <v>14</v>
      </c>
      <c r="D21" s="209">
        <f t="shared" si="7"/>
        <v>3.6458333333333336E-2</v>
      </c>
      <c r="E21" s="231">
        <f>IFERROR(INDEX(年齢階層×在院期間区分F2＿寛解・院内寛解[#All],MATCH($AH5,年齢階層×在院期間区分F2＿寛解・院内寛解[[#All],[行ラベル]],0),MATCH($AM$3,年齢階層×在院期間区分F2＿寛解・院内寛解[#Headers],0)),0)+IFERROR(INDEX(年齢階層×在院期間区分F2＿寛解・院内寛解[#All],MATCH($AH5,年齢階層×在院期間区分F2＿寛解・院内寛解[[#All],[行ラベル]],0),MATCH($AN$3,年齢階層×在院期間区分F2＿寛解・院内寛解[#Headers],0)),0)+IFERROR(INDEX(年齢階層×在院期間区分F2＿寛解・院内寛解[#All],MATCH($AH5,年齢階層×在院期間区分F2＿寛解・院内寛解[[#All],[行ラベル]],0),MATCH($AO$3,年齢階層×在院期間区分F2＿寛解・院内寛解[#Headers],0)),0)+IFERROR(INDEX(年齢階層×在院期間区分F2＿寛解・院内寛解[#All],MATCH($AH5,年齢階層×在院期間区分F2＿寛解・院内寛解[[#All],[行ラベル]],0),MATCH($AP$3,年齢階層×在院期間区分F2＿寛解・院内寛解[#Headers],0)),0)+IFERROR(INDEX(年齢階層×在院期間区分F2＿寛解・院内寛解[#All],MATCH($AH5,年齢階層×在院期間区分F2＿寛解・院内寛解[[#All],[行ラベル]],0),MATCH($AQ$3,年齢階層×在院期間区分F2＿寛解・院内寛解[#Headers],0)),0)</f>
        <v>2</v>
      </c>
      <c r="F21" s="209">
        <f t="shared" si="8"/>
        <v>1.1363636363636364E-2</v>
      </c>
      <c r="G21" s="208">
        <f>IFERROR(INDEX(年齢階層×在院期間区分F2＿寛解・院内寛解[#All],MATCH($AH5,年齢階層×在院期間区分F2＿寛解・院内寛解[[#All],[行ラベル]],0),MATCH($AR$3,年齢階層×在院期間区分F2＿寛解・院内寛解[#Headers],0)),0)+IFERROR(INDEX(年齢階層×在院期間区分F2＿寛解・院内寛解[#All],MATCH($AH5,年齢階層×在院期間区分F2＿寛解・院内寛解[[#All],[行ラベル]],0),MATCH($AS$3,年齢階層×在院期間区分F2＿寛解・院内寛解[#Headers],0)),0)+IFERROR(INDEX(年齢階層×在院期間区分F2＿寛解・院内寛解[#All],MATCH($AH5,年齢階層×在院期間区分F2＿寛解・院内寛解[[#All],[行ラベル]],0),MATCH($AT$3,年齢階層×在院期間区分F2＿寛解・院内寛解[#Headers],0)),0)+IFERROR(INDEX(年齢階層×在院期間区分F2＿寛解・院内寛解[#All],MATCH($AH5,年齢階層×在院期間区分F2＿寛解・院内寛解[[#All],[行ラベル]],0),MATCH($AU$3,年齢階層×在院期間区分F2＿寛解・院内寛解[#Headers],0)),0)+IFERROR(INDEX(年齢階層×在院期間区分F2＿寛解・院内寛解[#All],MATCH($AH5,年齢階層×在院期間区分F2＿寛解・院内寛解[[#All],[行ラベル]],0),MATCH($AV$3,年齢階層×在院期間区分F2＿寛解・院内寛解[#Headers],0)),0)</f>
        <v>0</v>
      </c>
      <c r="H21" s="209">
        <f t="shared" si="9"/>
        <v>0</v>
      </c>
      <c r="I21" s="231">
        <f>IFERROR(INDEX(年齢階層×在院期間区分F2＿寛解・院内寛解[#All],MATCH($AH5,年齢階層×在院期間区分F2＿寛解・院内寛解[[#All],[行ラベル]],0),MATCH($AW$3,年齢階層×在院期間区分F2＿寛解・院内寛解[#Headers],0)),0)+IFERROR(INDEX(年齢階層×在院期間区分F2＿寛解・院内寛解[#All],MATCH($AH5,年齢階層×在院期間区分F2＿寛解・院内寛解[[#All],[行ラベル]],0),MATCH($AX$3,年齢階層×在院期間区分F2＿寛解・院内寛解[#Headers],0)),0)</f>
        <v>0</v>
      </c>
      <c r="J21" s="209">
        <f t="shared" si="10"/>
        <v>0</v>
      </c>
      <c r="K21" s="208">
        <f t="shared" si="11"/>
        <v>16</v>
      </c>
      <c r="L21" s="209">
        <f t="shared" si="12"/>
        <v>2.1798365122615803E-2</v>
      </c>
      <c r="O21" s="54" t="s">
        <v>3</v>
      </c>
      <c r="P21" s="66">
        <v>4</v>
      </c>
      <c r="Q21" s="66">
        <v>4</v>
      </c>
      <c r="R21" s="66">
        <v>2</v>
      </c>
      <c r="S21" s="66">
        <v>4</v>
      </c>
      <c r="T21" s="66">
        <v>0</v>
      </c>
      <c r="U21" s="66">
        <v>0</v>
      </c>
      <c r="V21" s="66">
        <v>1</v>
      </c>
      <c r="W21" s="66">
        <v>0</v>
      </c>
      <c r="X21" s="66">
        <v>1</v>
      </c>
      <c r="Y21" s="66">
        <v>0</v>
      </c>
      <c r="Z21" s="66">
        <v>0</v>
      </c>
      <c r="AA21" s="66">
        <v>0</v>
      </c>
      <c r="AB21" s="66">
        <v>0</v>
      </c>
      <c r="AC21" s="66">
        <v>0</v>
      </c>
      <c r="AD21" s="66">
        <v>0</v>
      </c>
      <c r="AE21" s="66">
        <v>0</v>
      </c>
      <c r="AH21" s="54" t="s">
        <v>3</v>
      </c>
    </row>
    <row r="22" spans="2:38" s="22" customFormat="1" ht="18.75" customHeight="1" x14ac:dyDescent="0.15">
      <c r="B22" s="230" t="s">
        <v>4</v>
      </c>
      <c r="C22" s="208">
        <f>IFERROR(INDEX(年齢階層×在院期間区分F2＿寛解・院内寛解[#All],MATCH($AH6,年齢階層×在院期間区分F2＿寛解・院内寛解[[#All],[行ラベル]],0),MATCH($AI$3,年齢階層×在院期間区分F2＿寛解・院内寛解[#Headers],0)),0)+IFERROR(INDEX(年齢階層×在院期間区分F2＿寛解・院内寛解[#All],MATCH($AH6,年齢階層×在院期間区分F2＿寛解・院内寛解[[#All],[行ラベル]],0),MATCH($AJ$3,年齢階層×在院期間区分F2＿寛解・院内寛解[#Headers],0)),0)+IFERROR(INDEX(年齢階層×在院期間区分F2＿寛解・院内寛解[#All],MATCH($AH6,年齢階層×在院期間区分F2＿寛解・院内寛解[[#All],[行ラベル]],0),MATCH($AK$3,年齢階層×在院期間区分F2＿寛解・院内寛解[#Headers],0)),0)+IFERROR(INDEX(年齢階層×在院期間区分F2＿寛解・院内寛解[#All],MATCH($AH6,年齢階層×在院期間区分F2＿寛解・院内寛解[[#All],[行ラベル]],0),MATCH($AL$3,年齢階層×在院期間区分F2＿寛解・院内寛解[#Headers],0)),0)</f>
        <v>53</v>
      </c>
      <c r="D22" s="209">
        <f t="shared" si="7"/>
        <v>0.13802083333333334</v>
      </c>
      <c r="E22" s="231">
        <f>IFERROR(INDEX(年齢階層×在院期間区分F2＿寛解・院内寛解[#All],MATCH($AH6,年齢階層×在院期間区分F2＿寛解・院内寛解[[#All],[行ラベル]],0),MATCH($AM$3,年齢階層×在院期間区分F2＿寛解・院内寛解[#Headers],0)),0)+IFERROR(INDEX(年齢階層×在院期間区分F2＿寛解・院内寛解[#All],MATCH($AH6,年齢階層×在院期間区分F2＿寛解・院内寛解[[#All],[行ラベル]],0),MATCH($AN$3,年齢階層×在院期間区分F2＿寛解・院内寛解[#Headers],0)),0)+IFERROR(INDEX(年齢階層×在院期間区分F2＿寛解・院内寛解[#All],MATCH($AH6,年齢階層×在院期間区分F2＿寛解・院内寛解[[#All],[行ラベル]],0),MATCH($AO$3,年齢階層×在院期間区分F2＿寛解・院内寛解[#Headers],0)),0)+IFERROR(INDEX(年齢階層×在院期間区分F2＿寛解・院内寛解[#All],MATCH($AH6,年齢階層×在院期間区分F2＿寛解・院内寛解[[#All],[行ラベル]],0),MATCH($AP$3,年齢階層×在院期間区分F2＿寛解・院内寛解[#Headers],0)),0)+IFERROR(INDEX(年齢階層×在院期間区分F2＿寛解・院内寛解[#All],MATCH($AH6,年齢階層×在院期間区分F2＿寛解・院内寛解[[#All],[行ラベル]],0),MATCH($AQ$3,年齢階層×在院期間区分F2＿寛解・院内寛解[#Headers],0)),0)</f>
        <v>13</v>
      </c>
      <c r="F22" s="209">
        <f t="shared" si="8"/>
        <v>7.3863636363636367E-2</v>
      </c>
      <c r="G22" s="232">
        <f>IFERROR(INDEX(年齢階層×在院期間区分F2＿寛解・院内寛解[#All],MATCH($AH6,年齢階層×在院期間区分F2＿寛解・院内寛解[[#All],[行ラベル]],0),MATCH($AR$3,年齢階層×在院期間区分F2＿寛解・院内寛解[#Headers],0)),0)+IFERROR(INDEX(年齢階層×在院期間区分F2＿寛解・院内寛解[#All],MATCH($AH6,年齢階層×在院期間区分F2＿寛解・院内寛解[[#All],[行ラベル]],0),MATCH($AS$3,年齢階層×在院期間区分F2＿寛解・院内寛解[#Headers],0)),0)+IFERROR(INDEX(年齢階層×在院期間区分F2＿寛解・院内寛解[#All],MATCH($AH6,年齢階層×在院期間区分F2＿寛解・院内寛解[[#All],[行ラベル]],0),MATCH($AT$3,年齢階層×在院期間区分F2＿寛解・院内寛解[#Headers],0)),0)+IFERROR(INDEX(年齢階層×在院期間区分F2＿寛解・院内寛解[#All],MATCH($AH6,年齢階層×在院期間区分F2＿寛解・院内寛解[[#All],[行ラベル]],0),MATCH($AU$3,年齢階層×在院期間区分F2＿寛解・院内寛解[#Headers],0)),0)+IFERROR(INDEX(年齢階層×在院期間区分F2＿寛解・院内寛解[#All],MATCH($AH6,年齢階層×在院期間区分F2＿寛解・院内寛解[[#All],[行ラベル]],0),MATCH($AV$3,年齢階層×在院期間区分F2＿寛解・院内寛解[#Headers],0)),0)</f>
        <v>2</v>
      </c>
      <c r="H22" s="209">
        <f t="shared" si="9"/>
        <v>2.8169014084507043E-2</v>
      </c>
      <c r="I22" s="208">
        <f>IFERROR(INDEX(年齢階層×在院期間区分F2＿寛解・院内寛解[#All],MATCH($AH6,年齢階層×在院期間区分F2＿寛解・院内寛解[[#All],[行ラベル]],0),MATCH($AW$3,年齢階層×在院期間区分F2＿寛解・院内寛解[#Headers],0)),0)+IFERROR(INDEX(年齢階層×在院期間区分F2＿寛解・院内寛解[#All],MATCH($AH6,年齢階層×在院期間区分F2＿寛解・院内寛解[[#All],[行ラベル]],0),MATCH($AX$3,年齢階層×在院期間区分F2＿寛解・院内寛解[#Headers],0)),0)</f>
        <v>3</v>
      </c>
      <c r="J22" s="209">
        <f t="shared" si="10"/>
        <v>2.9126213592233011E-2</v>
      </c>
      <c r="K22" s="208">
        <f t="shared" si="11"/>
        <v>71</v>
      </c>
      <c r="L22" s="209">
        <f t="shared" si="12"/>
        <v>9.6730245231607628E-2</v>
      </c>
      <c r="O22" s="54" t="s">
        <v>4</v>
      </c>
      <c r="P22" s="66">
        <v>22</v>
      </c>
      <c r="Q22" s="66">
        <v>22</v>
      </c>
      <c r="R22" s="66">
        <v>6</v>
      </c>
      <c r="S22" s="66">
        <v>3</v>
      </c>
      <c r="T22" s="66">
        <v>2</v>
      </c>
      <c r="U22" s="66">
        <v>5</v>
      </c>
      <c r="V22" s="66">
        <v>3</v>
      </c>
      <c r="W22" s="66">
        <v>1</v>
      </c>
      <c r="X22" s="66">
        <v>2</v>
      </c>
      <c r="Y22" s="66">
        <v>1</v>
      </c>
      <c r="Z22" s="66">
        <v>0</v>
      </c>
      <c r="AA22" s="66">
        <v>0</v>
      </c>
      <c r="AB22" s="66">
        <v>1</v>
      </c>
      <c r="AC22" s="66">
        <v>0</v>
      </c>
      <c r="AD22" s="66">
        <v>3</v>
      </c>
      <c r="AE22" s="66">
        <v>0</v>
      </c>
      <c r="AH22" s="54" t="s">
        <v>4</v>
      </c>
    </row>
    <row r="23" spans="2:38" s="22" customFormat="1" ht="18.75" customHeight="1" x14ac:dyDescent="0.15">
      <c r="B23" s="230" t="s">
        <v>5</v>
      </c>
      <c r="C23" s="208">
        <f>IFERROR(INDEX(年齢階層×在院期間区分F2＿寛解・院内寛解[#All],MATCH($AH7,年齢階層×在院期間区分F2＿寛解・院内寛解[[#All],[行ラベル]],0),MATCH($AI$3,年齢階層×在院期間区分F2＿寛解・院内寛解[#Headers],0)),0)+IFERROR(INDEX(年齢階層×在院期間区分F2＿寛解・院内寛解[#All],MATCH($AH7,年齢階層×在院期間区分F2＿寛解・院内寛解[[#All],[行ラベル]],0),MATCH($AJ$3,年齢階層×在院期間区分F2＿寛解・院内寛解[#Headers],0)),0)+IFERROR(INDEX(年齢階層×在院期間区分F2＿寛解・院内寛解[#All],MATCH($AH7,年齢階層×在院期間区分F2＿寛解・院内寛解[[#All],[行ラベル]],0),MATCH($AK$3,年齢階層×在院期間区分F2＿寛解・院内寛解[#Headers],0)),0)+IFERROR(INDEX(年齢階層×在院期間区分F2＿寛解・院内寛解[#All],MATCH($AH7,年齢階層×在院期間区分F2＿寛解・院内寛解[[#All],[行ラベル]],0),MATCH($AL$3,年齢階層×在院期間区分F2＿寛解・院内寛解[#Headers],0)),0)</f>
        <v>75</v>
      </c>
      <c r="D23" s="209">
        <f t="shared" si="7"/>
        <v>0.1953125</v>
      </c>
      <c r="E23" s="208">
        <f>IFERROR(INDEX(年齢階層×在院期間区分F2＿寛解・院内寛解[#All],MATCH($AH7,年齢階層×在院期間区分F2＿寛解・院内寛解[[#All],[行ラベル]],0),MATCH($AM$3,年齢階層×在院期間区分F2＿寛解・院内寛解[#Headers],0)),0)+IFERROR(INDEX(年齢階層×在院期間区分F2＿寛解・院内寛解[#All],MATCH($AH7,年齢階層×在院期間区分F2＿寛解・院内寛解[[#All],[行ラベル]],0),MATCH($AN$3,年齢階層×在院期間区分F2＿寛解・院内寛解[#Headers],0)),0)+IFERROR(INDEX(年齢階層×在院期間区分F2＿寛解・院内寛解[#All],MATCH($AH7,年齢階層×在院期間区分F2＿寛解・院内寛解[[#All],[行ラベル]],0),MATCH($AO$3,年齢階層×在院期間区分F2＿寛解・院内寛解[#Headers],0)),0)+IFERROR(INDEX(年齢階層×在院期間区分F2＿寛解・院内寛解[#All],MATCH($AH7,年齢階層×在院期間区分F2＿寛解・院内寛解[[#All],[行ラベル]],0),MATCH($AP$3,年齢階層×在院期間区分F2＿寛解・院内寛解[#Headers],0)),0)+IFERROR(INDEX(年齢階層×在院期間区分F2＿寛解・院内寛解[#All],MATCH($AH7,年齢階層×在院期間区分F2＿寛解・院内寛解[[#All],[行ラベル]],0),MATCH($AQ$3,年齢階層×在院期間区分F2＿寛解・院内寛解[#Headers],0)),0)</f>
        <v>32</v>
      </c>
      <c r="F23" s="209">
        <f t="shared" si="8"/>
        <v>0.18181818181818182</v>
      </c>
      <c r="G23" s="208">
        <f>IFERROR(INDEX(年齢階層×在院期間区分F2＿寛解・院内寛解[#All],MATCH($AH7,年齢階層×在院期間区分F2＿寛解・院内寛解[[#All],[行ラベル]],0),MATCH($AR$3,年齢階層×在院期間区分F2＿寛解・院内寛解[#Headers],0)),0)+IFERROR(INDEX(年齢階層×在院期間区分F2＿寛解・院内寛解[#All],MATCH($AH7,年齢階層×在院期間区分F2＿寛解・院内寛解[[#All],[行ラベル]],0),MATCH($AS$3,年齢階層×在院期間区分F2＿寛解・院内寛解[#Headers],0)),0)+IFERROR(INDEX(年齢階層×在院期間区分F2＿寛解・院内寛解[#All],MATCH($AH7,年齢階層×在院期間区分F2＿寛解・院内寛解[[#All],[行ラベル]],0),MATCH($AT$3,年齢階層×在院期間区分F2＿寛解・院内寛解[#Headers],0)),0)+IFERROR(INDEX(年齢階層×在院期間区分F2＿寛解・院内寛解[#All],MATCH($AH7,年齢階層×在院期間区分F2＿寛解・院内寛解[[#All],[行ラベル]],0),MATCH($AU$3,年齢階層×在院期間区分F2＿寛解・院内寛解[#Headers],0)),0)+IFERROR(INDEX(年齢階層×在院期間区分F2＿寛解・院内寛解[#All],MATCH($AH7,年齢階層×在院期間区分F2＿寛解・院内寛解[[#All],[行ラベル]],0),MATCH($AV$3,年齢階層×在院期間区分F2＿寛解・院内寛解[#Headers],0)),0)</f>
        <v>7</v>
      </c>
      <c r="H23" s="209">
        <f t="shared" si="9"/>
        <v>9.8591549295774641E-2</v>
      </c>
      <c r="I23" s="208">
        <f>IFERROR(INDEX(年齢階層×在院期間区分F2＿寛解・院内寛解[#All],MATCH($AH7,年齢階層×在院期間区分F2＿寛解・院内寛解[[#All],[行ラベル]],0),MATCH($AW$3,年齢階層×在院期間区分F2＿寛解・院内寛解[#Headers],0)),0)+IFERROR(INDEX(年齢階層×在院期間区分F2＿寛解・院内寛解[#All],MATCH($AH7,年齢階層×在院期間区分F2＿寛解・院内寛解[[#All],[行ラベル]],0),MATCH($AX$3,年齢階層×在院期間区分F2＿寛解・院内寛解[#Headers],0)),0)</f>
        <v>8</v>
      </c>
      <c r="J23" s="209">
        <f t="shared" si="10"/>
        <v>7.7669902912621352E-2</v>
      </c>
      <c r="K23" s="208">
        <f t="shared" si="11"/>
        <v>122</v>
      </c>
      <c r="L23" s="209">
        <f t="shared" si="12"/>
        <v>0.16621253405994552</v>
      </c>
      <c r="O23" s="54" t="s">
        <v>5</v>
      </c>
      <c r="P23" s="66">
        <v>25</v>
      </c>
      <c r="Q23" s="66">
        <v>26</v>
      </c>
      <c r="R23" s="66">
        <v>12</v>
      </c>
      <c r="S23" s="66">
        <v>12</v>
      </c>
      <c r="T23" s="66">
        <v>8</v>
      </c>
      <c r="U23" s="66">
        <v>7</v>
      </c>
      <c r="V23" s="66">
        <v>6</v>
      </c>
      <c r="W23" s="66">
        <v>4</v>
      </c>
      <c r="X23" s="66">
        <v>7</v>
      </c>
      <c r="Y23" s="66">
        <v>4</v>
      </c>
      <c r="Z23" s="66">
        <v>0</v>
      </c>
      <c r="AA23" s="66">
        <v>2</v>
      </c>
      <c r="AB23" s="66">
        <v>0</v>
      </c>
      <c r="AC23" s="66">
        <v>1</v>
      </c>
      <c r="AD23" s="66">
        <v>5</v>
      </c>
      <c r="AE23" s="66">
        <v>3</v>
      </c>
      <c r="AH23" s="54" t="s">
        <v>5</v>
      </c>
    </row>
    <row r="24" spans="2:38" s="22" customFormat="1" ht="18.75" customHeight="1" x14ac:dyDescent="0.15">
      <c r="B24" s="230" t="s">
        <v>6</v>
      </c>
      <c r="C24" s="232">
        <f>IFERROR(INDEX(年齢階層×在院期間区分F2＿寛解・院内寛解[#All],MATCH($AH8,年齢階層×在院期間区分F2＿寛解・院内寛解[[#All],[行ラベル]],0),MATCH($AI$3,年齢階層×在院期間区分F2＿寛解・院内寛解[#Headers],0)),0)+IFERROR(INDEX(年齢階層×在院期間区分F2＿寛解・院内寛解[#All],MATCH($AH8,年齢階層×在院期間区分F2＿寛解・院内寛解[[#All],[行ラベル]],0),MATCH($AJ$3,年齢階層×在院期間区分F2＿寛解・院内寛解[#Headers],0)),0)+IFERROR(INDEX(年齢階層×在院期間区分F2＿寛解・院内寛解[#All],MATCH($AH8,年齢階層×在院期間区分F2＿寛解・院内寛解[[#All],[行ラベル]],0),MATCH($AK$3,年齢階層×在院期間区分F2＿寛解・院内寛解[#Headers],0)),0)+IFERROR(INDEX(年齢階層×在院期間区分F2＿寛解・院内寛解[#All],MATCH($AH8,年齢階層×在院期間区分F2＿寛解・院内寛解[[#All],[行ラベル]],0),MATCH($AL$3,年齢階層×在院期間区分F2＿寛解・院内寛解[#Headers],0)),0)</f>
        <v>99</v>
      </c>
      <c r="D24" s="209">
        <f t="shared" si="7"/>
        <v>0.2578125</v>
      </c>
      <c r="E24" s="208">
        <f>IFERROR(INDEX(年齢階層×在院期間区分F2＿寛解・院内寛解[#All],MATCH($AH8,年齢階層×在院期間区分F2＿寛解・院内寛解[[#All],[行ラベル]],0),MATCH($AM$3,年齢階層×在院期間区分F2＿寛解・院内寛解[#Headers],0)),0)+IFERROR(INDEX(年齢階層×在院期間区分F2＿寛解・院内寛解[#All],MATCH($AH8,年齢階層×在院期間区分F2＿寛解・院内寛解[[#All],[行ラベル]],0),MATCH($AN$3,年齢階層×在院期間区分F2＿寛解・院内寛解[#Headers],0)),0)+IFERROR(INDEX(年齢階層×在院期間区分F2＿寛解・院内寛解[#All],MATCH($AH8,年齢階層×在院期間区分F2＿寛解・院内寛解[[#All],[行ラベル]],0),MATCH($AO$3,年齢階層×在院期間区分F2＿寛解・院内寛解[#Headers],0)),0)+IFERROR(INDEX(年齢階層×在院期間区分F2＿寛解・院内寛解[#All],MATCH($AH8,年齢階層×在院期間区分F2＿寛解・院内寛解[[#All],[行ラベル]],0),MATCH($AP$3,年齢階層×在院期間区分F2＿寛解・院内寛解[#Headers],0)),0)+IFERROR(INDEX(年齢階層×在院期間区分F2＿寛解・院内寛解[#All],MATCH($AH8,年齢階層×在院期間区分F2＿寛解・院内寛解[[#All],[行ラベル]],0),MATCH($AQ$3,年齢階層×在院期間区分F2＿寛解・院内寛解[#Headers],0)),0)</f>
        <v>48</v>
      </c>
      <c r="F24" s="209">
        <f t="shared" si="8"/>
        <v>0.27272727272727271</v>
      </c>
      <c r="G24" s="232">
        <f>IFERROR(INDEX(年齢階層×在院期間区分F2＿寛解・院内寛解[#All],MATCH($AH8,年齢階層×在院期間区分F2＿寛解・院内寛解[[#All],[行ラベル]],0),MATCH($AR$3,年齢階層×在院期間区分F2＿寛解・院内寛解[#Headers],0)),0)+IFERROR(INDEX(年齢階層×在院期間区分F2＿寛解・院内寛解[#All],MATCH($AH8,年齢階層×在院期間区分F2＿寛解・院内寛解[[#All],[行ラベル]],0),MATCH($AS$3,年齢階層×在院期間区分F2＿寛解・院内寛解[#Headers],0)),0)+IFERROR(INDEX(年齢階層×在院期間区分F2＿寛解・院内寛解[#All],MATCH($AH8,年齢階層×在院期間区分F2＿寛解・院内寛解[[#All],[行ラベル]],0),MATCH($AT$3,年齢階層×在院期間区分F2＿寛解・院内寛解[#Headers],0)),0)+IFERROR(INDEX(年齢階層×在院期間区分F2＿寛解・院内寛解[#All],MATCH($AH8,年齢階層×在院期間区分F2＿寛解・院内寛解[[#All],[行ラベル]],0),MATCH($AU$3,年齢階層×在院期間区分F2＿寛解・院内寛解[#Headers],0)),0)+IFERROR(INDEX(年齢階層×在院期間区分F2＿寛解・院内寛解[#All],MATCH($AH8,年齢階層×在院期間区分F2＿寛解・院内寛解[[#All],[行ラベル]],0),MATCH($AV$3,年齢階層×在院期間区分F2＿寛解・院内寛解[#Headers],0)),0)</f>
        <v>17</v>
      </c>
      <c r="H24" s="209">
        <f t="shared" si="9"/>
        <v>0.23943661971830985</v>
      </c>
      <c r="I24" s="208">
        <f>IFERROR(INDEX(年齢階層×在院期間区分F2＿寛解・院内寛解[#All],MATCH($AH8,年齢階層×在院期間区分F2＿寛解・院内寛解[[#All],[行ラベル]],0),MATCH($AW$3,年齢階層×在院期間区分F2＿寛解・院内寛解[#Headers],0)),0)+IFERROR(INDEX(年齢階層×在院期間区分F2＿寛解・院内寛解[#All],MATCH($AH8,年齢階層×在院期間区分F2＿寛解・院内寛解[[#All],[行ラベル]],0),MATCH($AX$3,年齢階層×在院期間区分F2＿寛解・院内寛解[#Headers],0)),0)</f>
        <v>18</v>
      </c>
      <c r="J24" s="209">
        <f t="shared" si="10"/>
        <v>0.17475728155339806</v>
      </c>
      <c r="K24" s="208">
        <f t="shared" si="11"/>
        <v>182</v>
      </c>
      <c r="L24" s="209">
        <f t="shared" si="12"/>
        <v>0.24795640326975477</v>
      </c>
      <c r="O24" s="54" t="s">
        <v>6</v>
      </c>
      <c r="P24" s="66">
        <v>29</v>
      </c>
      <c r="Q24" s="66">
        <v>35</v>
      </c>
      <c r="R24" s="66">
        <v>19</v>
      </c>
      <c r="S24" s="66">
        <v>16</v>
      </c>
      <c r="T24" s="66">
        <v>14</v>
      </c>
      <c r="U24" s="66">
        <v>8</v>
      </c>
      <c r="V24" s="66">
        <v>15</v>
      </c>
      <c r="W24" s="66">
        <v>10</v>
      </c>
      <c r="X24" s="66">
        <v>1</v>
      </c>
      <c r="Y24" s="66">
        <v>2</v>
      </c>
      <c r="Z24" s="66">
        <v>5</v>
      </c>
      <c r="AA24" s="66">
        <v>2</v>
      </c>
      <c r="AB24" s="66">
        <v>8</v>
      </c>
      <c r="AC24" s="66">
        <v>0</v>
      </c>
      <c r="AD24" s="66">
        <v>14</v>
      </c>
      <c r="AE24" s="66">
        <v>4</v>
      </c>
      <c r="AH24" s="54" t="s">
        <v>6</v>
      </c>
    </row>
    <row r="25" spans="2:38" s="22" customFormat="1" ht="18.75" customHeight="1" x14ac:dyDescent="0.15">
      <c r="B25" s="230" t="s">
        <v>7</v>
      </c>
      <c r="C25" s="231">
        <f>IFERROR(INDEX(年齢階層×在院期間区分F2＿寛解・院内寛解[#All],MATCH($AH9,年齢階層×在院期間区分F2＿寛解・院内寛解[[#All],[行ラベル]],0),MATCH($AI$3,年齢階層×在院期間区分F2＿寛解・院内寛解[#Headers],0)),0)+IFERROR(INDEX(年齢階層×在院期間区分F2＿寛解・院内寛解[#All],MATCH($AH9,年齢階層×在院期間区分F2＿寛解・院内寛解[[#All],[行ラベル]],0),MATCH($AJ$3,年齢階層×在院期間区分F2＿寛解・院内寛解[#Headers],0)),0)+IFERROR(INDEX(年齢階層×在院期間区分F2＿寛解・院内寛解[#All],MATCH($AH9,年齢階層×在院期間区分F2＿寛解・院内寛解[[#All],[行ラベル]],0),MATCH($AK$3,年齢階層×在院期間区分F2＿寛解・院内寛解[#Headers],0)),0)+IFERROR(INDEX(年齢階層×在院期間区分F2＿寛解・院内寛解[#All],MATCH($AH9,年齢階層×在院期間区分F2＿寛解・院内寛解[[#All],[行ラベル]],0),MATCH($AL$3,年齢階層×在院期間区分F2＿寛解・院内寛解[#Headers],0)),0)</f>
        <v>79</v>
      </c>
      <c r="D25" s="209">
        <f t="shared" si="7"/>
        <v>0.20572916666666666</v>
      </c>
      <c r="E25" s="208">
        <f>IFERROR(INDEX(年齢階層×在院期間区分F2＿寛解・院内寛解[#All],MATCH($AH9,年齢階層×在院期間区分F2＿寛解・院内寛解[[#All],[行ラベル]],0),MATCH($AM$3,年齢階層×在院期間区分F2＿寛解・院内寛解[#Headers],0)),0)+IFERROR(INDEX(年齢階層×在院期間区分F2＿寛解・院内寛解[#All],MATCH($AH9,年齢階層×在院期間区分F2＿寛解・院内寛解[[#All],[行ラベル]],0),MATCH($AN$3,年齢階層×在院期間区分F2＿寛解・院内寛解[#Headers],0)),0)+IFERROR(INDEX(年齢階層×在院期間区分F2＿寛解・院内寛解[#All],MATCH($AH9,年齢階層×在院期間区分F2＿寛解・院内寛解[[#All],[行ラベル]],0),MATCH($AO$3,年齢階層×在院期間区分F2＿寛解・院内寛解[#Headers],0)),0)+IFERROR(INDEX(年齢階層×在院期間区分F2＿寛解・院内寛解[#All],MATCH($AH9,年齢階層×在院期間区分F2＿寛解・院内寛解[[#All],[行ラベル]],0),MATCH($AP$3,年齢階層×在院期間区分F2＿寛解・院内寛解[#Headers],0)),0)+IFERROR(INDEX(年齢階層×在院期間区分F2＿寛解・院内寛解[#All],MATCH($AH9,年齢階層×在院期間区分F2＿寛解・院内寛解[[#All],[行ラベル]],0),MATCH($AQ$3,年齢階層×在院期間区分F2＿寛解・院内寛解[#Headers],0)),0)</f>
        <v>33</v>
      </c>
      <c r="F25" s="209">
        <f t="shared" si="8"/>
        <v>0.1875</v>
      </c>
      <c r="G25" s="231">
        <f>IFERROR(INDEX(年齢階層×在院期間区分F2＿寛解・院内寛解[#All],MATCH($AH9,年齢階層×在院期間区分F2＿寛解・院内寛解[[#All],[行ラベル]],0),MATCH($AR$3,年齢階層×在院期間区分F2＿寛解・院内寛解[#Headers],0)),0)+IFERROR(INDEX(年齢階層×在院期間区分F2＿寛解・院内寛解[#All],MATCH($AH9,年齢階層×在院期間区分F2＿寛解・院内寛解[[#All],[行ラベル]],0),MATCH($AS$3,年齢階層×在院期間区分F2＿寛解・院内寛解[#Headers],0)),0)+IFERROR(INDEX(年齢階層×在院期間区分F2＿寛解・院内寛解[#All],MATCH($AH9,年齢階層×在院期間区分F2＿寛解・院内寛解[[#All],[行ラベル]],0),MATCH($AT$3,年齢階層×在院期間区分F2＿寛解・院内寛解[#Headers],0)),0)+IFERROR(INDEX(年齢階層×在院期間区分F2＿寛解・院内寛解[#All],MATCH($AH9,年齢階層×在院期間区分F2＿寛解・院内寛解[[#All],[行ラベル]],0),MATCH($AU$3,年齢階層×在院期間区分F2＿寛解・院内寛解[#Headers],0)),0)+IFERROR(INDEX(年齢階層×在院期間区分F2＿寛解・院内寛解[#All],MATCH($AH9,年齢階層×在院期間区分F2＿寛解・院内寛解[[#All],[行ラベル]],0),MATCH($AV$3,年齢階層×在院期間区分F2＿寛解・院内寛解[#Headers],0)),0)</f>
        <v>18</v>
      </c>
      <c r="H25" s="209">
        <f t="shared" si="9"/>
        <v>0.25352112676056338</v>
      </c>
      <c r="I25" s="208">
        <f>IFERROR(INDEX(年齢階層×在院期間区分F2＿寛解・院内寛解[#All],MATCH($AH9,年齢階層×在院期間区分F2＿寛解・院内寛解[[#All],[行ラベル]],0),MATCH($AW$3,年齢階層×在院期間区分F2＿寛解・院内寛解[#Headers],0)),0)+IFERROR(INDEX(年齢階層×在院期間区分F2＿寛解・院内寛解[#All],MATCH($AH9,年齢階層×在院期間区分F2＿寛解・院内寛解[[#All],[行ラベル]],0),MATCH($AX$3,年齢階層×在院期間区分F2＿寛解・院内寛解[#Headers],0)),0)</f>
        <v>32</v>
      </c>
      <c r="J25" s="209">
        <f t="shared" si="10"/>
        <v>0.31067961165048541</v>
      </c>
      <c r="K25" s="208">
        <f t="shared" si="11"/>
        <v>162</v>
      </c>
      <c r="L25" s="209">
        <f t="shared" si="12"/>
        <v>0.22070844686648503</v>
      </c>
      <c r="O25" s="54" t="s">
        <v>7</v>
      </c>
      <c r="P25" s="66">
        <v>18</v>
      </c>
      <c r="Q25" s="66">
        <v>24</v>
      </c>
      <c r="R25" s="66">
        <v>19</v>
      </c>
      <c r="S25" s="66">
        <v>18</v>
      </c>
      <c r="T25" s="66">
        <v>7</v>
      </c>
      <c r="U25" s="66">
        <v>8</v>
      </c>
      <c r="V25" s="66">
        <v>9</v>
      </c>
      <c r="W25" s="66">
        <v>4</v>
      </c>
      <c r="X25" s="66">
        <v>5</v>
      </c>
      <c r="Y25" s="66">
        <v>4</v>
      </c>
      <c r="Z25" s="66">
        <v>6</v>
      </c>
      <c r="AA25" s="66">
        <v>2</v>
      </c>
      <c r="AB25" s="66">
        <v>5</v>
      </c>
      <c r="AC25" s="66">
        <v>1</v>
      </c>
      <c r="AD25" s="66">
        <v>22</v>
      </c>
      <c r="AE25" s="66">
        <v>10</v>
      </c>
      <c r="AH25" s="54" t="s">
        <v>7</v>
      </c>
    </row>
    <row r="26" spans="2:38" s="22" customFormat="1" ht="18.75" customHeight="1" x14ac:dyDescent="0.15">
      <c r="B26" s="230" t="s">
        <v>8</v>
      </c>
      <c r="C26" s="208">
        <f>IFERROR(INDEX(年齢階層×在院期間区分F2＿寛解・院内寛解[#All],MATCH($AH10,年齢階層×在院期間区分F2＿寛解・院内寛解[[#All],[行ラベル]],0),MATCH($AI$3,年齢階層×在院期間区分F2＿寛解・院内寛解[#Headers],0)),0)+IFERROR(INDEX(年齢階層×在院期間区分F2＿寛解・院内寛解[#All],MATCH($AH10,年齢階層×在院期間区分F2＿寛解・院内寛解[[#All],[行ラベル]],0),MATCH($AJ$3,年齢階層×在院期間区分F2＿寛解・院内寛解[#Headers],0)),0)+IFERROR(INDEX(年齢階層×在院期間区分F2＿寛解・院内寛解[#All],MATCH($AH10,年齢階層×在院期間区分F2＿寛解・院内寛解[[#All],[行ラベル]],0),MATCH($AK$3,年齢階層×在院期間区分F2＿寛解・院内寛解[#Headers],0)),0)+IFERROR(INDEX(年齢階層×在院期間区分F2＿寛解・院内寛解[#All],MATCH($AH10,年齢階層×在院期間区分F2＿寛解・院内寛解[[#All],[行ラベル]],0),MATCH($AL$3,年齢階層×在院期間区分F2＿寛解・院内寛解[#Headers],0)),0)</f>
        <v>48</v>
      </c>
      <c r="D26" s="209">
        <f t="shared" si="7"/>
        <v>0.125</v>
      </c>
      <c r="E26" s="208">
        <f>IFERROR(INDEX(年齢階層×在院期間区分F2＿寛解・院内寛解[#All],MATCH($AH10,年齢階層×在院期間区分F2＿寛解・院内寛解[[#All],[行ラベル]],0),MATCH($AM$3,年齢階層×在院期間区分F2＿寛解・院内寛解[#Headers],0)),0)+IFERROR(INDEX(年齢階層×在院期間区分F2＿寛解・院内寛解[#All],MATCH($AH10,年齢階層×在院期間区分F2＿寛解・院内寛解[[#All],[行ラベル]],0),MATCH($AN$3,年齢階層×在院期間区分F2＿寛解・院内寛解[#Headers],0)),0)+IFERROR(INDEX(年齢階層×在院期間区分F2＿寛解・院内寛解[#All],MATCH($AH10,年齢階層×在院期間区分F2＿寛解・院内寛解[[#All],[行ラベル]],0),MATCH($AO$3,年齢階層×在院期間区分F2＿寛解・院内寛解[#Headers],0)),0)+IFERROR(INDEX(年齢階層×在院期間区分F2＿寛解・院内寛解[#All],MATCH($AH10,年齢階層×在院期間区分F2＿寛解・院内寛解[[#All],[行ラベル]],0),MATCH($AP$3,年齢階層×在院期間区分F2＿寛解・院内寛解[#Headers],0)),0)+IFERROR(INDEX(年齢階層×在院期間区分F2＿寛解・院内寛解[#All],MATCH($AH10,年齢階層×在院期間区分F2＿寛解・院内寛解[[#All],[行ラベル]],0),MATCH($AQ$3,年齢階層×在院期間区分F2＿寛解・院内寛解[#Headers],0)),0)</f>
        <v>32</v>
      </c>
      <c r="F26" s="209">
        <f t="shared" si="8"/>
        <v>0.18181818181818182</v>
      </c>
      <c r="G26" s="231">
        <f>IFERROR(INDEX(年齢階層×在院期間区分F2＿寛解・院内寛解[#All],MATCH($AH10,年齢階層×在院期間区分F2＿寛解・院内寛解[[#All],[行ラベル]],0),MATCH($AR$3,年齢階層×在院期間区分F2＿寛解・院内寛解[#Headers],0)),0)+IFERROR(INDEX(年齢階層×在院期間区分F2＿寛解・院内寛解[#All],MATCH($AH10,年齢階層×在院期間区分F2＿寛解・院内寛解[[#All],[行ラベル]],0),MATCH($AS$3,年齢階層×在院期間区分F2＿寛解・院内寛解[#Headers],0)),0)+IFERROR(INDEX(年齢階層×在院期間区分F2＿寛解・院内寛解[#All],MATCH($AH10,年齢階層×在院期間区分F2＿寛解・院内寛解[[#All],[行ラベル]],0),MATCH($AT$3,年齢階層×在院期間区分F2＿寛解・院内寛解[#Headers],0)),0)+IFERROR(INDEX(年齢階層×在院期間区分F2＿寛解・院内寛解[#All],MATCH($AH10,年齢階層×在院期間区分F2＿寛解・院内寛解[[#All],[行ラベル]],0),MATCH($AU$3,年齢階層×在院期間区分F2＿寛解・院内寛解[#Headers],0)),0)+IFERROR(INDEX(年齢階層×在院期間区分F2＿寛解・院内寛解[#All],MATCH($AH10,年齢階層×在院期間区分F2＿寛解・院内寛解[[#All],[行ラベル]],0),MATCH($AV$3,年齢階層×在院期間区分F2＿寛解・院内寛解[#Headers],0)),0)</f>
        <v>22</v>
      </c>
      <c r="H26" s="209">
        <f t="shared" si="9"/>
        <v>0.30985915492957744</v>
      </c>
      <c r="I26" s="208">
        <f>IFERROR(INDEX(年齢階層×在院期間区分F2＿寛解・院内寛解[#All],MATCH($AH10,年齢階層×在院期間区分F2＿寛解・院内寛解[[#All],[行ラベル]],0),MATCH($AW$3,年齢階層×在院期間区分F2＿寛解・院内寛解[#Headers],0)),0)+IFERROR(INDEX(年齢階層×在院期間区分F2＿寛解・院内寛解[#All],MATCH($AH10,年齢階層×在院期間区分F2＿寛解・院内寛解[[#All],[行ラベル]],0),MATCH($AX$3,年齢階層×在院期間区分F2＿寛解・院内寛解[#Headers],0)),0)</f>
        <v>37</v>
      </c>
      <c r="J26" s="209">
        <f t="shared" si="10"/>
        <v>0.35922330097087379</v>
      </c>
      <c r="K26" s="208">
        <f t="shared" si="11"/>
        <v>139</v>
      </c>
      <c r="L26" s="209">
        <f t="shared" si="12"/>
        <v>0.18937329700272479</v>
      </c>
      <c r="O26" s="54" t="s">
        <v>8</v>
      </c>
      <c r="P26" s="66">
        <v>7</v>
      </c>
      <c r="Q26" s="66">
        <v>20</v>
      </c>
      <c r="R26" s="66">
        <v>7</v>
      </c>
      <c r="S26" s="66">
        <v>14</v>
      </c>
      <c r="T26" s="66">
        <v>9</v>
      </c>
      <c r="U26" s="66">
        <v>14</v>
      </c>
      <c r="V26" s="66">
        <v>3</v>
      </c>
      <c r="W26" s="66">
        <v>4</v>
      </c>
      <c r="X26" s="66">
        <v>2</v>
      </c>
      <c r="Y26" s="66">
        <v>8</v>
      </c>
      <c r="Z26" s="66">
        <v>3</v>
      </c>
      <c r="AA26" s="66">
        <v>3</v>
      </c>
      <c r="AB26" s="66">
        <v>4</v>
      </c>
      <c r="AC26" s="66">
        <v>4</v>
      </c>
      <c r="AD26" s="66">
        <v>17</v>
      </c>
      <c r="AE26" s="66">
        <v>20</v>
      </c>
      <c r="AH26" s="54" t="s">
        <v>8</v>
      </c>
    </row>
    <row r="27" spans="2:38" s="22" customFormat="1" ht="18.75" customHeight="1" x14ac:dyDescent="0.15">
      <c r="B27" s="230" t="s">
        <v>9</v>
      </c>
      <c r="C27" s="232">
        <f>IFERROR(INDEX(年齢階層×在院期間区分F2＿寛解・院内寛解[#All],MATCH($AH11,年齢階層×在院期間区分F2＿寛解・院内寛解[[#All],[行ラベル]],0),MATCH($AI$3,年齢階層×在院期間区分F2＿寛解・院内寛解[#Headers],0)),0)+IFERROR(INDEX(年齢階層×在院期間区分F2＿寛解・院内寛解[#All],MATCH($AH11,年齢階層×在院期間区分F2＿寛解・院内寛解[[#All],[行ラベル]],0),MATCH($AJ$3,年齢階層×在院期間区分F2＿寛解・院内寛解[#Headers],0)),0)+IFERROR(INDEX(年齢階層×在院期間区分F2＿寛解・院内寛解[#All],MATCH($AH11,年齢階層×在院期間区分F2＿寛解・院内寛解[[#All],[行ラベル]],0),MATCH($AK$3,年齢階層×在院期間区分F2＿寛解・院内寛解[#Headers],0)),0)+IFERROR(INDEX(年齢階層×在院期間区分F2＿寛解・院内寛解[#All],MATCH($AH11,年齢階層×在院期間区分F2＿寛解・院内寛解[[#All],[行ラベル]],0),MATCH($AL$3,年齢階層×在院期間区分F2＿寛解・院内寛解[#Headers],0)),0)</f>
        <v>12</v>
      </c>
      <c r="D27" s="209">
        <f t="shared" si="7"/>
        <v>3.125E-2</v>
      </c>
      <c r="E27" s="232">
        <f>IFERROR(INDEX(年齢階層×在院期間区分F2＿寛解・院内寛解[#All],MATCH($AH11,年齢階層×在院期間区分F2＿寛解・院内寛解[[#All],[行ラベル]],0),MATCH($AM$3,年齢階層×在院期間区分F2＿寛解・院内寛解[#Headers],0)),0)+IFERROR(INDEX(年齢階層×在院期間区分F2＿寛解・院内寛解[#All],MATCH($AH11,年齢階層×在院期間区分F2＿寛解・院内寛解[[#All],[行ラベル]],0),MATCH($AN$3,年齢階層×在院期間区分F2＿寛解・院内寛解[#Headers],0)),0)+IFERROR(INDEX(年齢階層×在院期間区分F2＿寛解・院内寛解[#All],MATCH($AH11,年齢階層×在院期間区分F2＿寛解・院内寛解[[#All],[行ラベル]],0),MATCH($AO$3,年齢階層×在院期間区分F2＿寛解・院内寛解[#Headers],0)),0)+IFERROR(INDEX(年齢階層×在院期間区分F2＿寛解・院内寛解[#All],MATCH($AH11,年齢階層×在院期間区分F2＿寛解・院内寛解[[#All],[行ラベル]],0),MATCH($AP$3,年齢階層×在院期間区分F2＿寛解・院内寛解[#Headers],0)),0)+IFERROR(INDEX(年齢階層×在院期間区分F2＿寛解・院内寛解[#All],MATCH($AH11,年齢階層×在院期間区分F2＿寛解・院内寛解[[#All],[行ラベル]],0),MATCH($AQ$3,年齢階層×在院期間区分F2＿寛解・院内寛解[#Headers],0)),0)</f>
        <v>16</v>
      </c>
      <c r="F27" s="209">
        <f t="shared" si="8"/>
        <v>9.0909090909090912E-2</v>
      </c>
      <c r="G27" s="208">
        <f>IFERROR(INDEX(年齢階層×在院期間区分F2＿寛解・院内寛解[#All],MATCH($AH11,年齢階層×在院期間区分F2＿寛解・院内寛解[[#All],[行ラベル]],0),MATCH($AR$3,年齢階層×在院期間区分F2＿寛解・院内寛解[#Headers],0)),0)+IFERROR(INDEX(年齢階層×在院期間区分F2＿寛解・院内寛解[#All],MATCH($AH11,年齢階層×在院期間区分F2＿寛解・院内寛解[[#All],[行ラベル]],0),MATCH($AS$3,年齢階層×在院期間区分F2＿寛解・院内寛解[#Headers],0)),0)+IFERROR(INDEX(年齢階層×在院期間区分F2＿寛解・院内寛解[#All],MATCH($AH11,年齢階層×在院期間区分F2＿寛解・院内寛解[[#All],[行ラベル]],0),MATCH($AT$3,年齢階層×在院期間区分F2＿寛解・院内寛解[#Headers],0)),0)+IFERROR(INDEX(年齢階層×在院期間区分F2＿寛解・院内寛解[#All],MATCH($AH11,年齢階層×在院期間区分F2＿寛解・院内寛解[[#All],[行ラベル]],0),MATCH($AU$3,年齢階層×在院期間区分F2＿寛解・院内寛解[#Headers],0)),0)+IFERROR(INDEX(年齢階層×在院期間区分F2＿寛解・院内寛解[#All],MATCH($AH11,年齢階層×在院期間区分F2＿寛解・院内寛解[[#All],[行ラベル]],0),MATCH($AV$3,年齢階層×在院期間区分F2＿寛解・院内寛解[#Headers],0)),0)</f>
        <v>5</v>
      </c>
      <c r="H27" s="209">
        <f t="shared" si="9"/>
        <v>7.0422535211267609E-2</v>
      </c>
      <c r="I27" s="208">
        <f>IFERROR(INDEX(年齢階層×在院期間区分F2＿寛解・院内寛解[#All],MATCH($AH11,年齢階層×在院期間区分F2＿寛解・院内寛解[[#All],[行ラベル]],0),MATCH($AW$3,年齢階層×在院期間区分F2＿寛解・院内寛解[#Headers],0)),0)+IFERROR(INDEX(年齢階層×在院期間区分F2＿寛解・院内寛解[#All],MATCH($AH11,年齢階層×在院期間区分F2＿寛解・院内寛解[[#All],[行ラベル]],0),MATCH($AX$3,年齢階層×在院期間区分F2＿寛解・院内寛解[#Headers],0)),0)</f>
        <v>5</v>
      </c>
      <c r="J27" s="209">
        <f t="shared" si="10"/>
        <v>4.8543689320388349E-2</v>
      </c>
      <c r="K27" s="208">
        <f t="shared" si="11"/>
        <v>38</v>
      </c>
      <c r="L27" s="209">
        <f t="shared" si="12"/>
        <v>5.1771117166212535E-2</v>
      </c>
      <c r="O27" s="54" t="s">
        <v>9</v>
      </c>
      <c r="P27" s="66">
        <v>2</v>
      </c>
      <c r="Q27" s="66">
        <v>4</v>
      </c>
      <c r="R27" s="66">
        <v>4</v>
      </c>
      <c r="S27" s="66">
        <v>2</v>
      </c>
      <c r="T27" s="66">
        <v>6</v>
      </c>
      <c r="U27" s="66">
        <v>2</v>
      </c>
      <c r="V27" s="66">
        <v>5</v>
      </c>
      <c r="W27" s="66">
        <v>2</v>
      </c>
      <c r="X27" s="66">
        <v>1</v>
      </c>
      <c r="Y27" s="66">
        <v>1</v>
      </c>
      <c r="Z27" s="66">
        <v>2</v>
      </c>
      <c r="AA27" s="66">
        <v>1</v>
      </c>
      <c r="AB27" s="66">
        <v>1</v>
      </c>
      <c r="AC27" s="66">
        <v>0</v>
      </c>
      <c r="AD27" s="66">
        <v>2</v>
      </c>
      <c r="AE27" s="66">
        <v>3</v>
      </c>
      <c r="AH27" s="54" t="s">
        <v>9</v>
      </c>
    </row>
    <row r="28" spans="2:38" s="22" customFormat="1" ht="18.75" customHeight="1" thickBot="1" x14ac:dyDescent="0.2">
      <c r="B28" s="233" t="s">
        <v>10</v>
      </c>
      <c r="C28" s="211">
        <f>IFERROR(INDEX(年齢階層×在院期間区分F2＿寛解・院内寛解[#All],MATCH($AH12,年齢階層×在院期間区分F2＿寛解・院内寛解[[#All],[行ラベル]],0),MATCH($AI$3,年齢階層×在院期間区分F2＿寛解・院内寛解[#Headers],0)),0)+IFERROR(INDEX(年齢階層×在院期間区分F2＿寛解・院内寛解[#All],MATCH($AH12,年齢階層×在院期間区分F2＿寛解・院内寛解[[#All],[行ラベル]],0),MATCH($AJ$3,年齢階層×在院期間区分F2＿寛解・院内寛解[#Headers],0)),0)+IFERROR(INDEX(年齢階層×在院期間区分F2＿寛解・院内寛解[#All],MATCH($AH12,年齢階層×在院期間区分F2＿寛解・院内寛解[[#All],[行ラベル]],0),MATCH($AK$3,年齢階層×在院期間区分F2＿寛解・院内寛解[#Headers],0)),0)+IFERROR(INDEX(年齢階層×在院期間区分F2＿寛解・院内寛解[#All],MATCH($AH12,年齢階層×在院期間区分F2＿寛解・院内寛解[[#All],[行ラベル]],0),MATCH($AL$3,年齢階層×在院期間区分F2＿寛解・院内寛解[#Headers],0)),0)</f>
        <v>2</v>
      </c>
      <c r="D28" s="213">
        <f t="shared" si="7"/>
        <v>5.208333333333333E-3</v>
      </c>
      <c r="E28" s="211">
        <f>IFERROR(INDEX(年齢階層×在院期間区分F2＿寛解・院内寛解[#All],MATCH($AH12,年齢階層×在院期間区分F2＿寛解・院内寛解[[#All],[行ラベル]],0),MATCH($AM$3,年齢階層×在院期間区分F2＿寛解・院内寛解[#Headers],0)),0)+IFERROR(INDEX(年齢階層×在院期間区分F2＿寛解・院内寛解[#All],MATCH($AH12,年齢階層×在院期間区分F2＿寛解・院内寛解[[#All],[行ラベル]],0),MATCH($AN$3,年齢階層×在院期間区分F2＿寛解・院内寛解[#Headers],0)),0)+IFERROR(INDEX(年齢階層×在院期間区分F2＿寛解・院内寛解[#All],MATCH($AH12,年齢階層×在院期間区分F2＿寛解・院内寛解[[#All],[行ラベル]],0),MATCH($AO$3,年齢階層×在院期間区分F2＿寛解・院内寛解[#Headers],0)),0)+IFERROR(INDEX(年齢階層×在院期間区分F2＿寛解・院内寛解[#All],MATCH($AH12,年齢階層×在院期間区分F2＿寛解・院内寛解[[#All],[行ラベル]],0),MATCH($AP$3,年齢階層×在院期間区分F2＿寛解・院内寛解[#Headers],0)),0)+IFERROR(INDEX(年齢階層×在院期間区分F2＿寛解・院内寛解[#All],MATCH($AH12,年齢階層×在院期間区分F2＿寛解・院内寛解[[#All],[行ラベル]],0),MATCH($AQ$3,年齢階層×在院期間区分F2＿寛解・院内寛解[#Headers],0)),0)</f>
        <v>0</v>
      </c>
      <c r="F28" s="213">
        <f t="shared" si="8"/>
        <v>0</v>
      </c>
      <c r="G28" s="234">
        <f>IFERROR(INDEX(年齢階層×在院期間区分F2＿寛解・院内寛解[#All],MATCH($AH12,年齢階層×在院期間区分F2＿寛解・院内寛解[[#All],[行ラベル]],0),MATCH($AR$3,年齢階層×在院期間区分F2＿寛解・院内寛解[#Headers],0)),0)+IFERROR(INDEX(年齢階層×在院期間区分F2＿寛解・院内寛解[#All],MATCH($AH12,年齢階層×在院期間区分F2＿寛解・院内寛解[[#All],[行ラベル]],0),MATCH($AS$3,年齢階層×在院期間区分F2＿寛解・院内寛解[#Headers],0)),0)+IFERROR(INDEX(年齢階層×在院期間区分F2＿寛解・院内寛解[#All],MATCH($AH12,年齢階層×在院期間区分F2＿寛解・院内寛解[[#All],[行ラベル]],0),MATCH($AT$3,年齢階層×在院期間区分F2＿寛解・院内寛解[#Headers],0)),0)+IFERROR(INDEX(年齢階層×在院期間区分F2＿寛解・院内寛解[#All],MATCH($AH12,年齢階層×在院期間区分F2＿寛解・院内寛解[[#All],[行ラベル]],0),MATCH($AU$3,年齢階層×在院期間区分F2＿寛解・院内寛解[#Headers],0)),0)+IFERROR(INDEX(年齢階層×在院期間区分F2＿寛解・院内寛解[#All],MATCH($AH12,年齢階層×在院期間区分F2＿寛解・院内寛解[[#All],[行ラベル]],0),MATCH($AV$3,年齢階層×在院期間区分F2＿寛解・院内寛解[#Headers],0)),0)</f>
        <v>0</v>
      </c>
      <c r="H28" s="213">
        <f t="shared" si="9"/>
        <v>0</v>
      </c>
      <c r="I28" s="234">
        <f>IFERROR(INDEX(年齢階層×在院期間区分F2＿寛解・院内寛解[#All],MATCH($AH12,年齢階層×在院期間区分F2＿寛解・院内寛解[[#All],[行ラベル]],0),MATCH($AW$3,年齢階層×在院期間区分F2＿寛解・院内寛解[#Headers],0)),0)+IFERROR(INDEX(年齢階層×在院期間区分F2＿寛解・院内寛解[#All],MATCH($AH12,年齢階層×在院期間区分F2＿寛解・院内寛解[[#All],[行ラベル]],0),MATCH($AX$3,年齢階層×在院期間区分F2＿寛解・院内寛解[#Headers],0)),0)</f>
        <v>0</v>
      </c>
      <c r="J28" s="213">
        <f t="shared" si="10"/>
        <v>0</v>
      </c>
      <c r="K28" s="211">
        <f t="shared" si="11"/>
        <v>2</v>
      </c>
      <c r="L28" s="213">
        <f t="shared" si="12"/>
        <v>2.7247956403269754E-3</v>
      </c>
      <c r="M28" s="78"/>
      <c r="O28" s="54" t="s">
        <v>10</v>
      </c>
      <c r="P28" s="66">
        <v>1</v>
      </c>
      <c r="Q28" s="66">
        <v>1</v>
      </c>
      <c r="R28" s="66">
        <v>0</v>
      </c>
      <c r="S28" s="66">
        <v>0</v>
      </c>
      <c r="T28" s="66">
        <v>0</v>
      </c>
      <c r="U28" s="66">
        <v>0</v>
      </c>
      <c r="V28" s="66">
        <v>0</v>
      </c>
      <c r="W28" s="66">
        <v>0</v>
      </c>
      <c r="X28" s="66">
        <v>0</v>
      </c>
      <c r="Y28" s="66">
        <v>0</v>
      </c>
      <c r="Z28" s="66">
        <v>0</v>
      </c>
      <c r="AA28" s="66">
        <v>0</v>
      </c>
      <c r="AB28" s="66">
        <v>0</v>
      </c>
      <c r="AC28" s="66">
        <v>0</v>
      </c>
      <c r="AD28" s="66">
        <v>0</v>
      </c>
      <c r="AE28" s="66">
        <v>0</v>
      </c>
      <c r="AH28" s="54" t="s">
        <v>10</v>
      </c>
    </row>
    <row r="29" spans="2:38" s="22" customFormat="1" ht="18.75" customHeight="1" thickTop="1" thickBot="1" x14ac:dyDescent="0.2">
      <c r="B29" s="235" t="s">
        <v>162</v>
      </c>
      <c r="C29" s="236">
        <f t="shared" ref="C29:L29" si="13">SUM(C20:C28)</f>
        <v>384</v>
      </c>
      <c r="D29" s="243">
        <f t="shared" si="13"/>
        <v>1</v>
      </c>
      <c r="E29" s="236">
        <f t="shared" si="13"/>
        <v>176</v>
      </c>
      <c r="F29" s="243">
        <f t="shared" si="13"/>
        <v>1</v>
      </c>
      <c r="G29" s="236">
        <f t="shared" si="13"/>
        <v>71</v>
      </c>
      <c r="H29" s="243">
        <f t="shared" si="13"/>
        <v>0.99999999999999989</v>
      </c>
      <c r="I29" s="236">
        <f t="shared" si="13"/>
        <v>103</v>
      </c>
      <c r="J29" s="243">
        <f t="shared" si="13"/>
        <v>1</v>
      </c>
      <c r="K29" s="236">
        <f t="shared" si="13"/>
        <v>734</v>
      </c>
      <c r="L29" s="243">
        <f t="shared" si="13"/>
        <v>1</v>
      </c>
      <c r="O29" s="430" t="s">
        <v>309</v>
      </c>
      <c r="P29" s="504" t="s">
        <v>183</v>
      </c>
      <c r="Q29" s="62" t="s">
        <v>184</v>
      </c>
      <c r="R29" s="62" t="s">
        <v>185</v>
      </c>
      <c r="S29" s="62" t="s">
        <v>186</v>
      </c>
      <c r="T29" s="62" t="s">
        <v>187</v>
      </c>
      <c r="U29" s="62" t="s">
        <v>188</v>
      </c>
      <c r="V29" s="62" t="s">
        <v>189</v>
      </c>
      <c r="W29" s="62" t="s">
        <v>190</v>
      </c>
      <c r="X29" s="62" t="s">
        <v>191</v>
      </c>
      <c r="Y29" s="62" t="s">
        <v>192</v>
      </c>
      <c r="Z29" s="62" t="s">
        <v>193</v>
      </c>
      <c r="AA29" s="62" t="s">
        <v>194</v>
      </c>
      <c r="AB29" s="62" t="s">
        <v>195</v>
      </c>
      <c r="AC29" s="62" t="s">
        <v>196</v>
      </c>
      <c r="AD29" s="62" t="s">
        <v>197</v>
      </c>
      <c r="AE29" s="378" t="s">
        <v>198</v>
      </c>
      <c r="AL29" s="59"/>
    </row>
    <row r="30" spans="2:38" s="22" customFormat="1" ht="18.75" customHeight="1" thickTop="1" x14ac:dyDescent="0.15">
      <c r="B30" s="238" t="s">
        <v>93</v>
      </c>
      <c r="C30" s="239">
        <f>IFERROR(INDEX(年齢階層×在院期間区分F2_65歳未満以上＿寛解・院内寛解[#All],MATCH($AH30,年齢階層×在院期間区分F2_65歳未満以上＿寛解・院内寛解[[#All],[列1]],0),MATCH($AI$3,年齢階層×在院期間区分F2_65歳未満以上＿寛解・院内寛解[#Headers],0)),0)+IFERROR(INDEX(年齢階層×在院期間区分F2_65歳未満以上＿寛解・院内寛解[#All],MATCH($AH30,年齢階層×在院期間区分F2_65歳未満以上＿寛解・院内寛解[[#All],[列1]],0),MATCH($AJ$3,年齢階層×在院期間区分F2_65歳未満以上＿寛解・院内寛解[#Headers],0)),0)+IFERROR(INDEX(年齢階層×在院期間区分F2_65歳未満以上＿寛解・院内寛解[#All],MATCH($AH30,年齢階層×在院期間区分F2_65歳未満以上＿寛解・院内寛解[[#All],[列1]],0),MATCH($AK$3,年齢階層×在院期間区分F2_65歳未満以上＿寛解・院内寛解[#Headers],0)),0)+IFERROR(INDEX(年齢階層×在院期間区分F2_65歳未満以上＿寛解・院内寛解[#All],MATCH($AH30,年齢階層×在院期間区分F2_65歳未満以上＿寛解・院内寛解[[#All],[列1]],0),MATCH($AL$3,年齢階層×在院期間区分F2_65歳未満以上＿寛解・院内寛解[#Headers],0)),0)</f>
        <v>284</v>
      </c>
      <c r="D30" s="224">
        <f>IFERROR(C30/$C$29,"-")</f>
        <v>0.73958333333333337</v>
      </c>
      <c r="E30" s="239">
        <f>IFERROR(INDEX(年齢階層×在院期間区分F2_65歳未満以上＿寛解・院内寛解[#All],MATCH($AH30,年齢階層×在院期間区分F2_65歳未満以上＿寛解・院内寛解[[#All],[列1]],0),MATCH($AM$3,年齢階層×在院期間区分F2_65歳未満以上＿寛解・院内寛解[#Headers],0)),0)+IFERROR(INDEX(年齢階層×在院期間区分F2_65歳未満以上＿寛解・院内寛解[#All],MATCH($AH30,年齢階層×在院期間区分F2_65歳未満以上＿寛解・院内寛解[[#All],[列1]],0),MATCH($AN$3,年齢階層×在院期間区分F2_65歳未満以上＿寛解・院内寛解[#Headers],0)),0)+IFERROR(INDEX(年齢階層×在院期間区分F2_65歳未満以上＿寛解・院内寛解[#All],MATCH($AH30,年齢階層×在院期間区分F2_65歳未満以上＿寛解・院内寛解[[#All],[列1]],0),MATCH($AO$3,年齢階層×在院期間区分F2_65歳未満以上＿寛解・院内寛解[#Headers],0)),0)+IFERROR(INDEX(年齢階層×在院期間区分F2_65歳未満以上＿寛解・院内寛解[#All],MATCH($AH30,年齢階層×在院期間区分F2_65歳未満以上＿寛解・院内寛解[[#All],[列1]],0),MATCH($AP$3,年齢階層×在院期間区分F2_65歳未満以上＿寛解・院内寛解[#Headers],0)),0)+IFERROR(INDEX(年齢階層×在院期間区分F2_65歳未満以上＿寛解・院内寛解[#All],MATCH($AH30,年齢階層×在院期間区分F2_65歳未満以上＿寛解・院内寛解[[#All],[列1]],0),MATCH($AQ$3,年齢階層×在院期間区分F2_65歳未満以上＿寛解・院内寛解[#Headers],0)),0)</f>
        <v>110</v>
      </c>
      <c r="F30" s="224">
        <f>IFERROR(E30/$E$29,"-")</f>
        <v>0.625</v>
      </c>
      <c r="G30" s="239">
        <f>IFERROR(INDEX(年齢階層×在院期間区分F2_65歳未満以上＿寛解・院内寛解[#All],MATCH($AH30,年齢階層×在院期間区分F2_65歳未満以上＿寛解・院内寛解[[#All],[列1]],0),MATCH($AR$3,年齢階層×在院期間区分F2_65歳未満以上＿寛解・院内寛解[#Headers],0)),0)+IFERROR(INDEX(年齢階層×在院期間区分F2_65歳未満以上＿寛解・院内寛解[#All],MATCH($AH30,年齢階層×在院期間区分F2_65歳未満以上＿寛解・院内寛解[[#All],[列1]],0),MATCH($AS$3,年齢階層×在院期間区分F2_65歳未満以上＿寛解・院内寛解[#Headers],0)),0)+IFERROR(INDEX(年齢階層×在院期間区分F2_65歳未満以上＿寛解・院内寛解[#All],MATCH($AH30,年齢階層×在院期間区分F2_65歳未満以上＿寛解・院内寛解[[#All],[列1]],0),MATCH($AT$3,年齢階層×在院期間区分F2_65歳未満以上＿寛解・院内寛解[#Headers],0)),0)+IFERROR(INDEX(年齢階層×在院期間区分F2_65歳未満以上＿寛解・院内寛解[#All],MATCH($AH30,年齢階層×在院期間区分F2_65歳未満以上＿寛解・院内寛解[[#All],[列1]],0),MATCH($AU$3,年齢階層×在院期間区分F2_65歳未満以上＿寛解・院内寛解[#Headers],0)),0)+IFERROR(INDEX(年齢階層×在院期間区分F2_65歳未満以上＿寛解・院内寛解[#All],MATCH($AH30,年齢階層×在院期間区分F2_65歳未満以上＿寛解・院内寛解[[#All],[列1]],0),MATCH($AV$3,年齢階層×在院期間区分F2_65歳未満以上＿寛解・院内寛解[#Headers],0)),0)</f>
        <v>36</v>
      </c>
      <c r="H30" s="224">
        <f>IFERROR(G30/$G$29,"-")</f>
        <v>0.50704225352112675</v>
      </c>
      <c r="I30" s="239">
        <f>IFERROR(INDEX(年齢階層×在院期間区分F2_65歳未満以上＿寛解・院内寛解[#All],MATCH($AH30,年齢階層×在院期間区分F2_65歳未満以上＿寛解・院内寛解[[#All],[列1]],0),MATCH($AW$3,年齢階層×在院期間区分F2_65歳未満以上＿寛解・院内寛解[#Headers],0)),0)+IFERROR(INDEX(年齢階層×在院期間区分F2_65歳未満以上＿寛解・院内寛解[#All],MATCH($AH30,年齢階層×在院期間区分F2_65歳未満以上＿寛解・院内寛解[[#All],[列1]],0),MATCH($AX$3,年齢階層×在院期間区分F2_65歳未満以上＿寛解・院内寛解[#Headers],0)),0)</f>
        <v>42</v>
      </c>
      <c r="J30" s="224">
        <f>IFERROR(I30/$I$29,"-")</f>
        <v>0.40776699029126212</v>
      </c>
      <c r="K30" s="239">
        <f>C30+E30+G30+I30</f>
        <v>472</v>
      </c>
      <c r="L30" s="224">
        <f>IFERROR(K30/$K$29,"-")</f>
        <v>0.64305177111716616</v>
      </c>
      <c r="O30" s="54" t="s">
        <v>307</v>
      </c>
      <c r="P30" s="66">
        <v>95</v>
      </c>
      <c r="Q30" s="66">
        <v>101</v>
      </c>
      <c r="R30" s="66">
        <v>45</v>
      </c>
      <c r="S30" s="66">
        <v>43</v>
      </c>
      <c r="T30" s="66">
        <v>28</v>
      </c>
      <c r="U30" s="66">
        <v>22</v>
      </c>
      <c r="V30" s="66">
        <v>29</v>
      </c>
      <c r="W30" s="66">
        <v>17</v>
      </c>
      <c r="X30" s="66">
        <v>14</v>
      </c>
      <c r="Y30" s="66">
        <v>10</v>
      </c>
      <c r="Z30" s="66">
        <v>8</v>
      </c>
      <c r="AA30" s="66">
        <v>6</v>
      </c>
      <c r="AB30" s="66">
        <v>10</v>
      </c>
      <c r="AC30" s="66">
        <v>2</v>
      </c>
      <c r="AD30" s="66">
        <v>31</v>
      </c>
      <c r="AE30" s="66">
        <v>11</v>
      </c>
      <c r="AH30" s="83" t="s">
        <v>157</v>
      </c>
    </row>
    <row r="31" spans="2:38" ht="18.75" customHeight="1" x14ac:dyDescent="0.15">
      <c r="B31" s="240" t="s">
        <v>89</v>
      </c>
      <c r="C31" s="239">
        <f>IFERROR(INDEX(年齢階層×在院期間区分F2_65歳未満以上＿寛解・院内寛解[#All],MATCH($AH31,年齢階層×在院期間区分F2_65歳未満以上＿寛解・院内寛解[[#All],[列1]],0),MATCH($AI$3,年齢階層×在院期間区分F2_65歳未満以上＿寛解・院内寛解[#Headers],0)),0)+IFERROR(INDEX(年齢階層×在院期間区分F2_65歳未満以上＿寛解・院内寛解[#All],MATCH($AH31,年齢階層×在院期間区分F2_65歳未満以上＿寛解・院内寛解[[#All],[列1]],0),MATCH($AJ$3,年齢階層×在院期間区分F2_65歳未満以上＿寛解・院内寛解[#Headers],0)),0)+IFERROR(INDEX(年齢階層×在院期間区分F2_65歳未満以上＿寛解・院内寛解[#All],MATCH($AH31,年齢階層×在院期間区分F2_65歳未満以上＿寛解・院内寛解[[#All],[列1]],0),MATCH($AK$3,年齢階層×在院期間区分F2_65歳未満以上＿寛解・院内寛解[#Headers],0)),0)+IFERROR(INDEX(年齢階層×在院期間区分F2_65歳未満以上＿寛解・院内寛解[#All],MATCH($AH31,年齢階層×在院期間区分F2_65歳未満以上＿寛解・院内寛解[[#All],[列1]],0),MATCH($AL$3,年齢階層×在院期間区分F2_65歳未満以上＿寛解・院内寛解[#Headers],0)),0)</f>
        <v>100</v>
      </c>
      <c r="D31" s="241">
        <f>IFERROR(C31/$C$29,"-")</f>
        <v>0.26041666666666669</v>
      </c>
      <c r="E31" s="239">
        <f>IFERROR(INDEX(年齢階層×在院期間区分F2_65歳未満以上＿寛解・院内寛解[#All],MATCH($AH31,年齢階層×在院期間区分F2_65歳未満以上＿寛解・院内寛解[[#All],[列1]],0),MATCH($AM$3,年齢階層×在院期間区分F2_65歳未満以上＿寛解・院内寛解[#Headers],0)),0)+IFERROR(INDEX(年齢階層×在院期間区分F2_65歳未満以上＿寛解・院内寛解[#All],MATCH($AH31,年齢階層×在院期間区分F2_65歳未満以上＿寛解・院内寛解[[#All],[列1]],0),MATCH($AN$3,年齢階層×在院期間区分F2_65歳未満以上＿寛解・院内寛解[#Headers],0)),0)+IFERROR(INDEX(年齢階層×在院期間区分F2_65歳未満以上＿寛解・院内寛解[#All],MATCH($AH31,年齢階層×在院期間区分F2_65歳未満以上＿寛解・院内寛解[[#All],[列1]],0),MATCH($AO$3,年齢階層×在院期間区分F2_65歳未満以上＿寛解・院内寛解[#Headers],0)),0)+IFERROR(INDEX(年齢階層×在院期間区分F2_65歳未満以上＿寛解・院内寛解[#All],MATCH($AH31,年齢階層×在院期間区分F2_65歳未満以上＿寛解・院内寛解[[#All],[列1]],0),MATCH($AP$3,年齢階層×在院期間区分F2_65歳未満以上＿寛解・院内寛解[#Headers],0)),0)+IFERROR(INDEX(年齢階層×在院期間区分F2_65歳未満以上＿寛解・院内寛解[#All],MATCH($AH31,年齢階層×在院期間区分F2_65歳未満以上＿寛解・院内寛解[[#All],[列1]],0),MATCH($AQ$3,年齢階層×在院期間区分F2_65歳未満以上＿寛解・院内寛解[#Headers],0)),0)</f>
        <v>66</v>
      </c>
      <c r="F31" s="241">
        <f>IFERROR(E31/$E$29,"-")</f>
        <v>0.375</v>
      </c>
      <c r="G31" s="239">
        <f>IFERROR(INDEX(年齢階層×在院期間区分F2_65歳未満以上＿寛解・院内寛解[#All],MATCH($AH31,年齢階層×在院期間区分F2_65歳未満以上＿寛解・院内寛解[[#All],[列1]],0),MATCH($AR$3,年齢階層×在院期間区分F2_65歳未満以上＿寛解・院内寛解[#Headers],0)),0)+IFERROR(INDEX(年齢階層×在院期間区分F2_65歳未満以上＿寛解・院内寛解[#All],MATCH($AH31,年齢階層×在院期間区分F2_65歳未満以上＿寛解・院内寛解[[#All],[列1]],0),MATCH($AS$3,年齢階層×在院期間区分F2_65歳未満以上＿寛解・院内寛解[#Headers],0)),0)+IFERROR(INDEX(年齢階層×在院期間区分F2_65歳未満以上＿寛解・院内寛解[#All],MATCH($AH31,年齢階層×在院期間区分F2_65歳未満以上＿寛解・院内寛解[[#All],[列1]],0),MATCH($AT$3,年齢階層×在院期間区分F2_65歳未満以上＿寛解・院内寛解[#Headers],0)),0)+IFERROR(INDEX(年齢階層×在院期間区分F2_65歳未満以上＿寛解・院内寛解[#All],MATCH($AH31,年齢階層×在院期間区分F2_65歳未満以上＿寛解・院内寛解[[#All],[列1]],0),MATCH($AU$3,年齢階層×在院期間区分F2_65歳未満以上＿寛解・院内寛解[#Headers],0)),0)+IFERROR(INDEX(年齢階層×在院期間区分F2_65歳未満以上＿寛解・院内寛解[#All],MATCH($AH31,年齢階層×在院期間区分F2_65歳未満以上＿寛解・院内寛解[[#All],[列1]],0),MATCH($AV$3,年齢階層×在院期間区分F2_65歳未満以上＿寛解・院内寛解[#Headers],0)),0)</f>
        <v>35</v>
      </c>
      <c r="H31" s="241">
        <f>IFERROR(G31/$G$29,"-")</f>
        <v>0.49295774647887325</v>
      </c>
      <c r="I31" s="239">
        <f>IFERROR(INDEX(年齢階層×在院期間区分F2_65歳未満以上＿寛解・院内寛解[#All],MATCH($AH31,年齢階層×在院期間区分F2_65歳未満以上＿寛解・院内寛解[[#All],[列1]],0),MATCH($AW$3,年齢階層×在院期間区分F2_65歳未満以上＿寛解・院内寛解[#Headers],0)),0)+IFERROR(INDEX(年齢階層×在院期間区分F2_65歳未満以上＿寛解・院内寛解[#All],MATCH($AH31,年齢階層×在院期間区分F2_65歳未満以上＿寛解・院内寛解[[#All],[列1]],0),MATCH($AX$3,年齢階層×在院期間区分F2_65歳未満以上＿寛解・院内寛解[#Headers],0)),0)</f>
        <v>61</v>
      </c>
      <c r="J31" s="241">
        <f>IFERROR(I31/$I$29,"-")</f>
        <v>0.59223300970873782</v>
      </c>
      <c r="K31" s="239">
        <f>C31+E31+G31+I31</f>
        <v>262</v>
      </c>
      <c r="L31" s="241">
        <f>IFERROR(K31/$K$29,"-")</f>
        <v>0.35694822888283378</v>
      </c>
      <c r="O31" s="83" t="s">
        <v>308</v>
      </c>
      <c r="P31" s="66">
        <v>14</v>
      </c>
      <c r="Q31" s="66">
        <v>36</v>
      </c>
      <c r="R31" s="66">
        <v>24</v>
      </c>
      <c r="S31" s="66">
        <v>26</v>
      </c>
      <c r="T31" s="66">
        <v>18</v>
      </c>
      <c r="U31" s="66">
        <v>22</v>
      </c>
      <c r="V31" s="66">
        <v>13</v>
      </c>
      <c r="W31" s="66">
        <v>8</v>
      </c>
      <c r="X31" s="66">
        <v>5</v>
      </c>
      <c r="Y31" s="66">
        <v>10</v>
      </c>
      <c r="Z31" s="66">
        <v>8</v>
      </c>
      <c r="AA31" s="66">
        <v>4</v>
      </c>
      <c r="AB31" s="66">
        <v>9</v>
      </c>
      <c r="AC31" s="66">
        <v>4</v>
      </c>
      <c r="AD31" s="66">
        <v>32</v>
      </c>
      <c r="AE31" s="66">
        <v>29</v>
      </c>
      <c r="AH31" s="83" t="s">
        <v>88</v>
      </c>
    </row>
    <row r="32" spans="2:38" x14ac:dyDescent="0.15">
      <c r="F32" s="67"/>
      <c r="H32" s="67"/>
      <c r="J32" s="67"/>
      <c r="K32" s="45"/>
    </row>
    <row r="34" spans="2:49" x14ac:dyDescent="0.15">
      <c r="C34" s="53"/>
      <c r="D34" s="62"/>
      <c r="E34" s="62"/>
      <c r="F34" s="62"/>
      <c r="G34" s="62"/>
      <c r="H34" s="62"/>
      <c r="I34" s="62"/>
      <c r="J34" s="62"/>
      <c r="K34" s="62"/>
      <c r="L34" s="62"/>
      <c r="M34" s="62"/>
      <c r="N34" s="62"/>
      <c r="O34" s="62"/>
      <c r="P34" s="62"/>
      <c r="Q34" s="62"/>
      <c r="R34" s="84"/>
    </row>
    <row r="35" spans="2:49" x14ac:dyDescent="0.15">
      <c r="B35" s="38"/>
      <c r="C35" s="23"/>
      <c r="D35" s="23"/>
      <c r="E35" s="23"/>
      <c r="F35" s="23"/>
      <c r="G35" s="23"/>
      <c r="H35" s="23"/>
      <c r="I35" s="23"/>
      <c r="J35" s="23"/>
      <c r="K35" s="23"/>
      <c r="L35" s="23"/>
      <c r="M35" s="23"/>
      <c r="N35" s="23"/>
      <c r="O35" s="23"/>
      <c r="P35" s="23"/>
      <c r="Q35" s="23"/>
      <c r="R35" s="23"/>
      <c r="S35" s="23"/>
    </row>
    <row r="36" spans="2:49" x14ac:dyDescent="0.15">
      <c r="B36" s="38"/>
      <c r="C36" s="23"/>
      <c r="D36" s="23"/>
      <c r="E36" s="23"/>
      <c r="F36" s="23"/>
      <c r="G36" s="23"/>
      <c r="H36" s="23"/>
      <c r="I36" s="23"/>
      <c r="J36" s="23"/>
      <c r="K36" s="23"/>
      <c r="L36" s="23"/>
      <c r="M36" s="23"/>
      <c r="N36" s="23"/>
      <c r="O36" s="23"/>
      <c r="P36" s="23"/>
      <c r="Q36" s="23"/>
      <c r="R36" s="23"/>
      <c r="S36" s="23"/>
    </row>
    <row r="37" spans="2:49" x14ac:dyDescent="0.15">
      <c r="B37" s="50"/>
      <c r="C37" s="85"/>
      <c r="D37" s="85"/>
      <c r="E37" s="85"/>
      <c r="F37" s="85"/>
      <c r="G37" s="85"/>
      <c r="H37" s="85"/>
      <c r="I37" s="85"/>
      <c r="J37" s="85"/>
      <c r="K37" s="85"/>
      <c r="L37" s="85"/>
      <c r="M37" s="85"/>
      <c r="N37" s="85"/>
      <c r="O37" s="85"/>
      <c r="P37" s="85"/>
      <c r="Q37" s="85"/>
      <c r="R37" s="85"/>
      <c r="S37" s="85"/>
      <c r="T37" s="22"/>
      <c r="U37" s="22"/>
      <c r="V37" s="22"/>
      <c r="W37" s="22"/>
      <c r="X37" s="22"/>
      <c r="Y37" s="22"/>
      <c r="Z37" s="22"/>
      <c r="AA37" s="22"/>
      <c r="AB37" s="22"/>
      <c r="AC37" s="22"/>
      <c r="AD37" s="22"/>
      <c r="AE37" s="22"/>
      <c r="AF37" s="22"/>
      <c r="AG37" s="22"/>
      <c r="AH37" s="22"/>
      <c r="AI37" s="22"/>
      <c r="AJ37" s="22"/>
      <c r="AK37" s="22"/>
      <c r="AL37" s="22"/>
      <c r="AM37" s="22"/>
      <c r="AN37" s="22"/>
      <c r="AO37" s="22"/>
      <c r="AP37" s="22"/>
      <c r="AQ37" s="22"/>
      <c r="AR37" s="22"/>
      <c r="AS37" s="22"/>
      <c r="AT37" s="22"/>
      <c r="AU37" s="22"/>
      <c r="AV37" s="22"/>
      <c r="AW37" s="22"/>
    </row>
    <row r="38" spans="2:49" ht="35.25" customHeight="1" x14ac:dyDescent="0.15">
      <c r="B38" s="22"/>
      <c r="C38" s="22"/>
      <c r="D38" s="22"/>
      <c r="E38" s="22"/>
      <c r="F38" s="22"/>
      <c r="G38" s="22"/>
      <c r="H38" s="22"/>
      <c r="I38" s="22"/>
      <c r="J38" s="22"/>
      <c r="K38" s="22"/>
      <c r="L38" s="22"/>
      <c r="M38" s="22"/>
      <c r="N38" s="22"/>
      <c r="O38" s="22"/>
      <c r="P38" s="22"/>
      <c r="Q38" s="22"/>
      <c r="R38" s="22"/>
      <c r="S38" s="22"/>
      <c r="T38" s="22"/>
      <c r="U38" s="22"/>
      <c r="V38" s="22"/>
      <c r="W38" s="22"/>
      <c r="X38" s="22"/>
      <c r="Y38" s="22"/>
      <c r="Z38" s="22"/>
      <c r="AA38" s="22"/>
      <c r="AB38" s="22"/>
      <c r="AC38" s="22"/>
      <c r="AD38" s="22"/>
      <c r="AE38" s="22"/>
      <c r="AF38" s="22"/>
      <c r="AG38" s="22"/>
      <c r="AH38" s="22"/>
      <c r="AI38" s="22"/>
      <c r="AJ38" s="22"/>
      <c r="AK38" s="22"/>
      <c r="AL38" s="22"/>
      <c r="AM38" s="22"/>
      <c r="AN38" s="22"/>
      <c r="AO38" s="22"/>
      <c r="AP38" s="22"/>
      <c r="AQ38" s="22"/>
      <c r="AR38" s="22"/>
      <c r="AS38" s="22"/>
      <c r="AT38" s="22"/>
      <c r="AU38" s="22"/>
      <c r="AV38" s="22"/>
      <c r="AW38" s="22"/>
    </row>
    <row r="39" spans="2:49" x14ac:dyDescent="0.15">
      <c r="B39" s="7"/>
      <c r="C39" s="86"/>
      <c r="D39" s="86"/>
      <c r="E39" s="86"/>
      <c r="F39" s="86"/>
      <c r="G39" s="86"/>
      <c r="H39" s="86"/>
      <c r="I39" s="86"/>
      <c r="J39" s="86"/>
      <c r="K39" s="86"/>
      <c r="L39" s="86"/>
      <c r="M39" s="86"/>
      <c r="N39" s="86"/>
      <c r="O39" s="86"/>
      <c r="P39" s="86"/>
      <c r="Q39" s="86"/>
      <c r="R39" s="86"/>
      <c r="S39" s="86"/>
      <c r="T39" s="22"/>
      <c r="U39" s="22"/>
      <c r="V39" s="22"/>
      <c r="W39" s="22"/>
      <c r="X39" s="22"/>
      <c r="Y39" s="22"/>
      <c r="Z39" s="22"/>
      <c r="AA39" s="22"/>
      <c r="AB39" s="22"/>
      <c r="AC39" s="22"/>
      <c r="AD39" s="22"/>
      <c r="AE39" s="22"/>
      <c r="AF39" s="22"/>
      <c r="AG39" s="22"/>
      <c r="AH39" s="22"/>
      <c r="AI39" s="22"/>
      <c r="AJ39" s="22"/>
      <c r="AK39" s="22"/>
      <c r="AL39" s="22"/>
      <c r="AM39" s="22"/>
      <c r="AN39" s="22"/>
      <c r="AO39" s="22"/>
      <c r="AP39" s="22"/>
      <c r="AQ39" s="22"/>
      <c r="AR39" s="22"/>
      <c r="AS39" s="22"/>
      <c r="AT39" s="22"/>
      <c r="AU39" s="22"/>
      <c r="AV39" s="22"/>
      <c r="AW39" s="22"/>
    </row>
    <row r="40" spans="2:49" x14ac:dyDescent="0.15">
      <c r="B40" s="7"/>
      <c r="C40" s="86"/>
      <c r="D40" s="86"/>
      <c r="E40" s="86"/>
      <c r="F40" s="86"/>
      <c r="G40" s="86"/>
      <c r="H40" s="86"/>
      <c r="I40" s="86"/>
      <c r="J40" s="86"/>
      <c r="K40" s="86"/>
      <c r="L40" s="86"/>
      <c r="M40" s="86"/>
      <c r="N40" s="86"/>
      <c r="O40" s="86"/>
      <c r="P40" s="86"/>
      <c r="Q40" s="86"/>
      <c r="R40" s="86"/>
      <c r="S40" s="86"/>
      <c r="T40" s="22"/>
      <c r="U40" s="22"/>
      <c r="V40" s="22"/>
      <c r="W40" s="22"/>
      <c r="X40" s="22"/>
      <c r="Y40" s="22"/>
      <c r="Z40" s="22"/>
      <c r="AA40" s="22"/>
      <c r="AB40" s="22"/>
      <c r="AC40" s="22"/>
      <c r="AD40" s="22"/>
      <c r="AE40" s="22"/>
      <c r="AF40" s="22"/>
      <c r="AG40" s="22"/>
      <c r="AH40" s="22"/>
      <c r="AI40" s="22"/>
      <c r="AJ40" s="22"/>
      <c r="AK40" s="22"/>
      <c r="AL40" s="22"/>
      <c r="AM40" s="22"/>
      <c r="AN40" s="22"/>
      <c r="AO40" s="22"/>
      <c r="AP40" s="22"/>
      <c r="AQ40" s="22"/>
      <c r="AR40" s="22"/>
      <c r="AS40" s="22"/>
      <c r="AT40" s="22"/>
      <c r="AU40" s="22"/>
      <c r="AV40" s="22"/>
      <c r="AW40" s="22"/>
    </row>
    <row r="41" spans="2:49" x14ac:dyDescent="0.15">
      <c r="B41" s="7"/>
      <c r="C41" s="86"/>
      <c r="D41" s="86"/>
      <c r="E41" s="86"/>
      <c r="F41" s="86"/>
      <c r="G41" s="86"/>
      <c r="H41" s="86"/>
      <c r="I41" s="86"/>
      <c r="J41" s="86"/>
      <c r="K41" s="86"/>
      <c r="L41" s="86"/>
      <c r="M41" s="86"/>
      <c r="N41" s="86"/>
      <c r="O41" s="86"/>
      <c r="P41" s="86"/>
      <c r="Q41" s="86"/>
      <c r="R41" s="86"/>
      <c r="S41" s="86"/>
      <c r="T41" s="22"/>
      <c r="U41" s="22"/>
      <c r="V41" s="22"/>
      <c r="W41" s="22"/>
      <c r="X41" s="22"/>
      <c r="Y41" s="22"/>
      <c r="Z41" s="22"/>
      <c r="AA41" s="22"/>
      <c r="AB41" s="22"/>
      <c r="AC41" s="22"/>
      <c r="AD41" s="22"/>
      <c r="AE41" s="22"/>
      <c r="AF41" s="22"/>
      <c r="AG41" s="22"/>
      <c r="AH41" s="22"/>
      <c r="AI41" s="22"/>
      <c r="AJ41" s="22"/>
      <c r="AK41" s="22"/>
      <c r="AL41" s="22"/>
      <c r="AM41" s="22"/>
      <c r="AN41" s="22"/>
      <c r="AO41" s="22"/>
      <c r="AP41" s="22"/>
      <c r="AQ41" s="22"/>
      <c r="AR41" s="22"/>
      <c r="AS41" s="22"/>
      <c r="AT41" s="22"/>
      <c r="AU41" s="22"/>
      <c r="AV41" s="22"/>
      <c r="AW41" s="22"/>
    </row>
    <row r="42" spans="2:49" x14ac:dyDescent="0.15">
      <c r="B42" s="22"/>
      <c r="C42" s="22"/>
      <c r="D42" s="22"/>
      <c r="E42" s="22"/>
      <c r="F42" s="22"/>
      <c r="G42" s="22"/>
      <c r="H42" s="22"/>
      <c r="I42" s="22"/>
      <c r="J42" s="22"/>
      <c r="K42" s="22"/>
      <c r="L42" s="22"/>
      <c r="M42" s="22"/>
      <c r="N42" s="22"/>
      <c r="O42" s="22"/>
      <c r="P42" s="22"/>
      <c r="Q42" s="22"/>
      <c r="R42" s="22"/>
      <c r="S42" s="22"/>
      <c r="T42" s="22"/>
      <c r="U42" s="22"/>
      <c r="V42" s="22"/>
      <c r="W42" s="22"/>
      <c r="X42" s="22"/>
      <c r="Y42" s="22"/>
      <c r="Z42" s="22"/>
      <c r="AA42" s="22"/>
      <c r="AB42" s="22"/>
      <c r="AC42" s="22"/>
      <c r="AD42" s="22"/>
      <c r="AE42" s="22"/>
      <c r="AF42" s="22"/>
      <c r="AG42" s="22"/>
      <c r="AH42" s="22"/>
      <c r="AI42" s="22"/>
      <c r="AJ42" s="22"/>
      <c r="AK42" s="22"/>
      <c r="AL42" s="22"/>
      <c r="AM42" s="22"/>
      <c r="AN42" s="22"/>
      <c r="AO42" s="22"/>
      <c r="AP42" s="22"/>
      <c r="AQ42" s="22"/>
      <c r="AR42" s="22"/>
      <c r="AS42" s="22"/>
      <c r="AT42" s="22"/>
      <c r="AU42" s="22"/>
      <c r="AV42" s="22"/>
      <c r="AW42" s="22"/>
    </row>
    <row r="43" spans="2:49" x14ac:dyDescent="0.15">
      <c r="B43" s="22"/>
      <c r="C43" s="22"/>
      <c r="D43" s="22"/>
      <c r="E43" s="22"/>
      <c r="F43" s="22"/>
      <c r="G43" s="22"/>
      <c r="H43" s="22"/>
      <c r="I43" s="22"/>
      <c r="J43" s="22"/>
      <c r="K43" s="22"/>
      <c r="L43" s="22"/>
      <c r="M43" s="22"/>
      <c r="N43" s="22"/>
      <c r="O43" s="22"/>
      <c r="P43" s="22"/>
      <c r="Q43" s="22"/>
      <c r="R43" s="22"/>
      <c r="S43" s="22"/>
      <c r="T43" s="22"/>
      <c r="U43" s="22"/>
      <c r="V43" s="22"/>
      <c r="W43" s="22"/>
      <c r="X43" s="22"/>
      <c r="Y43" s="22"/>
      <c r="Z43" s="22"/>
      <c r="AA43" s="22"/>
      <c r="AB43" s="22"/>
      <c r="AC43" s="22"/>
      <c r="AD43" s="22"/>
      <c r="AE43" s="22"/>
      <c r="AF43" s="22"/>
      <c r="AG43" s="22"/>
      <c r="AH43" s="22"/>
      <c r="AI43" s="22"/>
      <c r="AJ43" s="22"/>
      <c r="AK43" s="22"/>
      <c r="AL43" s="22"/>
      <c r="AM43" s="22"/>
      <c r="AN43" s="22"/>
      <c r="AO43" s="22"/>
      <c r="AP43" s="22"/>
      <c r="AQ43" s="22"/>
      <c r="AR43" s="22"/>
      <c r="AS43" s="22"/>
      <c r="AT43" s="22"/>
      <c r="AU43" s="22"/>
      <c r="AV43" s="22"/>
      <c r="AW43" s="22"/>
    </row>
    <row r="44" spans="2:49" x14ac:dyDescent="0.15">
      <c r="B44" s="22"/>
      <c r="C44" s="22"/>
      <c r="D44" s="22"/>
      <c r="E44" s="22"/>
      <c r="F44" s="22"/>
      <c r="G44" s="22"/>
      <c r="H44" s="22"/>
      <c r="I44" s="22"/>
      <c r="J44" s="22"/>
      <c r="K44" s="22"/>
      <c r="L44" s="22"/>
      <c r="M44" s="22"/>
      <c r="N44" s="22"/>
      <c r="O44" s="22"/>
      <c r="P44" s="22"/>
      <c r="Q44" s="22"/>
      <c r="R44" s="22"/>
      <c r="S44" s="22"/>
      <c r="T44" s="22"/>
      <c r="U44" s="22"/>
      <c r="V44" s="22"/>
      <c r="W44" s="22"/>
      <c r="X44" s="22"/>
      <c r="Y44" s="22"/>
      <c r="Z44" s="22"/>
      <c r="AA44" s="22"/>
      <c r="AB44" s="22"/>
      <c r="AC44" s="22"/>
      <c r="AD44" s="22"/>
      <c r="AE44" s="22"/>
      <c r="AF44" s="22"/>
      <c r="AG44" s="22"/>
      <c r="AH44" s="22"/>
      <c r="AI44" s="22"/>
      <c r="AJ44" s="22"/>
      <c r="AK44" s="22"/>
      <c r="AL44" s="22"/>
      <c r="AM44" s="22"/>
      <c r="AN44" s="22"/>
      <c r="AO44" s="22"/>
      <c r="AP44" s="22"/>
      <c r="AQ44" s="22"/>
      <c r="AR44" s="22"/>
      <c r="AS44" s="22"/>
      <c r="AT44" s="22"/>
      <c r="AU44" s="22"/>
      <c r="AV44" s="22"/>
      <c r="AW44" s="22"/>
    </row>
    <row r="45" spans="2:49" x14ac:dyDescent="0.15">
      <c r="B45" s="22"/>
      <c r="C45" s="22"/>
      <c r="D45" s="22"/>
      <c r="E45" s="22"/>
      <c r="F45" s="22"/>
      <c r="G45" s="22"/>
      <c r="H45" s="22"/>
      <c r="I45" s="22"/>
      <c r="J45" s="22"/>
      <c r="K45" s="22"/>
      <c r="L45" s="22"/>
      <c r="M45" s="22"/>
      <c r="N45" s="22"/>
      <c r="O45" s="22"/>
      <c r="P45" s="22"/>
      <c r="Q45" s="22"/>
      <c r="R45" s="22"/>
      <c r="S45" s="22"/>
      <c r="T45" s="22"/>
      <c r="U45" s="22"/>
      <c r="V45" s="22"/>
      <c r="W45" s="22"/>
      <c r="X45" s="22"/>
      <c r="Y45" s="22"/>
      <c r="Z45" s="22"/>
      <c r="AA45" s="22"/>
      <c r="AB45" s="22"/>
      <c r="AC45" s="22"/>
      <c r="AD45" s="22"/>
      <c r="AE45" s="22"/>
      <c r="AF45" s="22"/>
      <c r="AG45" s="22"/>
      <c r="AH45" s="22"/>
      <c r="AI45" s="22"/>
      <c r="AJ45" s="22"/>
      <c r="AK45" s="22"/>
      <c r="AL45" s="22"/>
      <c r="AM45" s="22"/>
      <c r="AN45" s="22"/>
      <c r="AO45" s="22"/>
      <c r="AP45" s="22"/>
      <c r="AQ45" s="22"/>
      <c r="AR45" s="22"/>
      <c r="AS45" s="22"/>
      <c r="AT45" s="22"/>
      <c r="AU45" s="22"/>
      <c r="AV45" s="22"/>
      <c r="AW45" s="22"/>
    </row>
    <row r="46" spans="2:49" x14ac:dyDescent="0.15">
      <c r="B46" s="22"/>
      <c r="C46" s="22"/>
      <c r="D46" s="22"/>
      <c r="E46" s="22"/>
      <c r="F46" s="22"/>
      <c r="G46" s="22"/>
      <c r="H46" s="22"/>
      <c r="I46" s="22"/>
      <c r="J46" s="22"/>
      <c r="K46" s="22"/>
      <c r="L46" s="22"/>
      <c r="M46" s="22"/>
      <c r="N46" s="22"/>
      <c r="O46" s="22"/>
      <c r="P46" s="22"/>
      <c r="Q46" s="22"/>
      <c r="R46" s="22"/>
      <c r="S46" s="22"/>
      <c r="T46" s="22"/>
      <c r="U46" s="22"/>
      <c r="V46" s="22"/>
      <c r="W46" s="22"/>
      <c r="X46" s="22"/>
      <c r="Y46" s="22"/>
      <c r="Z46" s="22"/>
      <c r="AA46" s="22"/>
      <c r="AB46" s="22"/>
      <c r="AC46" s="22"/>
      <c r="AD46" s="22"/>
      <c r="AE46" s="22"/>
      <c r="AF46" s="22"/>
      <c r="AG46" s="22"/>
      <c r="AH46" s="22"/>
      <c r="AI46" s="22"/>
      <c r="AJ46" s="22"/>
      <c r="AK46" s="22"/>
      <c r="AL46" s="22"/>
      <c r="AM46" s="22"/>
      <c r="AN46" s="22"/>
      <c r="AO46" s="22"/>
      <c r="AP46" s="22"/>
      <c r="AQ46" s="22"/>
      <c r="AR46" s="22"/>
      <c r="AS46" s="22"/>
      <c r="AT46" s="22"/>
      <c r="AU46" s="22"/>
      <c r="AV46" s="22"/>
      <c r="AW46" s="22"/>
    </row>
    <row r="47" spans="2:49" x14ac:dyDescent="0.15">
      <c r="B47" s="22"/>
      <c r="C47" s="22"/>
      <c r="D47" s="22"/>
      <c r="E47" s="22"/>
      <c r="F47" s="22"/>
      <c r="G47" s="22"/>
      <c r="H47" s="22"/>
      <c r="I47" s="22"/>
      <c r="J47" s="22"/>
      <c r="K47" s="22"/>
      <c r="L47" s="22"/>
      <c r="M47" s="22"/>
      <c r="N47" s="22"/>
      <c r="O47" s="22"/>
      <c r="P47" s="22"/>
      <c r="Q47" s="22"/>
      <c r="R47" s="22"/>
      <c r="S47" s="22"/>
      <c r="T47" s="22"/>
      <c r="U47" s="22"/>
      <c r="V47" s="22"/>
      <c r="W47" s="22"/>
      <c r="X47" s="22"/>
      <c r="Y47" s="22"/>
      <c r="Z47" s="22"/>
      <c r="AA47" s="22"/>
      <c r="AB47" s="22"/>
      <c r="AC47" s="22"/>
      <c r="AD47" s="22"/>
      <c r="AE47" s="22"/>
      <c r="AF47" s="22"/>
      <c r="AG47" s="22"/>
      <c r="AH47" s="22"/>
      <c r="AI47" s="22"/>
      <c r="AJ47" s="22"/>
      <c r="AK47" s="22"/>
      <c r="AL47" s="22"/>
      <c r="AM47" s="22"/>
      <c r="AN47" s="22"/>
      <c r="AO47" s="22"/>
      <c r="AP47" s="22"/>
      <c r="AQ47" s="22"/>
      <c r="AR47" s="22"/>
      <c r="AS47" s="22"/>
      <c r="AT47" s="22"/>
      <c r="AU47" s="22"/>
      <c r="AV47" s="22"/>
      <c r="AW47" s="22"/>
    </row>
    <row r="48" spans="2:49" x14ac:dyDescent="0.15">
      <c r="B48" s="22"/>
      <c r="C48" s="22"/>
      <c r="D48" s="22"/>
      <c r="E48" s="22"/>
      <c r="F48" s="22"/>
      <c r="G48" s="22"/>
      <c r="H48" s="22"/>
      <c r="I48" s="22"/>
      <c r="J48" s="22"/>
      <c r="K48" s="22"/>
      <c r="L48" s="22"/>
      <c r="M48" s="22"/>
      <c r="N48" s="22"/>
      <c r="O48" s="22"/>
      <c r="P48" s="22"/>
      <c r="Q48" s="22"/>
      <c r="R48" s="22"/>
      <c r="S48" s="22"/>
      <c r="T48" s="22"/>
      <c r="U48" s="22"/>
      <c r="V48" s="22"/>
      <c r="W48" s="22"/>
      <c r="X48" s="22"/>
      <c r="Y48" s="22"/>
      <c r="Z48" s="22"/>
      <c r="AA48" s="22"/>
      <c r="AB48" s="22"/>
      <c r="AC48" s="22"/>
      <c r="AD48" s="22"/>
      <c r="AE48" s="22"/>
      <c r="AF48" s="22"/>
      <c r="AG48" s="22"/>
      <c r="AH48" s="22"/>
      <c r="AI48" s="22"/>
      <c r="AJ48" s="22"/>
      <c r="AK48" s="22"/>
      <c r="AL48" s="22"/>
      <c r="AM48" s="22"/>
      <c r="AN48" s="22"/>
      <c r="AO48" s="22"/>
      <c r="AP48" s="22"/>
      <c r="AQ48" s="22"/>
      <c r="AR48" s="22"/>
      <c r="AS48" s="22"/>
      <c r="AT48" s="22"/>
      <c r="AU48" s="22"/>
      <c r="AV48" s="22"/>
      <c r="AW48" s="22"/>
    </row>
    <row r="49" spans="2:49" x14ac:dyDescent="0.15">
      <c r="B49" s="22"/>
      <c r="C49" s="22"/>
      <c r="D49" s="22"/>
      <c r="E49" s="22"/>
      <c r="F49" s="22"/>
      <c r="G49" s="22"/>
      <c r="H49" s="22"/>
      <c r="I49" s="22"/>
      <c r="J49" s="22"/>
      <c r="K49" s="22"/>
      <c r="L49" s="22"/>
      <c r="M49" s="22"/>
      <c r="N49" s="22"/>
      <c r="O49" s="22"/>
      <c r="P49" s="22"/>
      <c r="Q49" s="22"/>
      <c r="R49" s="22"/>
      <c r="S49" s="22"/>
      <c r="T49" s="22"/>
      <c r="U49" s="22"/>
      <c r="V49" s="22"/>
      <c r="W49" s="22"/>
      <c r="X49" s="22"/>
      <c r="Y49" s="22"/>
      <c r="Z49" s="22"/>
      <c r="AA49" s="22"/>
      <c r="AB49" s="22"/>
      <c r="AC49" s="22"/>
      <c r="AD49" s="22"/>
      <c r="AE49" s="22"/>
      <c r="AF49" s="22"/>
      <c r="AG49" s="22"/>
      <c r="AH49" s="22"/>
      <c r="AI49" s="22"/>
      <c r="AJ49" s="22"/>
      <c r="AK49" s="22"/>
      <c r="AL49" s="22"/>
      <c r="AM49" s="22"/>
      <c r="AN49" s="22"/>
      <c r="AO49" s="22"/>
      <c r="AP49" s="22"/>
      <c r="AQ49" s="22"/>
      <c r="AR49" s="22"/>
      <c r="AS49" s="22"/>
      <c r="AT49" s="22"/>
      <c r="AU49" s="22"/>
      <c r="AV49" s="22"/>
      <c r="AW49" s="22"/>
    </row>
    <row r="50" spans="2:49" x14ac:dyDescent="0.15">
      <c r="B50" s="22"/>
      <c r="C50" s="22"/>
      <c r="D50" s="22"/>
      <c r="E50" s="22"/>
      <c r="F50" s="22"/>
      <c r="G50" s="22"/>
      <c r="H50" s="22"/>
      <c r="I50" s="22"/>
      <c r="J50" s="22"/>
      <c r="K50" s="22"/>
      <c r="L50" s="22"/>
      <c r="M50" s="22"/>
      <c r="N50" s="22"/>
      <c r="O50" s="22"/>
      <c r="P50" s="22"/>
      <c r="Q50" s="22"/>
      <c r="R50" s="22"/>
      <c r="S50" s="22"/>
      <c r="T50" s="22"/>
      <c r="U50" s="22"/>
      <c r="V50" s="22"/>
      <c r="W50" s="22"/>
      <c r="X50" s="22"/>
      <c r="Y50" s="22"/>
      <c r="Z50" s="22"/>
      <c r="AA50" s="22"/>
      <c r="AB50" s="22"/>
      <c r="AC50" s="22"/>
      <c r="AD50" s="22"/>
      <c r="AE50" s="22"/>
      <c r="AF50" s="22"/>
      <c r="AG50" s="22"/>
      <c r="AH50" s="22"/>
      <c r="AI50" s="22"/>
      <c r="AJ50" s="22"/>
      <c r="AK50" s="22"/>
      <c r="AL50" s="22"/>
      <c r="AM50" s="22"/>
      <c r="AN50" s="22"/>
      <c r="AO50" s="22"/>
      <c r="AP50" s="22"/>
      <c r="AQ50" s="22"/>
      <c r="AR50" s="22"/>
      <c r="AS50" s="22"/>
      <c r="AT50" s="22"/>
      <c r="AU50" s="22"/>
      <c r="AV50" s="22"/>
      <c r="AW50" s="22"/>
    </row>
    <row r="51" spans="2:49" x14ac:dyDescent="0.15">
      <c r="B51" s="22"/>
      <c r="C51" s="22"/>
      <c r="D51" s="22"/>
      <c r="E51" s="22"/>
      <c r="F51" s="22"/>
      <c r="G51" s="22"/>
      <c r="H51" s="22"/>
      <c r="I51" s="22"/>
      <c r="J51" s="22"/>
      <c r="K51" s="22"/>
      <c r="L51" s="22"/>
      <c r="M51" s="22"/>
      <c r="N51" s="22"/>
      <c r="O51" s="22"/>
      <c r="P51" s="22"/>
      <c r="Q51" s="22"/>
      <c r="R51" s="22"/>
      <c r="S51" s="22"/>
      <c r="T51" s="22"/>
      <c r="U51" s="22"/>
      <c r="V51" s="22"/>
      <c r="W51" s="22"/>
      <c r="X51" s="22"/>
      <c r="Y51" s="22"/>
      <c r="Z51" s="22"/>
      <c r="AA51" s="22"/>
      <c r="AB51" s="22"/>
      <c r="AC51" s="22"/>
      <c r="AD51" s="22"/>
      <c r="AE51" s="22"/>
      <c r="AF51" s="22"/>
      <c r="AG51" s="22"/>
      <c r="AH51" s="22"/>
      <c r="AI51" s="22"/>
      <c r="AJ51" s="22"/>
      <c r="AK51" s="22"/>
      <c r="AL51" s="22"/>
      <c r="AM51" s="22"/>
      <c r="AN51" s="22"/>
      <c r="AO51" s="22"/>
      <c r="AP51" s="22"/>
      <c r="AQ51" s="22"/>
      <c r="AR51" s="22"/>
      <c r="AS51" s="22"/>
      <c r="AT51" s="22"/>
      <c r="AU51" s="22"/>
      <c r="AV51" s="22"/>
      <c r="AW51" s="22"/>
    </row>
    <row r="52" spans="2:49" x14ac:dyDescent="0.15">
      <c r="B52" s="22"/>
      <c r="C52" s="22"/>
      <c r="D52" s="22"/>
      <c r="E52" s="22"/>
      <c r="F52" s="22"/>
      <c r="G52" s="22"/>
      <c r="H52" s="22"/>
      <c r="I52" s="22"/>
      <c r="J52" s="22"/>
      <c r="K52" s="22"/>
      <c r="L52" s="22"/>
      <c r="M52" s="22"/>
      <c r="N52" s="22"/>
      <c r="O52" s="22"/>
      <c r="P52" s="22"/>
      <c r="Q52" s="22"/>
      <c r="R52" s="22"/>
      <c r="S52" s="22"/>
      <c r="T52" s="22"/>
      <c r="U52" s="22"/>
      <c r="V52" s="22"/>
      <c r="W52" s="22"/>
      <c r="X52" s="22"/>
      <c r="Y52" s="22"/>
      <c r="Z52" s="22"/>
      <c r="AA52" s="22"/>
      <c r="AB52" s="22"/>
      <c r="AC52" s="22"/>
      <c r="AD52" s="22"/>
      <c r="AE52" s="22"/>
      <c r="AF52" s="22"/>
      <c r="AG52" s="22"/>
      <c r="AH52" s="22"/>
      <c r="AI52" s="22"/>
      <c r="AJ52" s="22"/>
      <c r="AK52" s="22"/>
      <c r="AL52" s="22"/>
      <c r="AM52" s="22"/>
      <c r="AN52" s="22"/>
      <c r="AO52" s="22"/>
      <c r="AP52" s="22"/>
      <c r="AQ52" s="22"/>
      <c r="AR52" s="22"/>
      <c r="AS52" s="22"/>
      <c r="AT52" s="22"/>
      <c r="AU52" s="22"/>
      <c r="AV52" s="22"/>
      <c r="AW52" s="22"/>
    </row>
    <row r="53" spans="2:49" x14ac:dyDescent="0.15">
      <c r="B53" s="22"/>
      <c r="C53" s="22"/>
      <c r="D53" s="22"/>
      <c r="E53" s="22"/>
      <c r="F53" s="22"/>
      <c r="G53" s="22"/>
      <c r="H53" s="22"/>
      <c r="I53" s="22"/>
      <c r="J53" s="22"/>
      <c r="K53" s="22"/>
      <c r="L53" s="22"/>
      <c r="M53" s="22"/>
      <c r="N53" s="22"/>
      <c r="O53" s="22"/>
      <c r="P53" s="22"/>
      <c r="Q53" s="22"/>
      <c r="R53" s="22"/>
      <c r="S53" s="22"/>
      <c r="T53" s="22"/>
      <c r="U53" s="22"/>
      <c r="V53" s="22"/>
      <c r="W53" s="22"/>
      <c r="X53" s="22"/>
      <c r="Y53" s="22"/>
      <c r="Z53" s="22"/>
      <c r="AA53" s="22"/>
      <c r="AB53" s="22"/>
      <c r="AC53" s="22"/>
      <c r="AD53" s="22"/>
      <c r="AE53" s="22"/>
      <c r="AF53" s="22"/>
      <c r="AG53" s="22"/>
      <c r="AH53" s="22"/>
      <c r="AI53" s="22"/>
      <c r="AJ53" s="22"/>
      <c r="AK53" s="22"/>
      <c r="AL53" s="22"/>
      <c r="AM53" s="22"/>
      <c r="AN53" s="22"/>
      <c r="AO53" s="22"/>
      <c r="AP53" s="22"/>
      <c r="AQ53" s="22"/>
      <c r="AR53" s="22"/>
      <c r="AS53" s="22"/>
      <c r="AT53" s="22"/>
      <c r="AU53" s="22"/>
      <c r="AV53" s="22"/>
      <c r="AW53" s="22"/>
    </row>
    <row r="54" spans="2:49" x14ac:dyDescent="0.15">
      <c r="B54" s="22"/>
      <c r="C54" s="22"/>
      <c r="D54" s="22"/>
      <c r="E54" s="22"/>
      <c r="F54" s="22"/>
      <c r="G54" s="22"/>
      <c r="H54" s="22"/>
      <c r="I54" s="22"/>
      <c r="J54" s="22"/>
      <c r="K54" s="22"/>
      <c r="L54" s="22"/>
      <c r="M54" s="22"/>
      <c r="N54" s="22"/>
      <c r="O54" s="22"/>
      <c r="P54" s="22"/>
      <c r="Q54" s="22"/>
      <c r="R54" s="22"/>
      <c r="S54" s="22"/>
      <c r="T54" s="22"/>
      <c r="U54" s="22"/>
      <c r="V54" s="22"/>
      <c r="W54" s="22"/>
      <c r="X54" s="22"/>
      <c r="Y54" s="22"/>
      <c r="Z54" s="22"/>
      <c r="AA54" s="22"/>
      <c r="AB54" s="22"/>
      <c r="AC54" s="22"/>
      <c r="AD54" s="22"/>
      <c r="AE54" s="22"/>
      <c r="AF54" s="22"/>
      <c r="AG54" s="22"/>
      <c r="AH54" s="22"/>
      <c r="AI54" s="22"/>
      <c r="AJ54" s="22"/>
      <c r="AK54" s="22"/>
      <c r="AL54" s="22"/>
      <c r="AM54" s="22"/>
      <c r="AN54" s="22"/>
      <c r="AO54" s="22"/>
      <c r="AP54" s="22"/>
      <c r="AQ54" s="22"/>
      <c r="AR54" s="22"/>
      <c r="AS54" s="22"/>
      <c r="AT54" s="22"/>
      <c r="AU54" s="22"/>
      <c r="AV54" s="22"/>
      <c r="AW54" s="22"/>
    </row>
    <row r="55" spans="2:49" x14ac:dyDescent="0.15">
      <c r="B55" s="22"/>
      <c r="C55" s="22"/>
      <c r="D55" s="22"/>
      <c r="E55" s="22"/>
      <c r="F55" s="22"/>
      <c r="G55" s="22"/>
      <c r="H55" s="22"/>
      <c r="I55" s="22"/>
      <c r="J55" s="22"/>
      <c r="K55" s="22"/>
      <c r="L55" s="22"/>
      <c r="M55" s="22"/>
      <c r="N55" s="22"/>
      <c r="O55" s="22"/>
      <c r="P55" s="22"/>
      <c r="Q55" s="22"/>
      <c r="R55" s="22"/>
      <c r="S55" s="22"/>
      <c r="T55" s="22"/>
      <c r="U55" s="22"/>
      <c r="V55" s="22"/>
      <c r="W55" s="22"/>
      <c r="X55" s="22"/>
      <c r="Y55" s="22"/>
      <c r="Z55" s="22"/>
      <c r="AA55" s="22"/>
      <c r="AB55" s="22"/>
      <c r="AC55" s="22"/>
      <c r="AD55" s="22"/>
      <c r="AE55" s="22"/>
      <c r="AF55" s="22"/>
      <c r="AG55" s="22"/>
      <c r="AH55" s="22"/>
      <c r="AI55" s="22"/>
      <c r="AJ55" s="22"/>
      <c r="AK55" s="22"/>
      <c r="AL55" s="22"/>
      <c r="AM55" s="22"/>
      <c r="AN55" s="22"/>
      <c r="AO55" s="22"/>
      <c r="AP55" s="22"/>
      <c r="AQ55" s="22"/>
      <c r="AR55" s="22"/>
      <c r="AS55" s="22"/>
      <c r="AT55" s="22"/>
      <c r="AU55" s="22"/>
      <c r="AV55" s="22"/>
      <c r="AW55" s="22"/>
    </row>
    <row r="56" spans="2:49" x14ac:dyDescent="0.15">
      <c r="B56" s="22"/>
      <c r="C56" s="22"/>
      <c r="D56" s="22"/>
      <c r="E56" s="22"/>
      <c r="F56" s="22"/>
      <c r="G56" s="22"/>
      <c r="H56" s="22"/>
      <c r="I56" s="22"/>
      <c r="J56" s="22"/>
      <c r="K56" s="22"/>
      <c r="L56" s="22"/>
      <c r="M56" s="22"/>
      <c r="N56" s="22"/>
      <c r="O56" s="22"/>
      <c r="P56" s="22"/>
      <c r="Q56" s="22"/>
      <c r="R56" s="22"/>
      <c r="S56" s="22"/>
      <c r="T56" s="22"/>
      <c r="U56" s="22"/>
      <c r="V56" s="22"/>
      <c r="W56" s="22"/>
      <c r="X56" s="22"/>
      <c r="Y56" s="22"/>
      <c r="Z56" s="22"/>
      <c r="AA56" s="22"/>
      <c r="AB56" s="22"/>
      <c r="AC56" s="22"/>
      <c r="AD56" s="22"/>
      <c r="AE56" s="22"/>
      <c r="AF56" s="22"/>
      <c r="AG56" s="22"/>
      <c r="AH56" s="22"/>
      <c r="AI56" s="22"/>
      <c r="AJ56" s="22"/>
      <c r="AK56" s="22"/>
      <c r="AL56" s="22"/>
      <c r="AM56" s="22"/>
      <c r="AN56" s="22"/>
      <c r="AO56" s="22"/>
      <c r="AP56" s="22"/>
      <c r="AQ56" s="22"/>
      <c r="AR56" s="22"/>
      <c r="AS56" s="22"/>
      <c r="AT56" s="22"/>
      <c r="AU56" s="22"/>
      <c r="AV56" s="22"/>
      <c r="AW56" s="22"/>
    </row>
    <row r="57" spans="2:49" x14ac:dyDescent="0.15">
      <c r="B57" s="22"/>
      <c r="C57" s="22"/>
      <c r="D57" s="22"/>
      <c r="E57" s="22"/>
      <c r="F57" s="22"/>
      <c r="G57" s="22"/>
      <c r="H57" s="22"/>
      <c r="I57" s="22"/>
      <c r="J57" s="22"/>
      <c r="K57" s="22"/>
      <c r="L57" s="22"/>
      <c r="M57" s="22"/>
      <c r="N57" s="22"/>
      <c r="O57" s="22"/>
      <c r="P57" s="22"/>
      <c r="Q57" s="22"/>
      <c r="R57" s="22"/>
      <c r="S57" s="22"/>
      <c r="T57" s="22"/>
      <c r="U57" s="22"/>
      <c r="V57" s="22"/>
      <c r="W57" s="22"/>
      <c r="X57" s="22"/>
      <c r="Y57" s="22"/>
      <c r="Z57" s="22"/>
      <c r="AA57" s="22"/>
      <c r="AB57" s="22"/>
      <c r="AC57" s="22"/>
      <c r="AD57" s="22"/>
      <c r="AE57" s="22"/>
      <c r="AF57" s="22"/>
      <c r="AG57" s="22"/>
      <c r="AH57" s="22"/>
      <c r="AI57" s="22"/>
      <c r="AJ57" s="22"/>
      <c r="AK57" s="22"/>
      <c r="AL57" s="22"/>
      <c r="AM57" s="22"/>
      <c r="AN57" s="22"/>
      <c r="AO57" s="22"/>
      <c r="AP57" s="22"/>
      <c r="AQ57" s="22"/>
      <c r="AR57" s="22"/>
      <c r="AS57" s="22"/>
      <c r="AT57" s="22"/>
      <c r="AU57" s="22"/>
      <c r="AV57" s="22"/>
      <c r="AW57" s="22"/>
    </row>
    <row r="58" spans="2:49" x14ac:dyDescent="0.15">
      <c r="B58" s="22"/>
      <c r="C58" s="22"/>
      <c r="D58" s="22"/>
      <c r="E58" s="22"/>
      <c r="F58" s="22"/>
      <c r="G58" s="22"/>
      <c r="H58" s="22"/>
      <c r="I58" s="22"/>
      <c r="J58" s="22"/>
      <c r="K58" s="22"/>
      <c r="L58" s="22"/>
      <c r="M58" s="22"/>
      <c r="N58" s="22"/>
      <c r="O58" s="22"/>
      <c r="P58" s="22"/>
      <c r="Q58" s="22"/>
      <c r="R58" s="22"/>
      <c r="S58" s="22"/>
      <c r="T58" s="22"/>
      <c r="U58" s="22"/>
      <c r="V58" s="22"/>
      <c r="W58" s="22"/>
      <c r="X58" s="22"/>
      <c r="Y58" s="22"/>
      <c r="Z58" s="22"/>
      <c r="AA58" s="22"/>
      <c r="AB58" s="22"/>
      <c r="AC58" s="22"/>
      <c r="AD58" s="22"/>
      <c r="AE58" s="22"/>
      <c r="AF58" s="22"/>
      <c r="AG58" s="22"/>
      <c r="AH58" s="22"/>
      <c r="AI58" s="22"/>
      <c r="AJ58" s="22"/>
      <c r="AK58" s="22"/>
      <c r="AL58" s="22"/>
      <c r="AM58" s="22"/>
      <c r="AN58" s="22"/>
      <c r="AO58" s="22"/>
      <c r="AP58" s="22"/>
      <c r="AQ58" s="22"/>
      <c r="AR58" s="22"/>
      <c r="AS58" s="22"/>
      <c r="AT58" s="22"/>
      <c r="AU58" s="22"/>
      <c r="AV58" s="22"/>
      <c r="AW58" s="22"/>
    </row>
    <row r="59" spans="2:49" x14ac:dyDescent="0.15">
      <c r="B59" s="22"/>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row>
    <row r="60" spans="2:49" x14ac:dyDescent="0.15">
      <c r="B60" s="22"/>
      <c r="C60" s="22"/>
      <c r="D60" s="22"/>
      <c r="E60" s="22"/>
      <c r="F60" s="22"/>
      <c r="G60" s="22"/>
      <c r="H60" s="22"/>
      <c r="I60" s="22"/>
      <c r="J60" s="22"/>
      <c r="K60" s="22"/>
      <c r="L60" s="22"/>
      <c r="M60" s="22"/>
      <c r="N60" s="22"/>
      <c r="O60" s="22"/>
      <c r="P60" s="22"/>
      <c r="Q60" s="22"/>
      <c r="R60" s="22"/>
      <c r="S60" s="22"/>
      <c r="T60" s="22"/>
      <c r="U60" s="22"/>
      <c r="V60" s="22"/>
      <c r="W60" s="22"/>
      <c r="X60" s="22"/>
      <c r="Y60" s="22"/>
      <c r="Z60" s="22"/>
      <c r="AA60" s="22"/>
      <c r="AB60" s="22"/>
      <c r="AC60" s="22"/>
      <c r="AD60" s="22"/>
      <c r="AE60" s="22"/>
      <c r="AF60" s="22"/>
      <c r="AG60" s="22"/>
      <c r="AH60" s="22"/>
      <c r="AI60" s="22"/>
      <c r="AJ60" s="22"/>
      <c r="AK60" s="22"/>
      <c r="AL60" s="22"/>
      <c r="AM60" s="22"/>
      <c r="AN60" s="22"/>
      <c r="AO60" s="22"/>
      <c r="AP60" s="22"/>
      <c r="AQ60" s="22"/>
      <c r="AR60" s="22"/>
      <c r="AS60" s="22"/>
      <c r="AT60" s="22"/>
      <c r="AU60" s="22"/>
      <c r="AV60" s="22"/>
      <c r="AW60" s="22"/>
    </row>
    <row r="61" spans="2:49" x14ac:dyDescent="0.15">
      <c r="B61" s="22"/>
      <c r="C61" s="22"/>
      <c r="D61" s="22"/>
      <c r="E61" s="22"/>
      <c r="F61" s="22"/>
      <c r="G61" s="22"/>
      <c r="H61" s="22"/>
      <c r="I61" s="22"/>
      <c r="J61" s="22"/>
      <c r="K61" s="22"/>
      <c r="L61" s="22"/>
      <c r="M61" s="22"/>
      <c r="N61" s="22"/>
      <c r="O61" s="22"/>
      <c r="P61" s="22"/>
      <c r="Q61" s="22"/>
      <c r="R61" s="22"/>
      <c r="S61" s="22"/>
      <c r="T61" s="22"/>
      <c r="U61" s="22"/>
      <c r="V61" s="22"/>
      <c r="W61" s="22"/>
      <c r="X61" s="22"/>
      <c r="Y61" s="22"/>
      <c r="Z61" s="22"/>
      <c r="AA61" s="22"/>
      <c r="AB61" s="22"/>
      <c r="AC61" s="22"/>
      <c r="AD61" s="22"/>
      <c r="AE61" s="22"/>
      <c r="AF61" s="22"/>
      <c r="AG61" s="22"/>
      <c r="AH61" s="22"/>
      <c r="AI61" s="22"/>
      <c r="AJ61" s="22"/>
      <c r="AK61" s="22"/>
      <c r="AL61" s="22"/>
      <c r="AM61" s="22"/>
      <c r="AN61" s="22"/>
      <c r="AO61" s="22"/>
      <c r="AP61" s="22"/>
      <c r="AQ61" s="22"/>
      <c r="AR61" s="22"/>
      <c r="AS61" s="22"/>
      <c r="AT61" s="22"/>
      <c r="AU61" s="22"/>
      <c r="AV61" s="22"/>
      <c r="AW61" s="22"/>
    </row>
    <row r="62" spans="2:49" x14ac:dyDescent="0.15">
      <c r="B62" s="22"/>
      <c r="C62" s="22"/>
      <c r="D62" s="22"/>
      <c r="E62" s="22"/>
      <c r="F62" s="22"/>
      <c r="G62" s="22"/>
      <c r="H62" s="22"/>
      <c r="I62" s="22"/>
      <c r="J62" s="22"/>
      <c r="K62" s="22"/>
      <c r="L62" s="22"/>
      <c r="M62" s="22"/>
      <c r="N62" s="22"/>
      <c r="O62" s="22"/>
      <c r="P62" s="22"/>
      <c r="Q62" s="22"/>
      <c r="R62" s="22"/>
      <c r="S62" s="22"/>
      <c r="T62" s="22"/>
      <c r="U62" s="22"/>
      <c r="V62" s="22"/>
      <c r="W62" s="22"/>
      <c r="X62" s="22"/>
      <c r="Y62" s="22"/>
      <c r="Z62" s="22"/>
      <c r="AA62" s="22"/>
      <c r="AB62" s="22"/>
      <c r="AC62" s="22"/>
      <c r="AD62" s="22"/>
      <c r="AE62" s="22"/>
      <c r="AF62" s="22"/>
      <c r="AG62" s="22"/>
      <c r="AH62" s="22"/>
      <c r="AI62" s="22"/>
      <c r="AJ62" s="22"/>
      <c r="AK62" s="22"/>
      <c r="AL62" s="22"/>
      <c r="AM62" s="22"/>
      <c r="AN62" s="22"/>
      <c r="AO62" s="22"/>
      <c r="AP62" s="22"/>
      <c r="AQ62" s="22"/>
      <c r="AR62" s="22"/>
      <c r="AS62" s="22"/>
      <c r="AT62" s="22"/>
      <c r="AU62" s="22"/>
      <c r="AV62" s="22"/>
      <c r="AW62" s="22"/>
    </row>
    <row r="63" spans="2:49" x14ac:dyDescent="0.15">
      <c r="B63" s="22"/>
      <c r="C63" s="22"/>
      <c r="D63" s="22"/>
      <c r="E63" s="22"/>
      <c r="F63" s="22"/>
      <c r="G63" s="22"/>
      <c r="H63" s="22"/>
      <c r="I63" s="22"/>
      <c r="J63" s="22"/>
      <c r="K63" s="22"/>
      <c r="L63" s="22"/>
      <c r="M63" s="22"/>
      <c r="N63" s="22"/>
      <c r="O63" s="22"/>
      <c r="P63" s="22"/>
      <c r="Q63" s="22"/>
      <c r="R63" s="22"/>
      <c r="S63" s="22"/>
      <c r="T63" s="22"/>
      <c r="U63" s="22"/>
      <c r="V63" s="22"/>
      <c r="W63" s="22"/>
      <c r="X63" s="22"/>
      <c r="Y63" s="22"/>
      <c r="Z63" s="22"/>
      <c r="AA63" s="22"/>
      <c r="AB63" s="22"/>
      <c r="AC63" s="22"/>
      <c r="AD63" s="22"/>
      <c r="AE63" s="22"/>
      <c r="AF63" s="22"/>
      <c r="AG63" s="22"/>
      <c r="AH63" s="22"/>
      <c r="AI63" s="22"/>
      <c r="AJ63" s="22"/>
      <c r="AK63" s="22"/>
      <c r="AL63" s="22"/>
      <c r="AM63" s="22"/>
      <c r="AN63" s="22"/>
      <c r="AO63" s="22"/>
      <c r="AP63" s="22"/>
      <c r="AQ63" s="22"/>
      <c r="AR63" s="22"/>
      <c r="AS63" s="22"/>
      <c r="AT63" s="22"/>
      <c r="AU63" s="22"/>
      <c r="AV63" s="22"/>
      <c r="AW63" s="22"/>
    </row>
    <row r="64" spans="2:49" x14ac:dyDescent="0.15">
      <c r="B64" s="22"/>
      <c r="C64" s="22"/>
      <c r="D64" s="22"/>
      <c r="E64" s="22"/>
      <c r="F64" s="22"/>
      <c r="G64" s="22"/>
      <c r="H64" s="22"/>
      <c r="I64" s="22"/>
      <c r="J64" s="22"/>
      <c r="K64" s="22"/>
      <c r="L64" s="22"/>
      <c r="M64" s="22"/>
      <c r="N64" s="22"/>
      <c r="O64" s="22"/>
      <c r="P64" s="22"/>
      <c r="Q64" s="22"/>
      <c r="R64" s="22"/>
      <c r="S64" s="22"/>
      <c r="T64" s="22"/>
      <c r="U64" s="22"/>
      <c r="V64" s="22"/>
      <c r="W64" s="22"/>
      <c r="X64" s="22"/>
      <c r="Y64" s="22"/>
      <c r="Z64" s="22"/>
      <c r="AA64" s="22"/>
      <c r="AB64" s="22"/>
      <c r="AC64" s="22"/>
      <c r="AD64" s="22"/>
      <c r="AE64" s="22"/>
      <c r="AF64" s="22"/>
      <c r="AG64" s="22"/>
      <c r="AH64" s="22"/>
      <c r="AI64" s="22"/>
      <c r="AJ64" s="22"/>
      <c r="AK64" s="22"/>
      <c r="AL64" s="22"/>
      <c r="AM64" s="22"/>
      <c r="AN64" s="22"/>
      <c r="AO64" s="22"/>
      <c r="AP64" s="22"/>
      <c r="AQ64" s="22"/>
      <c r="AR64" s="22"/>
      <c r="AS64" s="22"/>
      <c r="AT64" s="22"/>
      <c r="AU64" s="22"/>
      <c r="AV64" s="22"/>
      <c r="AW64" s="22"/>
    </row>
    <row r="65" spans="2:49" x14ac:dyDescent="0.15">
      <c r="B65" s="22"/>
      <c r="C65" s="22"/>
      <c r="D65" s="22"/>
      <c r="E65" s="22"/>
      <c r="F65" s="22"/>
      <c r="G65" s="22"/>
      <c r="H65" s="22"/>
      <c r="I65" s="22"/>
      <c r="J65" s="22"/>
      <c r="K65" s="22"/>
      <c r="L65" s="22"/>
      <c r="M65" s="22"/>
      <c r="N65" s="22"/>
      <c r="O65" s="22"/>
      <c r="P65" s="22"/>
      <c r="Q65" s="22"/>
      <c r="R65" s="22"/>
      <c r="S65" s="22"/>
      <c r="T65" s="22"/>
      <c r="U65" s="22"/>
      <c r="V65" s="22"/>
      <c r="W65" s="22"/>
      <c r="X65" s="22"/>
      <c r="Y65" s="22"/>
      <c r="Z65" s="22"/>
      <c r="AA65" s="22"/>
      <c r="AB65" s="22"/>
      <c r="AC65" s="22"/>
      <c r="AD65" s="22"/>
      <c r="AE65" s="22"/>
      <c r="AF65" s="22"/>
      <c r="AG65" s="22"/>
      <c r="AH65" s="22"/>
      <c r="AI65" s="22"/>
      <c r="AJ65" s="22"/>
      <c r="AK65" s="22"/>
      <c r="AL65" s="22"/>
      <c r="AM65" s="22"/>
      <c r="AN65" s="22"/>
      <c r="AO65" s="22"/>
      <c r="AP65" s="22"/>
      <c r="AQ65" s="22"/>
      <c r="AR65" s="22"/>
      <c r="AS65" s="22"/>
      <c r="AT65" s="22"/>
      <c r="AU65" s="22"/>
      <c r="AV65" s="22"/>
      <c r="AW65" s="22"/>
    </row>
    <row r="66" spans="2:49" x14ac:dyDescent="0.15">
      <c r="B66" s="22"/>
      <c r="C66" s="22"/>
      <c r="D66" s="22"/>
      <c r="E66" s="22"/>
      <c r="F66" s="22"/>
      <c r="G66" s="22"/>
      <c r="H66" s="22"/>
      <c r="I66" s="22"/>
      <c r="J66" s="22"/>
      <c r="K66" s="22"/>
      <c r="L66" s="22"/>
      <c r="M66" s="22"/>
      <c r="N66" s="22"/>
      <c r="O66" s="22"/>
      <c r="P66" s="22"/>
      <c r="Q66" s="22"/>
      <c r="R66" s="22"/>
      <c r="S66" s="22"/>
      <c r="T66" s="22"/>
      <c r="U66" s="22"/>
      <c r="V66" s="22"/>
      <c r="W66" s="22"/>
      <c r="X66" s="22"/>
      <c r="Y66" s="22"/>
      <c r="Z66" s="22"/>
      <c r="AA66" s="22"/>
      <c r="AB66" s="22"/>
      <c r="AC66" s="22"/>
      <c r="AD66" s="22"/>
      <c r="AE66" s="22"/>
      <c r="AF66" s="22"/>
      <c r="AG66" s="22"/>
      <c r="AH66" s="22"/>
      <c r="AI66" s="22"/>
      <c r="AJ66" s="22"/>
      <c r="AK66" s="22"/>
      <c r="AL66" s="22"/>
      <c r="AM66" s="22"/>
      <c r="AN66" s="22"/>
      <c r="AO66" s="22"/>
      <c r="AP66" s="22"/>
      <c r="AQ66" s="22"/>
      <c r="AR66" s="22"/>
      <c r="AS66" s="22"/>
      <c r="AT66" s="22"/>
      <c r="AU66" s="22"/>
      <c r="AV66" s="22"/>
      <c r="AW66" s="22"/>
    </row>
    <row r="67" spans="2:49" x14ac:dyDescent="0.15">
      <c r="B67" s="22"/>
      <c r="C67" s="22"/>
      <c r="D67" s="22"/>
      <c r="E67" s="22"/>
      <c r="F67" s="22"/>
      <c r="G67" s="22"/>
      <c r="H67" s="22"/>
      <c r="I67" s="22"/>
      <c r="J67" s="22"/>
      <c r="K67" s="22"/>
      <c r="L67" s="22"/>
      <c r="M67" s="22"/>
      <c r="N67" s="22"/>
      <c r="O67" s="22"/>
      <c r="P67" s="22"/>
      <c r="Q67" s="22"/>
      <c r="R67" s="22"/>
      <c r="S67" s="22"/>
      <c r="T67" s="22"/>
      <c r="U67" s="22"/>
      <c r="V67" s="22"/>
      <c r="W67" s="22"/>
      <c r="X67" s="22"/>
      <c r="Y67" s="22"/>
      <c r="Z67" s="22"/>
      <c r="AA67" s="22"/>
      <c r="AB67" s="22"/>
      <c r="AC67" s="22"/>
      <c r="AD67" s="22"/>
      <c r="AE67" s="22"/>
      <c r="AF67" s="22"/>
      <c r="AG67" s="22"/>
      <c r="AH67" s="22"/>
      <c r="AI67" s="22"/>
      <c r="AJ67" s="22"/>
      <c r="AK67" s="22"/>
      <c r="AL67" s="22"/>
      <c r="AM67" s="22"/>
      <c r="AN67" s="22"/>
      <c r="AO67" s="22"/>
      <c r="AP67" s="22"/>
      <c r="AQ67" s="22"/>
      <c r="AR67" s="22"/>
      <c r="AS67" s="22"/>
      <c r="AT67" s="22"/>
      <c r="AU67" s="22"/>
      <c r="AV67" s="22"/>
      <c r="AW67" s="22"/>
    </row>
    <row r="68" spans="2:49" x14ac:dyDescent="0.15">
      <c r="B68" s="22"/>
      <c r="C68" s="22"/>
      <c r="D68" s="22"/>
      <c r="E68" s="22"/>
      <c r="F68" s="22"/>
      <c r="G68" s="22"/>
      <c r="H68" s="22"/>
      <c r="I68" s="22"/>
      <c r="J68" s="22"/>
      <c r="K68" s="22"/>
      <c r="L68" s="22"/>
      <c r="M68" s="22"/>
      <c r="N68" s="22"/>
      <c r="O68" s="22"/>
      <c r="P68" s="22"/>
      <c r="Q68" s="22"/>
      <c r="R68" s="22"/>
      <c r="S68" s="22"/>
      <c r="T68" s="22"/>
      <c r="U68" s="22"/>
      <c r="V68" s="22"/>
      <c r="W68" s="22"/>
      <c r="X68" s="22"/>
      <c r="Y68" s="22"/>
      <c r="Z68" s="22"/>
      <c r="AA68" s="22"/>
      <c r="AB68" s="22"/>
      <c r="AC68" s="22"/>
      <c r="AD68" s="22"/>
      <c r="AE68" s="22"/>
      <c r="AF68" s="22"/>
      <c r="AG68" s="22"/>
      <c r="AH68" s="22"/>
      <c r="AI68" s="22"/>
      <c r="AJ68" s="22"/>
      <c r="AK68" s="22"/>
      <c r="AL68" s="22"/>
      <c r="AM68" s="22"/>
      <c r="AN68" s="22"/>
      <c r="AO68" s="22"/>
      <c r="AP68" s="22"/>
      <c r="AQ68" s="22"/>
      <c r="AR68" s="22"/>
      <c r="AS68" s="22"/>
      <c r="AT68" s="22"/>
      <c r="AU68" s="22"/>
      <c r="AV68" s="22"/>
      <c r="AW68" s="22"/>
    </row>
    <row r="69" spans="2:49" x14ac:dyDescent="0.15">
      <c r="B69" s="22"/>
      <c r="C69" s="22"/>
      <c r="D69" s="22"/>
      <c r="E69" s="22"/>
      <c r="F69" s="22"/>
      <c r="G69" s="22"/>
      <c r="H69" s="22"/>
      <c r="I69" s="22"/>
      <c r="J69" s="22"/>
      <c r="K69" s="22"/>
      <c r="L69" s="22"/>
      <c r="M69" s="22"/>
      <c r="N69" s="22"/>
      <c r="O69" s="22"/>
      <c r="P69" s="22"/>
      <c r="Q69" s="22"/>
      <c r="R69" s="22"/>
      <c r="S69" s="22"/>
      <c r="T69" s="22"/>
      <c r="U69" s="22"/>
      <c r="V69" s="22"/>
      <c r="W69" s="22"/>
      <c r="X69" s="22"/>
      <c r="Y69" s="22"/>
      <c r="Z69" s="22"/>
      <c r="AA69" s="22"/>
      <c r="AB69" s="22"/>
      <c r="AC69" s="22"/>
      <c r="AD69" s="22"/>
      <c r="AE69" s="22"/>
      <c r="AF69" s="22"/>
      <c r="AG69" s="22"/>
      <c r="AH69" s="22"/>
      <c r="AI69" s="22"/>
      <c r="AJ69" s="22"/>
      <c r="AK69" s="22"/>
      <c r="AL69" s="22"/>
      <c r="AM69" s="22"/>
      <c r="AN69" s="22"/>
      <c r="AO69" s="22"/>
      <c r="AP69" s="22"/>
      <c r="AQ69" s="22"/>
      <c r="AR69" s="22"/>
      <c r="AS69" s="22"/>
      <c r="AT69" s="22"/>
      <c r="AU69" s="22"/>
      <c r="AV69" s="22"/>
      <c r="AW69" s="22"/>
    </row>
    <row r="70" spans="2:49" x14ac:dyDescent="0.15">
      <c r="B70" s="22"/>
      <c r="C70" s="22"/>
      <c r="D70" s="22"/>
      <c r="E70" s="22"/>
      <c r="F70" s="22"/>
      <c r="G70" s="22"/>
      <c r="H70" s="22"/>
      <c r="I70" s="22"/>
      <c r="J70" s="22"/>
      <c r="K70" s="22"/>
      <c r="L70" s="22"/>
      <c r="M70" s="22"/>
      <c r="N70" s="22"/>
      <c r="O70" s="22"/>
      <c r="P70" s="22"/>
      <c r="Q70" s="22"/>
      <c r="R70" s="22"/>
      <c r="S70" s="22"/>
      <c r="T70" s="22"/>
      <c r="U70" s="22"/>
      <c r="V70" s="22"/>
      <c r="W70" s="22"/>
      <c r="X70" s="22"/>
      <c r="Y70" s="22"/>
      <c r="Z70" s="22"/>
      <c r="AA70" s="22"/>
      <c r="AB70" s="22"/>
      <c r="AC70" s="22"/>
      <c r="AD70" s="22"/>
      <c r="AE70" s="22"/>
      <c r="AF70" s="22"/>
      <c r="AG70" s="22"/>
      <c r="AH70" s="22"/>
      <c r="AI70" s="22"/>
      <c r="AJ70" s="22"/>
      <c r="AK70" s="22"/>
      <c r="AL70" s="22"/>
      <c r="AM70" s="22"/>
      <c r="AN70" s="22"/>
      <c r="AO70" s="22"/>
      <c r="AP70" s="22"/>
      <c r="AQ70" s="22"/>
      <c r="AR70" s="22"/>
      <c r="AS70" s="22"/>
      <c r="AT70" s="22"/>
      <c r="AU70" s="22"/>
      <c r="AV70" s="22"/>
      <c r="AW70" s="22"/>
    </row>
    <row r="71" spans="2:49" x14ac:dyDescent="0.15">
      <c r="B71" s="22"/>
      <c r="C71" s="22"/>
      <c r="D71" s="22"/>
      <c r="E71" s="22"/>
      <c r="F71" s="22"/>
      <c r="G71" s="22"/>
      <c r="H71" s="22"/>
      <c r="I71" s="22"/>
      <c r="J71" s="22"/>
      <c r="K71" s="22"/>
      <c r="L71" s="22"/>
      <c r="M71" s="22"/>
      <c r="N71" s="22"/>
      <c r="O71" s="22"/>
      <c r="P71" s="22"/>
      <c r="Q71" s="22"/>
      <c r="R71" s="22"/>
      <c r="S71" s="22"/>
      <c r="T71" s="22"/>
      <c r="U71" s="22"/>
      <c r="V71" s="22"/>
      <c r="W71" s="22"/>
      <c r="X71" s="22"/>
      <c r="Y71" s="22"/>
      <c r="Z71" s="22"/>
      <c r="AA71" s="22"/>
      <c r="AB71" s="22"/>
      <c r="AC71" s="22"/>
      <c r="AD71" s="22"/>
      <c r="AE71" s="22"/>
      <c r="AF71" s="22"/>
      <c r="AG71" s="22"/>
      <c r="AH71" s="22"/>
      <c r="AI71" s="22"/>
      <c r="AJ71" s="22"/>
      <c r="AK71" s="22"/>
      <c r="AL71" s="22"/>
      <c r="AM71" s="22"/>
      <c r="AN71" s="22"/>
      <c r="AO71" s="22"/>
      <c r="AP71" s="22"/>
      <c r="AQ71" s="22"/>
      <c r="AR71" s="22"/>
      <c r="AS71" s="22"/>
      <c r="AT71" s="22"/>
      <c r="AU71" s="22"/>
      <c r="AV71" s="22"/>
      <c r="AW71" s="22"/>
    </row>
    <row r="72" spans="2:49" x14ac:dyDescent="0.15">
      <c r="B72" s="22"/>
      <c r="C72" s="22"/>
      <c r="D72" s="22"/>
      <c r="E72" s="22"/>
      <c r="F72" s="22"/>
      <c r="G72" s="22"/>
      <c r="H72" s="22"/>
      <c r="I72" s="22"/>
      <c r="J72" s="22"/>
      <c r="K72" s="22"/>
      <c r="L72" s="22"/>
      <c r="M72" s="22"/>
      <c r="N72" s="22"/>
      <c r="O72" s="22"/>
      <c r="P72" s="22"/>
      <c r="Q72" s="22"/>
      <c r="R72" s="22"/>
      <c r="S72" s="22"/>
      <c r="T72" s="22"/>
      <c r="U72" s="22"/>
      <c r="V72" s="22"/>
      <c r="W72" s="22"/>
      <c r="X72" s="22"/>
      <c r="Y72" s="22"/>
      <c r="Z72" s="22"/>
      <c r="AA72" s="22"/>
      <c r="AB72" s="22"/>
      <c r="AC72" s="22"/>
      <c r="AD72" s="22"/>
      <c r="AE72" s="22"/>
      <c r="AF72" s="22"/>
      <c r="AG72" s="22"/>
      <c r="AH72" s="22"/>
      <c r="AI72" s="22"/>
      <c r="AJ72" s="22"/>
      <c r="AK72" s="22"/>
      <c r="AL72" s="22"/>
      <c r="AM72" s="22"/>
      <c r="AN72" s="22"/>
      <c r="AO72" s="22"/>
      <c r="AP72" s="22"/>
      <c r="AQ72" s="22"/>
      <c r="AR72" s="22"/>
      <c r="AS72" s="22"/>
      <c r="AT72" s="22"/>
      <c r="AU72" s="22"/>
      <c r="AV72" s="22"/>
      <c r="AW72" s="22"/>
    </row>
    <row r="73" spans="2:49" x14ac:dyDescent="0.15">
      <c r="B73" s="22"/>
      <c r="C73" s="22"/>
      <c r="D73" s="22"/>
      <c r="E73" s="22"/>
      <c r="F73" s="22"/>
      <c r="G73" s="22"/>
      <c r="H73" s="22"/>
      <c r="I73" s="22"/>
      <c r="J73" s="22"/>
      <c r="K73" s="22"/>
      <c r="L73" s="22"/>
      <c r="M73" s="22"/>
      <c r="N73" s="22"/>
      <c r="O73" s="22"/>
      <c r="P73" s="22"/>
      <c r="Q73" s="22"/>
      <c r="R73" s="22"/>
      <c r="S73" s="22"/>
      <c r="T73" s="22"/>
      <c r="U73" s="22"/>
      <c r="V73" s="22"/>
      <c r="W73" s="22"/>
      <c r="X73" s="22"/>
      <c r="Y73" s="22"/>
      <c r="Z73" s="22"/>
      <c r="AA73" s="22"/>
      <c r="AB73" s="22"/>
      <c r="AC73" s="22"/>
      <c r="AD73" s="22"/>
      <c r="AE73" s="22"/>
      <c r="AF73" s="22"/>
      <c r="AG73" s="22"/>
      <c r="AH73" s="22"/>
      <c r="AI73" s="22"/>
      <c r="AJ73" s="22"/>
      <c r="AK73" s="22"/>
      <c r="AL73" s="22"/>
      <c r="AM73" s="22"/>
      <c r="AN73" s="22"/>
      <c r="AO73" s="22"/>
      <c r="AP73" s="22"/>
      <c r="AQ73" s="22"/>
      <c r="AR73" s="22"/>
      <c r="AS73" s="22"/>
      <c r="AT73" s="22"/>
      <c r="AU73" s="22"/>
      <c r="AV73" s="22"/>
      <c r="AW73" s="22"/>
    </row>
    <row r="74" spans="2:49" x14ac:dyDescent="0.15">
      <c r="B74" s="22"/>
      <c r="C74" s="22"/>
      <c r="D74" s="22"/>
      <c r="E74" s="22"/>
      <c r="F74" s="22"/>
      <c r="G74" s="22"/>
      <c r="H74" s="22"/>
      <c r="I74" s="22"/>
      <c r="J74" s="22"/>
      <c r="K74" s="22"/>
      <c r="L74" s="22"/>
      <c r="M74" s="22"/>
      <c r="N74" s="22"/>
      <c r="O74" s="22"/>
      <c r="P74" s="22"/>
      <c r="Q74" s="22"/>
      <c r="R74" s="22"/>
      <c r="S74" s="22"/>
      <c r="T74" s="22"/>
      <c r="U74" s="22"/>
      <c r="V74" s="22"/>
      <c r="W74" s="22"/>
      <c r="X74" s="22"/>
      <c r="Y74" s="22"/>
      <c r="Z74" s="22"/>
      <c r="AA74" s="22"/>
      <c r="AB74" s="22"/>
      <c r="AC74" s="22"/>
      <c r="AD74" s="22"/>
      <c r="AE74" s="22"/>
      <c r="AF74" s="22"/>
      <c r="AG74" s="22"/>
      <c r="AH74" s="22"/>
      <c r="AI74" s="22"/>
      <c r="AJ74" s="22"/>
      <c r="AK74" s="22"/>
      <c r="AL74" s="22"/>
      <c r="AM74" s="22"/>
      <c r="AN74" s="22"/>
      <c r="AO74" s="22"/>
      <c r="AP74" s="22"/>
      <c r="AQ74" s="22"/>
      <c r="AR74" s="22"/>
      <c r="AS74" s="22"/>
      <c r="AT74" s="22"/>
      <c r="AU74" s="22"/>
      <c r="AV74" s="22"/>
      <c r="AW74" s="22"/>
    </row>
    <row r="75" spans="2:49" x14ac:dyDescent="0.15">
      <c r="B75" s="22"/>
      <c r="C75" s="22"/>
      <c r="D75" s="22"/>
      <c r="E75" s="22"/>
      <c r="F75" s="22"/>
      <c r="G75" s="22"/>
      <c r="H75" s="22"/>
      <c r="I75" s="22"/>
      <c r="J75" s="22"/>
      <c r="K75" s="22"/>
      <c r="L75" s="22"/>
      <c r="M75" s="22"/>
      <c r="N75" s="22"/>
      <c r="O75" s="22"/>
      <c r="P75" s="22"/>
      <c r="Q75" s="22"/>
      <c r="R75" s="22"/>
      <c r="S75" s="22"/>
      <c r="T75" s="22"/>
      <c r="U75" s="22"/>
      <c r="V75" s="22"/>
      <c r="W75" s="22"/>
      <c r="X75" s="22"/>
      <c r="Y75" s="22"/>
      <c r="Z75" s="22"/>
      <c r="AA75" s="22"/>
      <c r="AB75" s="22"/>
      <c r="AC75" s="22"/>
      <c r="AD75" s="22"/>
      <c r="AE75" s="22"/>
      <c r="AF75" s="22"/>
      <c r="AG75" s="22"/>
      <c r="AH75" s="22"/>
      <c r="AI75" s="22"/>
      <c r="AJ75" s="22"/>
      <c r="AK75" s="22"/>
      <c r="AL75" s="22"/>
      <c r="AM75" s="22"/>
      <c r="AN75" s="22"/>
      <c r="AO75" s="22"/>
      <c r="AP75" s="22"/>
      <c r="AQ75" s="22"/>
      <c r="AR75" s="22"/>
      <c r="AS75" s="22"/>
      <c r="AT75" s="22"/>
      <c r="AU75" s="22"/>
      <c r="AV75" s="22"/>
      <c r="AW75" s="22"/>
    </row>
    <row r="76" spans="2:49" x14ac:dyDescent="0.15">
      <c r="B76" s="22"/>
      <c r="C76" s="22"/>
      <c r="D76" s="22"/>
      <c r="E76" s="22"/>
      <c r="F76" s="22"/>
      <c r="G76" s="22"/>
      <c r="H76" s="22"/>
      <c r="I76" s="22"/>
      <c r="J76" s="22"/>
      <c r="K76" s="22"/>
      <c r="L76" s="22"/>
      <c r="M76" s="22"/>
      <c r="N76" s="22"/>
      <c r="O76" s="22"/>
      <c r="P76" s="22"/>
      <c r="Q76" s="22"/>
      <c r="R76" s="22"/>
      <c r="S76" s="22"/>
      <c r="T76" s="22"/>
      <c r="U76" s="22"/>
      <c r="V76" s="22"/>
      <c r="W76" s="22"/>
      <c r="X76" s="22"/>
      <c r="Y76" s="22"/>
      <c r="Z76" s="22"/>
      <c r="AA76" s="22"/>
      <c r="AB76" s="22"/>
      <c r="AC76" s="22"/>
      <c r="AD76" s="22"/>
      <c r="AE76" s="22"/>
      <c r="AF76" s="22"/>
      <c r="AG76" s="22"/>
      <c r="AH76" s="22"/>
      <c r="AI76" s="22"/>
      <c r="AJ76" s="22"/>
      <c r="AK76" s="22"/>
      <c r="AL76" s="22"/>
      <c r="AM76" s="22"/>
      <c r="AN76" s="22"/>
      <c r="AO76" s="22"/>
      <c r="AP76" s="22"/>
      <c r="AQ76" s="22"/>
      <c r="AR76" s="22"/>
      <c r="AS76" s="22"/>
      <c r="AT76" s="22"/>
      <c r="AU76" s="22"/>
      <c r="AV76" s="22"/>
      <c r="AW76" s="22"/>
    </row>
    <row r="77" spans="2:49" x14ac:dyDescent="0.15">
      <c r="B77" s="22"/>
      <c r="C77" s="22"/>
      <c r="D77" s="22"/>
      <c r="E77" s="22"/>
      <c r="F77" s="22"/>
      <c r="G77" s="22"/>
      <c r="H77" s="22"/>
      <c r="I77" s="22"/>
      <c r="J77" s="22"/>
      <c r="K77" s="22"/>
      <c r="L77" s="22"/>
      <c r="M77" s="22"/>
      <c r="N77" s="22"/>
      <c r="O77" s="22"/>
      <c r="P77" s="22"/>
      <c r="Q77" s="22"/>
      <c r="R77" s="22"/>
      <c r="S77" s="22"/>
      <c r="T77" s="22"/>
      <c r="U77" s="22"/>
      <c r="V77" s="22"/>
      <c r="W77" s="22"/>
      <c r="X77" s="22"/>
      <c r="Y77" s="22"/>
      <c r="Z77" s="22"/>
      <c r="AA77" s="22"/>
      <c r="AB77" s="22"/>
      <c r="AC77" s="22"/>
      <c r="AD77" s="22"/>
      <c r="AE77" s="22"/>
      <c r="AF77" s="22"/>
      <c r="AG77" s="22"/>
      <c r="AH77" s="22"/>
      <c r="AI77" s="22"/>
      <c r="AJ77" s="22"/>
      <c r="AK77" s="22"/>
      <c r="AL77" s="22"/>
      <c r="AM77" s="22"/>
      <c r="AN77" s="22"/>
      <c r="AO77" s="22"/>
      <c r="AP77" s="22"/>
      <c r="AQ77" s="22"/>
      <c r="AR77" s="22"/>
      <c r="AS77" s="22"/>
      <c r="AT77" s="22"/>
      <c r="AU77" s="22"/>
      <c r="AV77" s="22"/>
      <c r="AW77" s="22"/>
    </row>
    <row r="78" spans="2:49" x14ac:dyDescent="0.15">
      <c r="B78" s="22"/>
      <c r="C78" s="22"/>
      <c r="D78" s="22"/>
      <c r="E78" s="22"/>
      <c r="F78" s="22"/>
      <c r="G78" s="22"/>
      <c r="H78" s="22"/>
      <c r="I78" s="22"/>
      <c r="J78" s="22"/>
      <c r="K78" s="22"/>
      <c r="L78" s="22"/>
      <c r="M78" s="22"/>
      <c r="N78" s="22"/>
      <c r="O78" s="22"/>
      <c r="P78" s="22"/>
      <c r="Q78" s="22"/>
      <c r="R78" s="22"/>
      <c r="S78" s="22"/>
      <c r="T78" s="22"/>
      <c r="U78" s="22"/>
      <c r="V78" s="22"/>
      <c r="W78" s="22"/>
      <c r="X78" s="22"/>
      <c r="Y78" s="22"/>
      <c r="Z78" s="22"/>
      <c r="AA78" s="22"/>
      <c r="AB78" s="22"/>
      <c r="AC78" s="22"/>
      <c r="AD78" s="22"/>
      <c r="AE78" s="22"/>
      <c r="AF78" s="22"/>
      <c r="AG78" s="22"/>
      <c r="AH78" s="22"/>
      <c r="AI78" s="22"/>
      <c r="AJ78" s="22"/>
      <c r="AK78" s="22"/>
      <c r="AL78" s="22"/>
      <c r="AM78" s="22"/>
      <c r="AN78" s="22"/>
      <c r="AO78" s="22"/>
      <c r="AP78" s="22"/>
      <c r="AQ78" s="22"/>
      <c r="AR78" s="22"/>
      <c r="AS78" s="22"/>
      <c r="AT78" s="22"/>
      <c r="AU78" s="22"/>
      <c r="AV78" s="22"/>
      <c r="AW78" s="22"/>
    </row>
    <row r="79" spans="2:49" x14ac:dyDescent="0.15">
      <c r="B79" s="22"/>
      <c r="C79" s="22"/>
      <c r="D79" s="22"/>
      <c r="E79" s="22"/>
      <c r="F79" s="22"/>
      <c r="G79" s="22"/>
      <c r="H79" s="22"/>
      <c r="I79" s="22"/>
      <c r="J79" s="22"/>
      <c r="K79" s="22"/>
      <c r="L79" s="22"/>
      <c r="M79" s="22"/>
      <c r="N79" s="22"/>
      <c r="O79" s="22"/>
      <c r="P79" s="22"/>
      <c r="Q79" s="22"/>
      <c r="R79" s="22"/>
      <c r="S79" s="22"/>
      <c r="T79" s="22"/>
      <c r="U79" s="22"/>
      <c r="V79" s="22"/>
      <c r="W79" s="22"/>
      <c r="X79" s="22"/>
      <c r="Y79" s="22"/>
      <c r="Z79" s="22"/>
      <c r="AA79" s="22"/>
      <c r="AB79" s="22"/>
      <c r="AC79" s="22"/>
      <c r="AD79" s="22"/>
      <c r="AE79" s="22"/>
      <c r="AF79" s="22"/>
      <c r="AG79" s="22"/>
      <c r="AH79" s="22"/>
      <c r="AI79" s="22"/>
      <c r="AJ79" s="22"/>
      <c r="AK79" s="22"/>
      <c r="AL79" s="22"/>
      <c r="AM79" s="22"/>
      <c r="AN79" s="22"/>
      <c r="AO79" s="22"/>
      <c r="AP79" s="22"/>
      <c r="AQ79" s="22"/>
      <c r="AR79" s="22"/>
      <c r="AS79" s="22"/>
      <c r="AT79" s="22"/>
      <c r="AU79" s="22"/>
      <c r="AV79" s="22"/>
      <c r="AW79" s="22"/>
    </row>
    <row r="80" spans="2:49" x14ac:dyDescent="0.15">
      <c r="B80" s="22"/>
      <c r="C80" s="22"/>
      <c r="D80" s="22"/>
      <c r="E80" s="22"/>
      <c r="F80" s="22"/>
      <c r="G80" s="22"/>
      <c r="H80" s="22"/>
      <c r="I80" s="22"/>
      <c r="J80" s="22"/>
      <c r="K80" s="22"/>
      <c r="L80" s="22"/>
      <c r="M80" s="22"/>
      <c r="N80" s="22"/>
      <c r="O80" s="22"/>
      <c r="P80" s="22"/>
      <c r="Q80" s="22"/>
      <c r="R80" s="22"/>
      <c r="S80" s="22"/>
      <c r="T80" s="22"/>
      <c r="U80" s="22"/>
      <c r="V80" s="22"/>
      <c r="W80" s="22"/>
      <c r="X80" s="22"/>
      <c r="Y80" s="22"/>
      <c r="Z80" s="22"/>
      <c r="AA80" s="22"/>
      <c r="AB80" s="22"/>
      <c r="AC80" s="22"/>
      <c r="AD80" s="22"/>
      <c r="AE80" s="22"/>
      <c r="AF80" s="22"/>
      <c r="AG80" s="22"/>
      <c r="AH80" s="22"/>
      <c r="AI80" s="22"/>
      <c r="AJ80" s="22"/>
      <c r="AK80" s="22"/>
      <c r="AL80" s="22"/>
      <c r="AM80" s="22"/>
      <c r="AN80" s="22"/>
      <c r="AO80" s="22"/>
      <c r="AP80" s="22"/>
      <c r="AQ80" s="22"/>
      <c r="AR80" s="22"/>
      <c r="AS80" s="22"/>
      <c r="AT80" s="22"/>
      <c r="AU80" s="22"/>
      <c r="AV80" s="22"/>
      <c r="AW80" s="22"/>
    </row>
    <row r="81" spans="2:49" x14ac:dyDescent="0.15">
      <c r="B81" s="22"/>
      <c r="C81" s="22"/>
      <c r="D81" s="22"/>
      <c r="E81" s="22"/>
      <c r="F81" s="22"/>
      <c r="G81" s="22"/>
      <c r="H81" s="22"/>
      <c r="I81" s="22"/>
      <c r="J81" s="22"/>
      <c r="K81" s="22"/>
      <c r="L81" s="22"/>
      <c r="M81" s="22"/>
      <c r="N81" s="22"/>
      <c r="O81" s="22"/>
      <c r="P81" s="22"/>
      <c r="Q81" s="22"/>
      <c r="R81" s="22"/>
      <c r="S81" s="22"/>
      <c r="T81" s="22"/>
      <c r="U81" s="22"/>
      <c r="V81" s="22"/>
      <c r="W81" s="22"/>
      <c r="X81" s="22"/>
      <c r="Y81" s="22"/>
      <c r="Z81" s="22"/>
      <c r="AA81" s="22"/>
      <c r="AB81" s="22"/>
      <c r="AC81" s="22"/>
      <c r="AD81" s="22"/>
      <c r="AE81" s="22"/>
      <c r="AF81" s="22"/>
      <c r="AG81" s="22"/>
      <c r="AH81" s="22"/>
      <c r="AI81" s="22"/>
      <c r="AJ81" s="22"/>
      <c r="AK81" s="22"/>
      <c r="AL81" s="22"/>
      <c r="AM81" s="22"/>
      <c r="AN81" s="22"/>
      <c r="AO81" s="22"/>
      <c r="AP81" s="22"/>
      <c r="AQ81" s="22"/>
      <c r="AR81" s="22"/>
      <c r="AS81" s="22"/>
      <c r="AT81" s="22"/>
      <c r="AU81" s="22"/>
      <c r="AV81" s="22"/>
      <c r="AW81" s="22"/>
    </row>
    <row r="82" spans="2:49" x14ac:dyDescent="0.15">
      <c r="B82" s="22"/>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row>
    <row r="83" spans="2:49" x14ac:dyDescent="0.15">
      <c r="B83" s="22"/>
      <c r="C83" s="22"/>
      <c r="D83" s="22"/>
      <c r="E83" s="22"/>
      <c r="F83" s="22"/>
      <c r="G83" s="22"/>
      <c r="H83" s="22"/>
      <c r="I83" s="22"/>
      <c r="J83" s="22"/>
      <c r="K83" s="22"/>
      <c r="L83" s="22"/>
      <c r="M83" s="22"/>
      <c r="N83" s="22"/>
      <c r="O83" s="22"/>
      <c r="P83" s="22"/>
      <c r="Q83" s="22"/>
      <c r="R83" s="22"/>
      <c r="S83" s="22"/>
      <c r="T83" s="22"/>
      <c r="U83" s="22"/>
      <c r="V83" s="22"/>
      <c r="W83" s="22"/>
      <c r="X83" s="22"/>
      <c r="Y83" s="22"/>
      <c r="Z83" s="22"/>
      <c r="AA83" s="22"/>
      <c r="AB83" s="22"/>
      <c r="AC83" s="22"/>
      <c r="AD83" s="22"/>
      <c r="AE83" s="22"/>
      <c r="AF83" s="22"/>
      <c r="AG83" s="22"/>
      <c r="AH83" s="22"/>
      <c r="AI83" s="22"/>
      <c r="AJ83" s="22"/>
      <c r="AK83" s="22"/>
      <c r="AL83" s="22"/>
      <c r="AM83" s="22"/>
      <c r="AN83" s="22"/>
      <c r="AO83" s="22"/>
      <c r="AP83" s="22"/>
      <c r="AQ83" s="22"/>
      <c r="AR83" s="22"/>
      <c r="AS83" s="22"/>
      <c r="AT83" s="22"/>
      <c r="AU83" s="22"/>
      <c r="AV83" s="22"/>
      <c r="AW83" s="22"/>
    </row>
    <row r="84" spans="2:49" x14ac:dyDescent="0.15">
      <c r="B84" s="22"/>
      <c r="C84" s="22"/>
      <c r="D84" s="22"/>
      <c r="E84" s="22"/>
      <c r="F84" s="22"/>
      <c r="G84" s="22"/>
      <c r="H84" s="22"/>
      <c r="I84" s="22"/>
      <c r="J84" s="22"/>
      <c r="K84" s="22"/>
      <c r="L84" s="22"/>
      <c r="M84" s="22"/>
      <c r="N84" s="22"/>
      <c r="O84" s="22"/>
      <c r="P84" s="22"/>
      <c r="Q84" s="22"/>
      <c r="R84" s="22"/>
      <c r="S84" s="22"/>
      <c r="T84" s="22"/>
      <c r="U84" s="22"/>
      <c r="V84" s="22"/>
      <c r="W84" s="22"/>
      <c r="X84" s="22"/>
      <c r="Y84" s="22"/>
      <c r="Z84" s="22"/>
      <c r="AA84" s="22"/>
      <c r="AB84" s="22"/>
      <c r="AC84" s="22"/>
      <c r="AD84" s="22"/>
      <c r="AE84" s="22"/>
      <c r="AF84" s="22"/>
      <c r="AG84" s="22"/>
      <c r="AH84" s="22"/>
      <c r="AI84" s="22"/>
      <c r="AJ84" s="22"/>
      <c r="AK84" s="22"/>
      <c r="AL84" s="22"/>
      <c r="AM84" s="22"/>
      <c r="AN84" s="22"/>
      <c r="AO84" s="22"/>
      <c r="AP84" s="22"/>
      <c r="AQ84" s="22"/>
      <c r="AR84" s="22"/>
      <c r="AS84" s="22"/>
      <c r="AT84" s="22"/>
      <c r="AU84" s="22"/>
      <c r="AV84" s="22"/>
      <c r="AW84" s="22"/>
    </row>
    <row r="85" spans="2:49" x14ac:dyDescent="0.15">
      <c r="B85" s="22"/>
      <c r="C85" s="22"/>
      <c r="D85" s="22"/>
      <c r="E85" s="22"/>
      <c r="F85" s="22"/>
      <c r="G85" s="22"/>
      <c r="H85" s="22"/>
      <c r="I85" s="22"/>
      <c r="J85" s="22"/>
      <c r="K85" s="22"/>
      <c r="L85" s="22"/>
      <c r="M85" s="22"/>
      <c r="N85" s="22"/>
      <c r="O85" s="22"/>
      <c r="P85" s="22"/>
      <c r="Q85" s="22"/>
      <c r="R85" s="22"/>
      <c r="S85" s="22"/>
      <c r="T85" s="22"/>
      <c r="U85" s="22"/>
      <c r="V85" s="22"/>
      <c r="W85" s="22"/>
      <c r="X85" s="22"/>
      <c r="Y85" s="22"/>
      <c r="Z85" s="22"/>
      <c r="AA85" s="22"/>
      <c r="AB85" s="22"/>
      <c r="AC85" s="22"/>
      <c r="AD85" s="22"/>
      <c r="AE85" s="22"/>
      <c r="AF85" s="22"/>
      <c r="AG85" s="22"/>
      <c r="AH85" s="22"/>
      <c r="AI85" s="22"/>
      <c r="AJ85" s="22"/>
      <c r="AK85" s="22"/>
      <c r="AL85" s="22"/>
      <c r="AM85" s="22"/>
      <c r="AN85" s="22"/>
      <c r="AO85" s="22"/>
      <c r="AP85" s="22"/>
      <c r="AQ85" s="22"/>
      <c r="AR85" s="22"/>
      <c r="AS85" s="22"/>
      <c r="AT85" s="22"/>
      <c r="AU85" s="22"/>
      <c r="AV85" s="22"/>
      <c r="AW85" s="22"/>
    </row>
    <row r="86" spans="2:49" x14ac:dyDescent="0.15">
      <c r="B86" s="22"/>
      <c r="C86" s="22"/>
      <c r="D86" s="22"/>
      <c r="E86" s="22"/>
      <c r="F86" s="22"/>
      <c r="G86" s="22"/>
      <c r="H86" s="22"/>
      <c r="I86" s="22"/>
      <c r="J86" s="22"/>
      <c r="K86" s="22"/>
      <c r="L86" s="22"/>
      <c r="M86" s="22"/>
      <c r="N86" s="22"/>
      <c r="O86" s="22"/>
      <c r="P86" s="22"/>
      <c r="Q86" s="22"/>
      <c r="R86" s="22"/>
      <c r="S86" s="22"/>
      <c r="T86" s="22"/>
      <c r="U86" s="22"/>
      <c r="V86" s="22"/>
      <c r="W86" s="22"/>
      <c r="X86" s="22"/>
      <c r="Y86" s="22"/>
      <c r="Z86" s="22"/>
      <c r="AA86" s="22"/>
      <c r="AB86" s="22"/>
      <c r="AC86" s="22"/>
      <c r="AD86" s="22"/>
      <c r="AE86" s="22"/>
      <c r="AF86" s="22"/>
      <c r="AG86" s="22"/>
      <c r="AH86" s="22"/>
      <c r="AI86" s="22"/>
      <c r="AJ86" s="22"/>
      <c r="AK86" s="22"/>
      <c r="AL86" s="22"/>
      <c r="AM86" s="22"/>
      <c r="AN86" s="22"/>
      <c r="AO86" s="22"/>
      <c r="AP86" s="22"/>
      <c r="AQ86" s="22"/>
      <c r="AR86" s="22"/>
      <c r="AS86" s="22"/>
      <c r="AT86" s="22"/>
      <c r="AU86" s="22"/>
      <c r="AV86" s="22"/>
      <c r="AW86" s="22"/>
    </row>
    <row r="87" spans="2:49" x14ac:dyDescent="0.15">
      <c r="B87" s="22"/>
      <c r="C87" s="22"/>
      <c r="D87" s="22"/>
      <c r="E87" s="22"/>
      <c r="F87" s="22"/>
      <c r="G87" s="22"/>
      <c r="H87" s="22"/>
      <c r="I87" s="22"/>
      <c r="J87" s="22"/>
      <c r="K87" s="22"/>
      <c r="L87" s="22"/>
      <c r="M87" s="22"/>
      <c r="N87" s="22"/>
      <c r="O87" s="22"/>
      <c r="P87" s="22"/>
      <c r="Q87" s="22"/>
      <c r="R87" s="22"/>
      <c r="S87" s="22"/>
      <c r="T87" s="22"/>
      <c r="U87" s="22"/>
      <c r="V87" s="22"/>
      <c r="W87" s="22"/>
      <c r="X87" s="22"/>
      <c r="Y87" s="22"/>
      <c r="Z87" s="22"/>
      <c r="AA87" s="22"/>
      <c r="AB87" s="22"/>
      <c r="AC87" s="22"/>
      <c r="AD87" s="22"/>
      <c r="AE87" s="22"/>
      <c r="AF87" s="22"/>
      <c r="AG87" s="22"/>
      <c r="AH87" s="22"/>
      <c r="AI87" s="22"/>
      <c r="AJ87" s="22"/>
      <c r="AK87" s="22"/>
      <c r="AL87" s="22"/>
      <c r="AM87" s="22"/>
      <c r="AN87" s="22"/>
      <c r="AO87" s="22"/>
      <c r="AP87" s="22"/>
      <c r="AQ87" s="22"/>
      <c r="AR87" s="22"/>
      <c r="AS87" s="22"/>
      <c r="AT87" s="22"/>
      <c r="AU87" s="22"/>
      <c r="AV87" s="22"/>
      <c r="AW87" s="22"/>
    </row>
    <row r="88" spans="2:49" x14ac:dyDescent="0.15">
      <c r="B88" s="22"/>
      <c r="C88" s="22"/>
      <c r="D88" s="22"/>
      <c r="E88" s="22"/>
      <c r="F88" s="22"/>
      <c r="G88" s="22"/>
      <c r="H88" s="22"/>
      <c r="I88" s="22"/>
      <c r="J88" s="22"/>
      <c r="K88" s="22"/>
      <c r="L88" s="22"/>
      <c r="M88" s="22"/>
      <c r="N88" s="22"/>
      <c r="O88" s="22"/>
      <c r="P88" s="22"/>
      <c r="Q88" s="22"/>
      <c r="R88" s="22"/>
      <c r="S88" s="22"/>
      <c r="T88" s="22"/>
      <c r="U88" s="22"/>
      <c r="V88" s="22"/>
      <c r="W88" s="22"/>
      <c r="X88" s="22"/>
      <c r="Y88" s="22"/>
      <c r="Z88" s="22"/>
      <c r="AA88" s="22"/>
      <c r="AB88" s="22"/>
      <c r="AC88" s="22"/>
      <c r="AD88" s="22"/>
      <c r="AE88" s="22"/>
      <c r="AF88" s="22"/>
      <c r="AG88" s="22"/>
      <c r="AH88" s="22"/>
      <c r="AI88" s="22"/>
      <c r="AJ88" s="22"/>
      <c r="AK88" s="22"/>
      <c r="AL88" s="22"/>
      <c r="AM88" s="22"/>
      <c r="AN88" s="22"/>
      <c r="AO88" s="22"/>
      <c r="AP88" s="22"/>
      <c r="AQ88" s="22"/>
      <c r="AR88" s="22"/>
      <c r="AS88" s="22"/>
      <c r="AT88" s="22"/>
      <c r="AU88" s="22"/>
      <c r="AV88" s="22"/>
      <c r="AW88" s="22"/>
    </row>
    <row r="89" spans="2:49" x14ac:dyDescent="0.15">
      <c r="B89" s="22"/>
      <c r="C89" s="22"/>
      <c r="D89" s="22"/>
      <c r="E89" s="22"/>
      <c r="F89" s="22"/>
      <c r="G89" s="22"/>
      <c r="H89" s="22"/>
      <c r="I89" s="22"/>
      <c r="J89" s="22"/>
      <c r="K89" s="22"/>
      <c r="L89" s="22"/>
      <c r="M89" s="22"/>
      <c r="N89" s="22"/>
      <c r="O89" s="22"/>
      <c r="P89" s="22"/>
      <c r="Q89" s="22"/>
      <c r="R89" s="22"/>
      <c r="S89" s="22"/>
      <c r="T89" s="22"/>
      <c r="U89" s="22"/>
      <c r="V89" s="22"/>
      <c r="W89" s="22"/>
      <c r="X89" s="22"/>
      <c r="Y89" s="22"/>
      <c r="Z89" s="22"/>
      <c r="AA89" s="22"/>
      <c r="AB89" s="22"/>
      <c r="AC89" s="22"/>
      <c r="AD89" s="22"/>
      <c r="AE89" s="22"/>
      <c r="AF89" s="22"/>
      <c r="AG89" s="22"/>
      <c r="AH89" s="22"/>
      <c r="AI89" s="22"/>
      <c r="AJ89" s="22"/>
      <c r="AK89" s="22"/>
      <c r="AL89" s="22"/>
      <c r="AM89" s="22"/>
      <c r="AN89" s="22"/>
      <c r="AO89" s="22"/>
      <c r="AP89" s="22"/>
      <c r="AQ89" s="22"/>
      <c r="AR89" s="22"/>
      <c r="AS89" s="22"/>
      <c r="AT89" s="22"/>
      <c r="AU89" s="22"/>
      <c r="AV89" s="22"/>
      <c r="AW89" s="22"/>
    </row>
    <row r="90" spans="2:49" x14ac:dyDescent="0.15">
      <c r="B90" s="22"/>
      <c r="C90" s="22"/>
      <c r="D90" s="22"/>
      <c r="E90" s="22"/>
      <c r="F90" s="22"/>
      <c r="G90" s="22"/>
      <c r="H90" s="22"/>
      <c r="I90" s="22"/>
      <c r="J90" s="22"/>
      <c r="K90" s="22"/>
      <c r="L90" s="22"/>
      <c r="M90" s="22"/>
      <c r="N90" s="22"/>
      <c r="O90" s="22"/>
      <c r="P90" s="22"/>
      <c r="Q90" s="22"/>
      <c r="R90" s="22"/>
      <c r="S90" s="22"/>
      <c r="T90" s="22"/>
      <c r="U90" s="22"/>
      <c r="V90" s="22"/>
      <c r="W90" s="22"/>
      <c r="X90" s="22"/>
      <c r="Y90" s="22"/>
      <c r="Z90" s="22"/>
      <c r="AA90" s="22"/>
      <c r="AB90" s="22"/>
      <c r="AC90" s="22"/>
      <c r="AD90" s="22"/>
      <c r="AE90" s="22"/>
      <c r="AF90" s="22"/>
      <c r="AG90" s="22"/>
      <c r="AH90" s="22"/>
      <c r="AI90" s="22"/>
      <c r="AJ90" s="22"/>
      <c r="AK90" s="22"/>
      <c r="AL90" s="22"/>
      <c r="AM90" s="22"/>
      <c r="AN90" s="22"/>
      <c r="AO90" s="22"/>
      <c r="AP90" s="22"/>
      <c r="AQ90" s="22"/>
      <c r="AR90" s="22"/>
      <c r="AS90" s="22"/>
      <c r="AT90" s="22"/>
      <c r="AU90" s="22"/>
      <c r="AV90" s="22"/>
      <c r="AW90" s="22"/>
    </row>
    <row r="91" spans="2:49" x14ac:dyDescent="0.15">
      <c r="B91" s="22"/>
      <c r="C91" s="22"/>
      <c r="D91" s="22"/>
      <c r="E91" s="22"/>
      <c r="F91" s="22"/>
      <c r="G91" s="22"/>
      <c r="H91" s="22"/>
      <c r="I91" s="22"/>
      <c r="J91" s="22"/>
      <c r="K91" s="22"/>
      <c r="L91" s="22"/>
      <c r="M91" s="22"/>
      <c r="N91" s="22"/>
      <c r="O91" s="22"/>
      <c r="P91" s="22"/>
      <c r="Q91" s="22"/>
      <c r="R91" s="22"/>
      <c r="S91" s="22"/>
      <c r="T91" s="22"/>
      <c r="U91" s="22"/>
      <c r="V91" s="22"/>
      <c r="W91" s="22"/>
      <c r="X91" s="22"/>
      <c r="Y91" s="22"/>
      <c r="Z91" s="22"/>
      <c r="AA91" s="22"/>
      <c r="AB91" s="22"/>
      <c r="AC91" s="22"/>
      <c r="AD91" s="22"/>
      <c r="AE91" s="22"/>
      <c r="AF91" s="22"/>
      <c r="AG91" s="22"/>
      <c r="AH91" s="22"/>
      <c r="AI91" s="22"/>
      <c r="AJ91" s="22"/>
      <c r="AK91" s="22"/>
      <c r="AL91" s="22"/>
      <c r="AM91" s="22"/>
      <c r="AN91" s="22"/>
      <c r="AO91" s="22"/>
      <c r="AP91" s="22"/>
      <c r="AQ91" s="22"/>
      <c r="AR91" s="22"/>
      <c r="AS91" s="22"/>
      <c r="AT91" s="22"/>
      <c r="AU91" s="22"/>
      <c r="AV91" s="22"/>
      <c r="AW91" s="22"/>
    </row>
    <row r="92" spans="2:49" x14ac:dyDescent="0.15">
      <c r="B92" s="22"/>
      <c r="C92" s="22"/>
      <c r="D92" s="22"/>
      <c r="E92" s="22"/>
      <c r="F92" s="22"/>
      <c r="G92" s="22"/>
      <c r="H92" s="22"/>
      <c r="I92" s="22"/>
      <c r="J92" s="22"/>
      <c r="K92" s="22"/>
      <c r="L92" s="22"/>
      <c r="M92" s="22"/>
      <c r="N92" s="22"/>
      <c r="O92" s="22"/>
      <c r="P92" s="22"/>
      <c r="Q92" s="22"/>
      <c r="R92" s="22"/>
      <c r="S92" s="22"/>
      <c r="T92" s="22"/>
      <c r="U92" s="22"/>
      <c r="V92" s="22"/>
      <c r="W92" s="22"/>
      <c r="X92" s="22"/>
      <c r="Y92" s="22"/>
      <c r="Z92" s="22"/>
      <c r="AA92" s="22"/>
      <c r="AB92" s="22"/>
      <c r="AC92" s="22"/>
      <c r="AD92" s="22"/>
      <c r="AE92" s="22"/>
      <c r="AF92" s="22"/>
      <c r="AG92" s="22"/>
      <c r="AH92" s="22"/>
      <c r="AI92" s="22"/>
      <c r="AJ92" s="22"/>
      <c r="AK92" s="22"/>
      <c r="AL92" s="22"/>
      <c r="AM92" s="22"/>
      <c r="AN92" s="22"/>
      <c r="AO92" s="22"/>
      <c r="AP92" s="22"/>
      <c r="AQ92" s="22"/>
      <c r="AR92" s="22"/>
      <c r="AS92" s="22"/>
      <c r="AT92" s="22"/>
      <c r="AU92" s="22"/>
      <c r="AV92" s="22"/>
      <c r="AW92" s="22"/>
    </row>
    <row r="93" spans="2:49" x14ac:dyDescent="0.15">
      <c r="B93" s="22"/>
      <c r="C93" s="22"/>
      <c r="D93" s="22"/>
      <c r="E93" s="22"/>
      <c r="F93" s="22"/>
      <c r="G93" s="22"/>
      <c r="H93" s="22"/>
      <c r="I93" s="22"/>
      <c r="J93" s="22"/>
      <c r="K93" s="22"/>
      <c r="L93" s="22"/>
      <c r="M93" s="22"/>
      <c r="N93" s="22"/>
      <c r="O93" s="22"/>
      <c r="P93" s="22"/>
      <c r="Q93" s="22"/>
      <c r="R93" s="22"/>
      <c r="S93" s="22"/>
      <c r="T93" s="22"/>
      <c r="U93" s="22"/>
      <c r="V93" s="22"/>
      <c r="W93" s="22"/>
      <c r="X93" s="22"/>
      <c r="Y93" s="22"/>
      <c r="Z93" s="22"/>
      <c r="AA93" s="22"/>
      <c r="AB93" s="22"/>
      <c r="AC93" s="22"/>
      <c r="AD93" s="22"/>
      <c r="AE93" s="22"/>
      <c r="AF93" s="22"/>
      <c r="AG93" s="22"/>
      <c r="AH93" s="22"/>
      <c r="AI93" s="22"/>
      <c r="AJ93" s="22"/>
      <c r="AK93" s="22"/>
      <c r="AL93" s="22"/>
      <c r="AM93" s="22"/>
      <c r="AN93" s="22"/>
      <c r="AO93" s="22"/>
      <c r="AP93" s="22"/>
      <c r="AQ93" s="22"/>
      <c r="AR93" s="22"/>
      <c r="AS93" s="22"/>
      <c r="AT93" s="22"/>
      <c r="AU93" s="22"/>
      <c r="AV93" s="22"/>
      <c r="AW93" s="22"/>
    </row>
    <row r="94" spans="2:49" x14ac:dyDescent="0.15">
      <c r="B94" s="22"/>
      <c r="C94" s="22"/>
      <c r="D94" s="22"/>
      <c r="E94" s="22"/>
      <c r="F94" s="22"/>
      <c r="G94" s="22"/>
      <c r="H94" s="22"/>
      <c r="I94" s="22"/>
      <c r="J94" s="22"/>
      <c r="K94" s="22"/>
      <c r="L94" s="22"/>
      <c r="M94" s="22"/>
      <c r="N94" s="22"/>
      <c r="O94" s="22"/>
      <c r="P94" s="22"/>
      <c r="Q94" s="22"/>
      <c r="R94" s="22"/>
      <c r="S94" s="22"/>
      <c r="T94" s="22"/>
      <c r="U94" s="22"/>
      <c r="V94" s="22"/>
      <c r="W94" s="22"/>
      <c r="X94" s="22"/>
      <c r="Y94" s="22"/>
      <c r="Z94" s="22"/>
      <c r="AA94" s="22"/>
      <c r="AB94" s="22"/>
      <c r="AC94" s="22"/>
      <c r="AD94" s="22"/>
      <c r="AE94" s="22"/>
      <c r="AF94" s="22"/>
      <c r="AG94" s="22"/>
      <c r="AH94" s="22"/>
      <c r="AI94" s="22"/>
      <c r="AJ94" s="22"/>
      <c r="AK94" s="22"/>
      <c r="AL94" s="22"/>
      <c r="AM94" s="22"/>
      <c r="AN94" s="22"/>
      <c r="AO94" s="22"/>
      <c r="AP94" s="22"/>
      <c r="AQ94" s="22"/>
      <c r="AR94" s="22"/>
      <c r="AS94" s="22"/>
      <c r="AT94" s="22"/>
      <c r="AU94" s="22"/>
      <c r="AV94" s="22"/>
      <c r="AW94" s="22"/>
    </row>
    <row r="95" spans="2:49" x14ac:dyDescent="0.15">
      <c r="B95" s="22"/>
      <c r="C95" s="22"/>
      <c r="D95" s="22"/>
      <c r="E95" s="22"/>
      <c r="F95" s="22"/>
      <c r="G95" s="22"/>
      <c r="H95" s="22"/>
      <c r="I95" s="22"/>
      <c r="J95" s="22"/>
      <c r="K95" s="22"/>
      <c r="L95" s="22"/>
      <c r="M95" s="22"/>
      <c r="N95" s="22"/>
      <c r="O95" s="22"/>
      <c r="P95" s="22"/>
      <c r="Q95" s="22"/>
      <c r="R95" s="22"/>
      <c r="S95" s="22"/>
      <c r="T95" s="22"/>
      <c r="U95" s="22"/>
      <c r="V95" s="22"/>
      <c r="W95" s="22"/>
      <c r="X95" s="22"/>
      <c r="Y95" s="22"/>
      <c r="Z95" s="22"/>
      <c r="AA95" s="22"/>
      <c r="AB95" s="22"/>
      <c r="AC95" s="22"/>
      <c r="AD95" s="22"/>
      <c r="AE95" s="22"/>
      <c r="AF95" s="22"/>
      <c r="AG95" s="22"/>
      <c r="AH95" s="22"/>
      <c r="AI95" s="22"/>
      <c r="AJ95" s="22"/>
      <c r="AK95" s="22"/>
      <c r="AL95" s="22"/>
      <c r="AM95" s="22"/>
      <c r="AN95" s="22"/>
      <c r="AO95" s="22"/>
      <c r="AP95" s="22"/>
      <c r="AQ95" s="22"/>
      <c r="AR95" s="22"/>
      <c r="AS95" s="22"/>
      <c r="AT95" s="22"/>
      <c r="AU95" s="22"/>
      <c r="AV95" s="22"/>
      <c r="AW95" s="22"/>
    </row>
    <row r="96" spans="2:49" x14ac:dyDescent="0.15">
      <c r="B96" s="22"/>
      <c r="C96" s="22"/>
      <c r="D96" s="22"/>
      <c r="E96" s="22"/>
      <c r="F96" s="22"/>
      <c r="G96" s="22"/>
      <c r="H96" s="22"/>
      <c r="I96" s="22"/>
      <c r="J96" s="22"/>
      <c r="K96" s="22"/>
      <c r="L96" s="22"/>
      <c r="M96" s="22"/>
      <c r="N96" s="22"/>
      <c r="O96" s="22"/>
      <c r="P96" s="22"/>
      <c r="Q96" s="22"/>
      <c r="R96" s="22"/>
      <c r="S96" s="22"/>
      <c r="T96" s="22"/>
      <c r="U96" s="22"/>
      <c r="V96" s="22"/>
      <c r="W96" s="22"/>
      <c r="X96" s="22"/>
      <c r="Y96" s="22"/>
      <c r="Z96" s="22"/>
      <c r="AA96" s="22"/>
      <c r="AB96" s="22"/>
      <c r="AC96" s="22"/>
      <c r="AD96" s="22"/>
      <c r="AE96" s="22"/>
      <c r="AF96" s="22"/>
      <c r="AG96" s="22"/>
      <c r="AH96" s="22"/>
      <c r="AI96" s="22"/>
      <c r="AJ96" s="22"/>
      <c r="AK96" s="22"/>
      <c r="AL96" s="22"/>
      <c r="AM96" s="22"/>
      <c r="AN96" s="22"/>
      <c r="AO96" s="22"/>
      <c r="AP96" s="22"/>
      <c r="AQ96" s="22"/>
      <c r="AR96" s="22"/>
      <c r="AS96" s="22"/>
      <c r="AT96" s="22"/>
      <c r="AU96" s="22"/>
      <c r="AV96" s="22"/>
      <c r="AW96" s="22"/>
    </row>
    <row r="97" spans="2:49" x14ac:dyDescent="0.15">
      <c r="B97" s="22"/>
      <c r="C97" s="22"/>
      <c r="D97" s="22"/>
      <c r="E97" s="22"/>
      <c r="F97" s="22"/>
      <c r="G97" s="22"/>
      <c r="H97" s="22"/>
      <c r="I97" s="22"/>
      <c r="J97" s="22"/>
      <c r="K97" s="22"/>
      <c r="L97" s="22"/>
      <c r="M97" s="22"/>
      <c r="N97" s="22"/>
      <c r="O97" s="22"/>
      <c r="P97" s="22"/>
      <c r="Q97" s="22"/>
      <c r="R97" s="22"/>
      <c r="S97" s="22"/>
      <c r="T97" s="22"/>
      <c r="U97" s="22"/>
      <c r="V97" s="22"/>
      <c r="W97" s="22"/>
      <c r="X97" s="22"/>
      <c r="Y97" s="22"/>
      <c r="Z97" s="22"/>
      <c r="AA97" s="22"/>
      <c r="AB97" s="22"/>
      <c r="AC97" s="22"/>
      <c r="AD97" s="22"/>
      <c r="AE97" s="22"/>
      <c r="AF97" s="22"/>
      <c r="AG97" s="22"/>
      <c r="AH97" s="22"/>
      <c r="AI97" s="22"/>
      <c r="AJ97" s="22"/>
      <c r="AK97" s="22"/>
      <c r="AL97" s="22"/>
      <c r="AM97" s="22"/>
      <c r="AN97" s="22"/>
      <c r="AO97" s="22"/>
      <c r="AP97" s="22"/>
      <c r="AQ97" s="22"/>
      <c r="AR97" s="22"/>
      <c r="AS97" s="22"/>
      <c r="AT97" s="22"/>
      <c r="AU97" s="22"/>
      <c r="AV97" s="22"/>
      <c r="AW97" s="22"/>
    </row>
    <row r="98" spans="2:49" x14ac:dyDescent="0.15">
      <c r="B98" s="22"/>
      <c r="C98" s="22"/>
      <c r="D98" s="22"/>
      <c r="E98" s="22"/>
      <c r="F98" s="22"/>
      <c r="G98" s="22"/>
      <c r="H98" s="22"/>
      <c r="I98" s="22"/>
      <c r="J98" s="22"/>
      <c r="K98" s="22"/>
      <c r="L98" s="22"/>
      <c r="M98" s="22"/>
      <c r="N98" s="22"/>
      <c r="O98" s="22"/>
      <c r="P98" s="22"/>
      <c r="Q98" s="22"/>
      <c r="R98" s="22"/>
      <c r="S98" s="22"/>
      <c r="T98" s="22"/>
      <c r="U98" s="22"/>
      <c r="V98" s="22"/>
      <c r="W98" s="22"/>
      <c r="X98" s="22"/>
      <c r="Y98" s="22"/>
      <c r="Z98" s="22"/>
      <c r="AA98" s="22"/>
      <c r="AB98" s="22"/>
      <c r="AC98" s="22"/>
      <c r="AD98" s="22"/>
      <c r="AE98" s="22"/>
      <c r="AF98" s="22"/>
      <c r="AG98" s="22"/>
      <c r="AH98" s="22"/>
      <c r="AI98" s="22"/>
      <c r="AJ98" s="22"/>
      <c r="AK98" s="22"/>
      <c r="AL98" s="22"/>
      <c r="AM98" s="22"/>
      <c r="AN98" s="22"/>
      <c r="AO98" s="22"/>
      <c r="AP98" s="22"/>
      <c r="AQ98" s="22"/>
      <c r="AR98" s="22"/>
      <c r="AS98" s="22"/>
      <c r="AT98" s="22"/>
      <c r="AU98" s="22"/>
      <c r="AV98" s="22"/>
      <c r="AW98" s="22"/>
    </row>
    <row r="99" spans="2:49" x14ac:dyDescent="0.15">
      <c r="B99" s="22"/>
      <c r="C99" s="22"/>
      <c r="D99" s="22"/>
      <c r="E99" s="22"/>
      <c r="F99" s="22"/>
      <c r="G99" s="22"/>
      <c r="H99" s="22"/>
      <c r="I99" s="22"/>
      <c r="J99" s="22"/>
      <c r="K99" s="22"/>
      <c r="L99" s="22"/>
      <c r="M99" s="22"/>
      <c r="N99" s="22"/>
      <c r="O99" s="22"/>
      <c r="P99" s="22"/>
      <c r="Q99" s="22"/>
      <c r="R99" s="22"/>
      <c r="S99" s="22"/>
      <c r="T99" s="22"/>
      <c r="U99" s="22"/>
      <c r="V99" s="22"/>
      <c r="W99" s="22"/>
      <c r="X99" s="22"/>
      <c r="Y99" s="22"/>
      <c r="Z99" s="22"/>
      <c r="AA99" s="22"/>
      <c r="AB99" s="22"/>
      <c r="AC99" s="22"/>
      <c r="AD99" s="22"/>
      <c r="AE99" s="22"/>
      <c r="AF99" s="22"/>
      <c r="AG99" s="22"/>
      <c r="AH99" s="22"/>
      <c r="AI99" s="22"/>
      <c r="AJ99" s="22"/>
      <c r="AK99" s="22"/>
      <c r="AL99" s="22"/>
      <c r="AM99" s="22"/>
      <c r="AN99" s="22"/>
      <c r="AO99" s="22"/>
      <c r="AP99" s="22"/>
      <c r="AQ99" s="22"/>
      <c r="AR99" s="22"/>
      <c r="AS99" s="22"/>
      <c r="AT99" s="22"/>
      <c r="AU99" s="22"/>
      <c r="AV99" s="22"/>
      <c r="AW99" s="22"/>
    </row>
    <row r="100" spans="2:49" x14ac:dyDescent="0.15">
      <c r="B100" s="22"/>
      <c r="C100" s="22"/>
      <c r="D100" s="22"/>
      <c r="E100" s="22"/>
      <c r="F100" s="22"/>
      <c r="G100" s="22"/>
      <c r="H100" s="22"/>
      <c r="I100" s="22"/>
      <c r="J100" s="22"/>
      <c r="K100" s="22"/>
      <c r="L100" s="22"/>
      <c r="M100" s="22"/>
      <c r="N100" s="22"/>
      <c r="O100" s="22"/>
      <c r="P100" s="22"/>
      <c r="Q100" s="22"/>
      <c r="R100" s="22"/>
      <c r="S100" s="22"/>
      <c r="T100" s="22"/>
      <c r="U100" s="22"/>
      <c r="V100" s="22"/>
      <c r="W100" s="22"/>
      <c r="X100" s="22"/>
      <c r="Y100" s="22"/>
      <c r="Z100" s="22"/>
      <c r="AA100" s="22"/>
      <c r="AB100" s="22"/>
      <c r="AC100" s="22"/>
      <c r="AD100" s="22"/>
      <c r="AE100" s="22"/>
      <c r="AF100" s="22"/>
      <c r="AG100" s="22"/>
      <c r="AH100" s="22"/>
      <c r="AI100" s="22"/>
      <c r="AJ100" s="22"/>
      <c r="AK100" s="22"/>
      <c r="AL100" s="22"/>
      <c r="AM100" s="22"/>
      <c r="AN100" s="22"/>
      <c r="AO100" s="22"/>
      <c r="AP100" s="22"/>
      <c r="AQ100" s="22"/>
      <c r="AR100" s="22"/>
      <c r="AS100" s="22"/>
      <c r="AT100" s="22"/>
      <c r="AU100" s="22"/>
      <c r="AV100" s="22"/>
      <c r="AW100" s="22"/>
    </row>
    <row r="101" spans="2:49" x14ac:dyDescent="0.15">
      <c r="B101" s="22"/>
      <c r="C101" s="22"/>
      <c r="D101" s="22"/>
      <c r="E101" s="22"/>
      <c r="F101" s="22"/>
      <c r="G101" s="22"/>
      <c r="H101" s="22"/>
      <c r="I101" s="22"/>
      <c r="J101" s="22"/>
      <c r="K101" s="22"/>
      <c r="L101" s="22"/>
      <c r="M101" s="22"/>
      <c r="N101" s="22"/>
      <c r="O101" s="22"/>
      <c r="P101" s="22"/>
      <c r="Q101" s="22"/>
      <c r="R101" s="22"/>
      <c r="S101" s="22"/>
      <c r="T101" s="22"/>
      <c r="U101" s="22"/>
      <c r="V101" s="22"/>
      <c r="W101" s="22"/>
      <c r="X101" s="22"/>
      <c r="Y101" s="22"/>
      <c r="Z101" s="22"/>
      <c r="AA101" s="22"/>
      <c r="AB101" s="22"/>
      <c r="AC101" s="22"/>
      <c r="AD101" s="22"/>
      <c r="AE101" s="22"/>
      <c r="AF101" s="22"/>
      <c r="AG101" s="22"/>
      <c r="AH101" s="22"/>
      <c r="AI101" s="22"/>
      <c r="AJ101" s="22"/>
      <c r="AK101" s="22"/>
      <c r="AL101" s="22"/>
      <c r="AM101" s="22"/>
      <c r="AN101" s="22"/>
      <c r="AO101" s="22"/>
      <c r="AP101" s="22"/>
      <c r="AQ101" s="22"/>
      <c r="AR101" s="22"/>
      <c r="AS101" s="22"/>
      <c r="AT101" s="22"/>
      <c r="AU101" s="22"/>
      <c r="AV101" s="22"/>
      <c r="AW101" s="22"/>
    </row>
    <row r="102" spans="2:49" x14ac:dyDescent="0.15">
      <c r="B102" s="22"/>
      <c r="C102" s="22"/>
      <c r="D102" s="22"/>
      <c r="E102" s="22"/>
      <c r="F102" s="22"/>
      <c r="G102" s="22"/>
      <c r="H102" s="22"/>
      <c r="I102" s="22"/>
      <c r="J102" s="22"/>
      <c r="K102" s="22"/>
      <c r="L102" s="22"/>
      <c r="M102" s="22"/>
      <c r="N102" s="22"/>
      <c r="O102" s="22"/>
      <c r="P102" s="22"/>
      <c r="Q102" s="22"/>
      <c r="R102" s="22"/>
      <c r="S102" s="22"/>
      <c r="T102" s="22"/>
      <c r="U102" s="22"/>
      <c r="V102" s="22"/>
      <c r="W102" s="22"/>
      <c r="X102" s="22"/>
      <c r="Y102" s="22"/>
      <c r="Z102" s="22"/>
      <c r="AA102" s="22"/>
      <c r="AB102" s="22"/>
      <c r="AC102" s="22"/>
      <c r="AD102" s="22"/>
      <c r="AE102" s="22"/>
      <c r="AF102" s="22"/>
      <c r="AG102" s="22"/>
      <c r="AH102" s="22"/>
      <c r="AI102" s="22"/>
      <c r="AJ102" s="22"/>
      <c r="AK102" s="22"/>
      <c r="AL102" s="22"/>
      <c r="AM102" s="22"/>
      <c r="AN102" s="22"/>
      <c r="AO102" s="22"/>
      <c r="AP102" s="22"/>
      <c r="AQ102" s="22"/>
      <c r="AR102" s="22"/>
      <c r="AS102" s="22"/>
      <c r="AT102" s="22"/>
      <c r="AU102" s="22"/>
      <c r="AV102" s="22"/>
      <c r="AW102" s="22"/>
    </row>
    <row r="103" spans="2:49" x14ac:dyDescent="0.15">
      <c r="B103" s="22"/>
      <c r="C103" s="22"/>
      <c r="D103" s="22"/>
      <c r="E103" s="22"/>
      <c r="F103" s="22"/>
      <c r="G103" s="22"/>
      <c r="H103" s="22"/>
      <c r="I103" s="22"/>
      <c r="J103" s="22"/>
      <c r="K103" s="22"/>
      <c r="L103" s="22"/>
      <c r="M103" s="22"/>
      <c r="N103" s="22"/>
      <c r="O103" s="22"/>
      <c r="P103" s="22"/>
      <c r="Q103" s="22"/>
      <c r="R103" s="22"/>
      <c r="S103" s="22"/>
      <c r="T103" s="22"/>
      <c r="U103" s="22"/>
      <c r="V103" s="22"/>
      <c r="W103" s="22"/>
      <c r="X103" s="22"/>
      <c r="Y103" s="22"/>
      <c r="Z103" s="22"/>
      <c r="AA103" s="22"/>
      <c r="AB103" s="22"/>
      <c r="AC103" s="22"/>
      <c r="AD103" s="22"/>
      <c r="AE103" s="22"/>
      <c r="AF103" s="22"/>
      <c r="AG103" s="22"/>
      <c r="AH103" s="22"/>
      <c r="AI103" s="22"/>
      <c r="AJ103" s="22"/>
      <c r="AK103" s="22"/>
      <c r="AL103" s="22"/>
      <c r="AM103" s="22"/>
      <c r="AN103" s="22"/>
      <c r="AO103" s="22"/>
      <c r="AP103" s="22"/>
      <c r="AQ103" s="22"/>
      <c r="AR103" s="22"/>
      <c r="AS103" s="22"/>
      <c r="AT103" s="22"/>
      <c r="AU103" s="22"/>
      <c r="AV103" s="22"/>
      <c r="AW103" s="22"/>
    </row>
    <row r="104" spans="2:49" x14ac:dyDescent="0.15">
      <c r="B104" s="22"/>
      <c r="C104" s="22"/>
      <c r="D104" s="22"/>
      <c r="E104" s="22"/>
      <c r="F104" s="22"/>
      <c r="G104" s="22"/>
      <c r="H104" s="22"/>
      <c r="I104" s="22"/>
      <c r="J104" s="22"/>
      <c r="K104" s="22"/>
      <c r="L104" s="22"/>
      <c r="M104" s="22"/>
      <c r="N104" s="22"/>
      <c r="O104" s="22"/>
      <c r="P104" s="22"/>
      <c r="Q104" s="22"/>
      <c r="R104" s="22"/>
      <c r="S104" s="22"/>
      <c r="T104" s="22"/>
      <c r="U104" s="22"/>
      <c r="V104" s="22"/>
      <c r="W104" s="22"/>
      <c r="X104" s="22"/>
      <c r="Y104" s="22"/>
      <c r="Z104" s="22"/>
      <c r="AA104" s="22"/>
      <c r="AB104" s="22"/>
      <c r="AC104" s="22"/>
      <c r="AD104" s="22"/>
      <c r="AE104" s="22"/>
      <c r="AF104" s="22"/>
      <c r="AG104" s="22"/>
      <c r="AH104" s="22"/>
      <c r="AI104" s="22"/>
      <c r="AJ104" s="22"/>
      <c r="AK104" s="22"/>
      <c r="AL104" s="22"/>
      <c r="AM104" s="22"/>
      <c r="AN104" s="22"/>
      <c r="AO104" s="22"/>
      <c r="AP104" s="22"/>
      <c r="AQ104" s="22"/>
      <c r="AR104" s="22"/>
      <c r="AS104" s="22"/>
      <c r="AT104" s="22"/>
      <c r="AU104" s="22"/>
      <c r="AV104" s="22"/>
      <c r="AW104" s="22"/>
    </row>
    <row r="105" spans="2:49" x14ac:dyDescent="0.15">
      <c r="B105" s="22"/>
      <c r="C105" s="22"/>
      <c r="D105" s="22"/>
      <c r="E105" s="22"/>
      <c r="F105" s="22"/>
      <c r="G105" s="22"/>
      <c r="H105" s="22"/>
      <c r="I105" s="22"/>
      <c r="J105" s="22"/>
      <c r="K105" s="22"/>
      <c r="L105" s="22"/>
      <c r="M105" s="22"/>
      <c r="N105" s="22"/>
      <c r="O105" s="22"/>
      <c r="P105" s="22"/>
      <c r="Q105" s="22"/>
      <c r="R105" s="22"/>
      <c r="S105" s="22"/>
      <c r="T105" s="22"/>
      <c r="U105" s="22"/>
      <c r="V105" s="22"/>
      <c r="W105" s="22"/>
      <c r="X105" s="22"/>
      <c r="Y105" s="22"/>
      <c r="Z105" s="22"/>
      <c r="AA105" s="22"/>
      <c r="AB105" s="22"/>
      <c r="AC105" s="22"/>
      <c r="AD105" s="22"/>
      <c r="AE105" s="22"/>
      <c r="AF105" s="22"/>
      <c r="AG105" s="22"/>
      <c r="AH105" s="22"/>
      <c r="AI105" s="22"/>
      <c r="AJ105" s="22"/>
      <c r="AK105" s="22"/>
      <c r="AL105" s="22"/>
      <c r="AM105" s="22"/>
      <c r="AN105" s="22"/>
      <c r="AO105" s="22"/>
      <c r="AP105" s="22"/>
      <c r="AQ105" s="22"/>
      <c r="AR105" s="22"/>
      <c r="AS105" s="22"/>
      <c r="AT105" s="22"/>
      <c r="AU105" s="22"/>
      <c r="AV105" s="22"/>
      <c r="AW105" s="22"/>
    </row>
    <row r="106" spans="2:49" x14ac:dyDescent="0.15">
      <c r="B106" s="22"/>
      <c r="C106" s="22"/>
      <c r="D106" s="22"/>
      <c r="E106" s="22"/>
      <c r="F106" s="22"/>
      <c r="G106" s="22"/>
      <c r="H106" s="22"/>
      <c r="I106" s="22"/>
      <c r="J106" s="22"/>
      <c r="K106" s="22"/>
      <c r="L106" s="22"/>
      <c r="M106" s="22"/>
      <c r="N106" s="22"/>
      <c r="O106" s="22"/>
      <c r="P106" s="22"/>
      <c r="Q106" s="22"/>
      <c r="R106" s="22"/>
      <c r="S106" s="22"/>
      <c r="T106" s="22"/>
      <c r="U106" s="22"/>
      <c r="V106" s="22"/>
      <c r="W106" s="22"/>
      <c r="X106" s="22"/>
      <c r="Y106" s="22"/>
      <c r="Z106" s="22"/>
      <c r="AA106" s="22"/>
      <c r="AB106" s="22"/>
      <c r="AC106" s="22"/>
      <c r="AD106" s="22"/>
      <c r="AE106" s="22"/>
      <c r="AF106" s="22"/>
      <c r="AG106" s="22"/>
      <c r="AH106" s="22"/>
      <c r="AI106" s="22"/>
      <c r="AJ106" s="22"/>
      <c r="AK106" s="22"/>
      <c r="AL106" s="22"/>
      <c r="AM106" s="22"/>
      <c r="AN106" s="22"/>
      <c r="AO106" s="22"/>
      <c r="AP106" s="22"/>
      <c r="AQ106" s="22"/>
      <c r="AR106" s="22"/>
      <c r="AS106" s="22"/>
      <c r="AT106" s="22"/>
      <c r="AU106" s="22"/>
      <c r="AV106" s="22"/>
      <c r="AW106" s="22"/>
    </row>
    <row r="107" spans="2:49" x14ac:dyDescent="0.15">
      <c r="B107" s="22"/>
      <c r="C107" s="22"/>
      <c r="D107" s="22"/>
      <c r="E107" s="22"/>
      <c r="F107" s="22"/>
      <c r="G107" s="22"/>
      <c r="H107" s="22"/>
      <c r="I107" s="22"/>
      <c r="J107" s="22"/>
      <c r="K107" s="22"/>
      <c r="L107" s="22"/>
      <c r="M107" s="22"/>
      <c r="N107" s="22"/>
      <c r="O107" s="22"/>
      <c r="P107" s="22"/>
      <c r="Q107" s="22"/>
      <c r="R107" s="22"/>
      <c r="S107" s="22"/>
      <c r="T107" s="22"/>
      <c r="U107" s="22"/>
      <c r="V107" s="22"/>
      <c r="W107" s="22"/>
      <c r="X107" s="22"/>
      <c r="Y107" s="22"/>
      <c r="Z107" s="22"/>
      <c r="AA107" s="22"/>
      <c r="AB107" s="22"/>
      <c r="AC107" s="22"/>
      <c r="AD107" s="22"/>
      <c r="AE107" s="22"/>
      <c r="AF107" s="22"/>
      <c r="AG107" s="22"/>
      <c r="AH107" s="22"/>
      <c r="AI107" s="22"/>
      <c r="AJ107" s="22"/>
      <c r="AK107" s="22"/>
      <c r="AL107" s="22"/>
      <c r="AM107" s="22"/>
      <c r="AN107" s="22"/>
      <c r="AO107" s="22"/>
      <c r="AP107" s="22"/>
      <c r="AQ107" s="22"/>
      <c r="AR107" s="22"/>
      <c r="AS107" s="22"/>
      <c r="AT107" s="22"/>
      <c r="AU107" s="22"/>
      <c r="AV107" s="22"/>
      <c r="AW107" s="22"/>
    </row>
    <row r="108" spans="2:49" x14ac:dyDescent="0.15">
      <c r="B108" s="22"/>
      <c r="C108" s="22"/>
      <c r="D108" s="22"/>
      <c r="E108" s="22"/>
      <c r="F108" s="22"/>
      <c r="G108" s="22"/>
      <c r="H108" s="22"/>
      <c r="I108" s="22"/>
      <c r="J108" s="22"/>
      <c r="K108" s="22"/>
      <c r="L108" s="22"/>
      <c r="M108" s="22"/>
      <c r="N108" s="22"/>
      <c r="O108" s="22"/>
      <c r="P108" s="22"/>
      <c r="Q108" s="22"/>
      <c r="R108" s="22"/>
      <c r="S108" s="22"/>
      <c r="T108" s="22"/>
      <c r="U108" s="22"/>
      <c r="V108" s="22"/>
      <c r="W108" s="22"/>
      <c r="X108" s="22"/>
      <c r="Y108" s="22"/>
      <c r="Z108" s="22"/>
      <c r="AA108" s="22"/>
      <c r="AB108" s="22"/>
      <c r="AC108" s="22"/>
      <c r="AD108" s="22"/>
      <c r="AE108" s="22"/>
      <c r="AF108" s="22"/>
      <c r="AG108" s="22"/>
      <c r="AH108" s="22"/>
      <c r="AI108" s="22"/>
      <c r="AJ108" s="22"/>
      <c r="AK108" s="22"/>
      <c r="AL108" s="22"/>
      <c r="AM108" s="22"/>
      <c r="AN108" s="22"/>
      <c r="AO108" s="22"/>
      <c r="AP108" s="22"/>
      <c r="AQ108" s="22"/>
      <c r="AR108" s="22"/>
      <c r="AS108" s="22"/>
      <c r="AT108" s="22"/>
      <c r="AU108" s="22"/>
      <c r="AV108" s="22"/>
      <c r="AW108" s="22"/>
    </row>
    <row r="109" spans="2:49" x14ac:dyDescent="0.15">
      <c r="B109" s="22"/>
      <c r="C109" s="22"/>
      <c r="D109" s="22"/>
      <c r="E109" s="22"/>
      <c r="F109" s="22"/>
      <c r="G109" s="22"/>
      <c r="H109" s="22"/>
      <c r="I109" s="22"/>
      <c r="J109" s="22"/>
      <c r="K109" s="22"/>
      <c r="L109" s="22"/>
      <c r="M109" s="22"/>
      <c r="N109" s="22"/>
      <c r="O109" s="22"/>
      <c r="P109" s="22"/>
      <c r="Q109" s="22"/>
      <c r="R109" s="22"/>
      <c r="S109" s="22"/>
      <c r="T109" s="22"/>
      <c r="U109" s="22"/>
      <c r="V109" s="22"/>
      <c r="W109" s="22"/>
      <c r="X109" s="22"/>
      <c r="Y109" s="22"/>
      <c r="Z109" s="22"/>
      <c r="AA109" s="22"/>
      <c r="AB109" s="22"/>
      <c r="AC109" s="22"/>
      <c r="AD109" s="22"/>
      <c r="AE109" s="22"/>
      <c r="AF109" s="22"/>
      <c r="AG109" s="22"/>
      <c r="AH109" s="22"/>
      <c r="AI109" s="22"/>
      <c r="AJ109" s="22"/>
      <c r="AK109" s="22"/>
      <c r="AL109" s="22"/>
      <c r="AM109" s="22"/>
      <c r="AN109" s="22"/>
      <c r="AO109" s="22"/>
      <c r="AP109" s="22"/>
      <c r="AQ109" s="22"/>
      <c r="AR109" s="22"/>
      <c r="AS109" s="22"/>
      <c r="AT109" s="22"/>
      <c r="AU109" s="22"/>
      <c r="AV109" s="22"/>
      <c r="AW109" s="22"/>
    </row>
    <row r="110" spans="2:49" x14ac:dyDescent="0.15">
      <c r="B110" s="22"/>
      <c r="C110" s="22"/>
      <c r="D110" s="22"/>
      <c r="E110" s="22"/>
      <c r="F110" s="22"/>
      <c r="G110" s="22"/>
      <c r="H110" s="22"/>
      <c r="I110" s="22"/>
      <c r="J110" s="22"/>
      <c r="K110" s="22"/>
      <c r="L110" s="22"/>
      <c r="M110" s="22"/>
      <c r="N110" s="22"/>
      <c r="O110" s="22"/>
      <c r="P110" s="22"/>
      <c r="Q110" s="22"/>
      <c r="R110" s="22"/>
      <c r="S110" s="22"/>
      <c r="T110" s="22"/>
      <c r="U110" s="22"/>
      <c r="V110" s="22"/>
      <c r="W110" s="22"/>
      <c r="X110" s="22"/>
      <c r="Y110" s="22"/>
      <c r="Z110" s="22"/>
      <c r="AA110" s="22"/>
      <c r="AB110" s="22"/>
      <c r="AC110" s="22"/>
      <c r="AD110" s="22"/>
      <c r="AE110" s="22"/>
      <c r="AF110" s="22"/>
      <c r="AG110" s="22"/>
      <c r="AH110" s="22"/>
      <c r="AI110" s="22"/>
      <c r="AJ110" s="22"/>
      <c r="AK110" s="22"/>
      <c r="AL110" s="22"/>
      <c r="AM110" s="22"/>
      <c r="AN110" s="22"/>
      <c r="AO110" s="22"/>
      <c r="AP110" s="22"/>
      <c r="AQ110" s="22"/>
      <c r="AR110" s="22"/>
      <c r="AS110" s="22"/>
      <c r="AT110" s="22"/>
      <c r="AU110" s="22"/>
      <c r="AV110" s="22"/>
      <c r="AW110" s="22"/>
    </row>
    <row r="111" spans="2:49" x14ac:dyDescent="0.15">
      <c r="B111" s="22"/>
      <c r="C111" s="22"/>
      <c r="D111" s="22"/>
      <c r="E111" s="22"/>
      <c r="F111" s="22"/>
      <c r="G111" s="22"/>
      <c r="H111" s="22"/>
      <c r="I111" s="22"/>
      <c r="J111" s="22"/>
      <c r="K111" s="22"/>
      <c r="L111" s="22"/>
      <c r="M111" s="22"/>
      <c r="N111" s="22"/>
      <c r="O111" s="22"/>
      <c r="P111" s="22"/>
      <c r="Q111" s="22"/>
      <c r="R111" s="22"/>
      <c r="S111" s="22"/>
      <c r="T111" s="22"/>
      <c r="U111" s="22"/>
      <c r="V111" s="22"/>
      <c r="W111" s="22"/>
      <c r="X111" s="22"/>
      <c r="Y111" s="22"/>
      <c r="Z111" s="22"/>
      <c r="AA111" s="22"/>
      <c r="AB111" s="22"/>
      <c r="AC111" s="22"/>
      <c r="AD111" s="22"/>
      <c r="AE111" s="22"/>
      <c r="AF111" s="22"/>
      <c r="AG111" s="22"/>
      <c r="AH111" s="22"/>
      <c r="AI111" s="22"/>
      <c r="AJ111" s="22"/>
      <c r="AK111" s="22"/>
      <c r="AL111" s="22"/>
      <c r="AM111" s="22"/>
      <c r="AN111" s="22"/>
      <c r="AO111" s="22"/>
      <c r="AP111" s="22"/>
      <c r="AQ111" s="22"/>
      <c r="AR111" s="22"/>
      <c r="AS111" s="22"/>
      <c r="AT111" s="22"/>
      <c r="AU111" s="22"/>
      <c r="AV111" s="22"/>
      <c r="AW111" s="22"/>
    </row>
    <row r="112" spans="2:49" x14ac:dyDescent="0.15">
      <c r="B112" s="22"/>
      <c r="C112" s="22"/>
      <c r="D112" s="22"/>
      <c r="E112" s="22"/>
      <c r="F112" s="22"/>
      <c r="G112" s="22"/>
      <c r="H112" s="22"/>
      <c r="I112" s="22"/>
      <c r="J112" s="22"/>
      <c r="K112" s="22"/>
      <c r="L112" s="22"/>
      <c r="M112" s="22"/>
      <c r="N112" s="22"/>
      <c r="O112" s="22"/>
      <c r="P112" s="22"/>
      <c r="Q112" s="22"/>
      <c r="R112" s="22"/>
      <c r="S112" s="22"/>
      <c r="T112" s="22"/>
      <c r="U112" s="22"/>
      <c r="V112" s="22"/>
      <c r="W112" s="22"/>
      <c r="X112" s="22"/>
      <c r="Y112" s="22"/>
      <c r="Z112" s="22"/>
      <c r="AA112" s="22"/>
      <c r="AB112" s="22"/>
      <c r="AC112" s="22"/>
      <c r="AD112" s="22"/>
      <c r="AE112" s="22"/>
      <c r="AF112" s="22"/>
      <c r="AG112" s="22"/>
      <c r="AH112" s="22"/>
      <c r="AI112" s="22"/>
      <c r="AJ112" s="22"/>
      <c r="AK112" s="22"/>
      <c r="AL112" s="22"/>
      <c r="AM112" s="22"/>
      <c r="AN112" s="22"/>
      <c r="AO112" s="22"/>
      <c r="AP112" s="22"/>
      <c r="AQ112" s="22"/>
      <c r="AR112" s="22"/>
      <c r="AS112" s="22"/>
      <c r="AT112" s="22"/>
      <c r="AU112" s="22"/>
      <c r="AV112" s="22"/>
      <c r="AW112" s="22"/>
    </row>
    <row r="113" spans="2:49" x14ac:dyDescent="0.15">
      <c r="B113" s="22"/>
      <c r="C113" s="22"/>
      <c r="D113" s="22"/>
      <c r="E113" s="22"/>
      <c r="F113" s="22"/>
      <c r="G113" s="22"/>
      <c r="H113" s="22"/>
      <c r="I113" s="22"/>
      <c r="J113" s="22"/>
      <c r="K113" s="22"/>
      <c r="L113" s="22"/>
      <c r="M113" s="22"/>
      <c r="N113" s="22"/>
      <c r="O113" s="22"/>
      <c r="P113" s="22"/>
      <c r="Q113" s="22"/>
      <c r="R113" s="22"/>
      <c r="S113" s="22"/>
      <c r="T113" s="22"/>
      <c r="U113" s="22"/>
      <c r="V113" s="22"/>
      <c r="W113" s="22"/>
      <c r="X113" s="22"/>
      <c r="Y113" s="22"/>
      <c r="Z113" s="22"/>
      <c r="AA113" s="22"/>
      <c r="AB113" s="22"/>
      <c r="AC113" s="22"/>
      <c r="AD113" s="22"/>
      <c r="AE113" s="22"/>
      <c r="AF113" s="22"/>
      <c r="AG113" s="22"/>
      <c r="AH113" s="22"/>
      <c r="AI113" s="22"/>
      <c r="AJ113" s="22"/>
      <c r="AK113" s="22"/>
      <c r="AL113" s="22"/>
      <c r="AM113" s="22"/>
      <c r="AN113" s="22"/>
      <c r="AO113" s="22"/>
      <c r="AP113" s="22"/>
      <c r="AQ113" s="22"/>
      <c r="AR113" s="22"/>
      <c r="AS113" s="22"/>
      <c r="AT113" s="22"/>
      <c r="AU113" s="22"/>
      <c r="AV113" s="22"/>
      <c r="AW113" s="22"/>
    </row>
    <row r="114" spans="2:49" x14ac:dyDescent="0.15">
      <c r="B114" s="22"/>
      <c r="C114" s="22"/>
      <c r="D114" s="22"/>
      <c r="E114" s="22"/>
      <c r="F114" s="22"/>
      <c r="G114" s="22"/>
      <c r="H114" s="22"/>
      <c r="I114" s="22"/>
      <c r="J114" s="22"/>
      <c r="K114" s="22"/>
      <c r="L114" s="22"/>
      <c r="M114" s="22"/>
      <c r="N114" s="22"/>
      <c r="O114" s="22"/>
      <c r="P114" s="22"/>
      <c r="Q114" s="22"/>
      <c r="R114" s="22"/>
      <c r="S114" s="22"/>
      <c r="T114" s="22"/>
      <c r="U114" s="22"/>
      <c r="V114" s="22"/>
      <c r="W114" s="22"/>
      <c r="X114" s="22"/>
      <c r="Y114" s="22"/>
      <c r="Z114" s="22"/>
      <c r="AA114" s="22"/>
      <c r="AB114" s="22"/>
      <c r="AC114" s="22"/>
      <c r="AD114" s="22"/>
      <c r="AE114" s="22"/>
      <c r="AF114" s="22"/>
      <c r="AG114" s="22"/>
      <c r="AH114" s="22"/>
      <c r="AI114" s="22"/>
      <c r="AJ114" s="22"/>
      <c r="AK114" s="22"/>
      <c r="AL114" s="22"/>
      <c r="AM114" s="22"/>
      <c r="AN114" s="22"/>
      <c r="AO114" s="22"/>
      <c r="AP114" s="22"/>
      <c r="AQ114" s="22"/>
      <c r="AR114" s="22"/>
      <c r="AS114" s="22"/>
      <c r="AT114" s="22"/>
      <c r="AU114" s="22"/>
      <c r="AV114" s="22"/>
      <c r="AW114" s="22"/>
    </row>
    <row r="115" spans="2:49" x14ac:dyDescent="0.15">
      <c r="B115" s="22"/>
      <c r="C115" s="22"/>
      <c r="D115" s="22"/>
      <c r="E115" s="22"/>
      <c r="F115" s="22"/>
      <c r="G115" s="22"/>
      <c r="H115" s="22"/>
      <c r="I115" s="22"/>
      <c r="J115" s="22"/>
      <c r="K115" s="22"/>
      <c r="L115" s="22"/>
      <c r="M115" s="22"/>
      <c r="N115" s="22"/>
      <c r="O115" s="22"/>
      <c r="P115" s="22"/>
      <c r="Q115" s="22"/>
      <c r="R115" s="22"/>
      <c r="S115" s="22"/>
      <c r="T115" s="22"/>
      <c r="U115" s="22"/>
      <c r="V115" s="22"/>
      <c r="W115" s="22"/>
      <c r="X115" s="22"/>
      <c r="Y115" s="22"/>
      <c r="Z115" s="22"/>
      <c r="AA115" s="22"/>
      <c r="AB115" s="22"/>
      <c r="AC115" s="22"/>
      <c r="AD115" s="22"/>
      <c r="AE115" s="22"/>
      <c r="AF115" s="22"/>
      <c r="AG115" s="22"/>
      <c r="AH115" s="22"/>
      <c r="AI115" s="22"/>
      <c r="AJ115" s="22"/>
      <c r="AK115" s="22"/>
      <c r="AL115" s="22"/>
      <c r="AM115" s="22"/>
      <c r="AN115" s="22"/>
      <c r="AO115" s="22"/>
      <c r="AP115" s="22"/>
      <c r="AQ115" s="22"/>
      <c r="AR115" s="22"/>
      <c r="AS115" s="22"/>
      <c r="AT115" s="22"/>
      <c r="AU115" s="22"/>
      <c r="AV115" s="22"/>
      <c r="AW115" s="22"/>
    </row>
    <row r="116" spans="2:49" x14ac:dyDescent="0.15">
      <c r="B116" s="22"/>
      <c r="C116" s="22"/>
      <c r="D116" s="22"/>
      <c r="E116" s="22"/>
      <c r="F116" s="22"/>
      <c r="G116" s="22"/>
      <c r="H116" s="22"/>
      <c r="I116" s="22"/>
      <c r="J116" s="22"/>
      <c r="K116" s="22"/>
      <c r="L116" s="22"/>
      <c r="M116" s="22"/>
      <c r="N116" s="22"/>
      <c r="O116" s="22"/>
      <c r="P116" s="22"/>
      <c r="Q116" s="22"/>
      <c r="R116" s="22"/>
      <c r="S116" s="22"/>
      <c r="T116" s="22"/>
      <c r="U116" s="22"/>
      <c r="V116" s="22"/>
      <c r="W116" s="22"/>
      <c r="X116" s="22"/>
      <c r="Y116" s="22"/>
      <c r="Z116" s="22"/>
      <c r="AA116" s="22"/>
      <c r="AB116" s="22"/>
      <c r="AC116" s="22"/>
      <c r="AD116" s="22"/>
      <c r="AE116" s="22"/>
      <c r="AF116" s="22"/>
      <c r="AG116" s="22"/>
      <c r="AH116" s="22"/>
      <c r="AI116" s="22"/>
      <c r="AJ116" s="22"/>
      <c r="AK116" s="22"/>
      <c r="AL116" s="22"/>
      <c r="AM116" s="22"/>
      <c r="AN116" s="22"/>
      <c r="AO116" s="22"/>
      <c r="AP116" s="22"/>
      <c r="AQ116" s="22"/>
      <c r="AR116" s="22"/>
      <c r="AS116" s="22"/>
      <c r="AT116" s="22"/>
      <c r="AU116" s="22"/>
      <c r="AV116" s="22"/>
      <c r="AW116" s="22"/>
    </row>
    <row r="117" spans="2:49" x14ac:dyDescent="0.15">
      <c r="B117" s="22"/>
      <c r="C117" s="22"/>
      <c r="D117" s="22"/>
      <c r="E117" s="22"/>
      <c r="F117" s="22"/>
      <c r="G117" s="22"/>
      <c r="H117" s="22"/>
      <c r="I117" s="22"/>
      <c r="J117" s="22"/>
      <c r="K117" s="22"/>
      <c r="L117" s="22"/>
      <c r="M117" s="22"/>
      <c r="N117" s="22"/>
      <c r="O117" s="22"/>
      <c r="P117" s="22"/>
      <c r="Q117" s="22"/>
      <c r="R117" s="22"/>
      <c r="S117" s="22"/>
      <c r="T117" s="22"/>
      <c r="U117" s="22"/>
      <c r="V117" s="22"/>
      <c r="W117" s="22"/>
      <c r="X117" s="22"/>
      <c r="Y117" s="22"/>
      <c r="Z117" s="22"/>
      <c r="AA117" s="22"/>
      <c r="AB117" s="22"/>
      <c r="AC117" s="22"/>
      <c r="AD117" s="22"/>
      <c r="AE117" s="22"/>
      <c r="AF117" s="22"/>
      <c r="AG117" s="22"/>
      <c r="AH117" s="22"/>
      <c r="AI117" s="22"/>
      <c r="AJ117" s="22"/>
      <c r="AK117" s="22"/>
      <c r="AL117" s="22"/>
      <c r="AM117" s="22"/>
      <c r="AN117" s="22"/>
      <c r="AO117" s="22"/>
      <c r="AP117" s="22"/>
      <c r="AQ117" s="22"/>
      <c r="AR117" s="22"/>
      <c r="AS117" s="22"/>
      <c r="AT117" s="22"/>
      <c r="AU117" s="22"/>
      <c r="AV117" s="22"/>
      <c r="AW117" s="22"/>
    </row>
    <row r="118" spans="2:49" x14ac:dyDescent="0.15">
      <c r="B118" s="22"/>
      <c r="C118" s="22"/>
      <c r="D118" s="22"/>
      <c r="E118" s="22"/>
      <c r="F118" s="22"/>
      <c r="G118" s="22"/>
      <c r="H118" s="22"/>
      <c r="I118" s="22"/>
      <c r="J118" s="22"/>
      <c r="K118" s="22"/>
      <c r="L118" s="22"/>
      <c r="M118" s="22"/>
      <c r="N118" s="22"/>
      <c r="O118" s="22"/>
      <c r="P118" s="22"/>
      <c r="Q118" s="22"/>
      <c r="R118" s="22"/>
      <c r="S118" s="22"/>
      <c r="T118" s="22"/>
      <c r="U118" s="22"/>
      <c r="V118" s="22"/>
      <c r="W118" s="22"/>
      <c r="X118" s="22"/>
      <c r="Y118" s="22"/>
      <c r="Z118" s="22"/>
      <c r="AA118" s="22"/>
      <c r="AB118" s="22"/>
      <c r="AC118" s="22"/>
      <c r="AD118" s="22"/>
      <c r="AE118" s="22"/>
      <c r="AF118" s="22"/>
      <c r="AG118" s="22"/>
      <c r="AH118" s="22"/>
      <c r="AI118" s="22"/>
      <c r="AJ118" s="22"/>
      <c r="AK118" s="22"/>
      <c r="AL118" s="22"/>
      <c r="AM118" s="22"/>
      <c r="AN118" s="22"/>
      <c r="AO118" s="22"/>
      <c r="AP118" s="22"/>
      <c r="AQ118" s="22"/>
      <c r="AR118" s="22"/>
      <c r="AS118" s="22"/>
      <c r="AT118" s="22"/>
      <c r="AU118" s="22"/>
      <c r="AV118" s="22"/>
      <c r="AW118" s="22"/>
    </row>
    <row r="119" spans="2:49" x14ac:dyDescent="0.15">
      <c r="B119" s="22"/>
      <c r="C119" s="22"/>
      <c r="D119" s="22"/>
      <c r="E119" s="22"/>
      <c r="F119" s="22"/>
      <c r="G119" s="22"/>
      <c r="H119" s="22"/>
      <c r="I119" s="22"/>
      <c r="J119" s="22"/>
      <c r="K119" s="22"/>
      <c r="L119" s="22"/>
      <c r="M119" s="22"/>
      <c r="N119" s="22"/>
      <c r="O119" s="22"/>
      <c r="P119" s="22"/>
      <c r="Q119" s="22"/>
      <c r="R119" s="22"/>
      <c r="S119" s="22"/>
      <c r="T119" s="22"/>
      <c r="U119" s="22"/>
      <c r="V119" s="22"/>
      <c r="W119" s="22"/>
      <c r="X119" s="22"/>
      <c r="Y119" s="22"/>
      <c r="Z119" s="22"/>
      <c r="AA119" s="22"/>
      <c r="AB119" s="22"/>
      <c r="AC119" s="22"/>
      <c r="AD119" s="22"/>
      <c r="AE119" s="22"/>
      <c r="AF119" s="22"/>
      <c r="AG119" s="22"/>
      <c r="AH119" s="22"/>
      <c r="AI119" s="22"/>
      <c r="AJ119" s="22"/>
      <c r="AK119" s="22"/>
      <c r="AL119" s="22"/>
      <c r="AM119" s="22"/>
      <c r="AN119" s="22"/>
      <c r="AO119" s="22"/>
      <c r="AP119" s="22"/>
      <c r="AQ119" s="22"/>
      <c r="AR119" s="22"/>
      <c r="AS119" s="22"/>
      <c r="AT119" s="22"/>
      <c r="AU119" s="22"/>
      <c r="AV119" s="22"/>
      <c r="AW119" s="22"/>
    </row>
    <row r="120" spans="2:49" x14ac:dyDescent="0.15">
      <c r="B120" s="22"/>
      <c r="C120" s="22"/>
      <c r="D120" s="22"/>
      <c r="E120" s="22"/>
      <c r="F120" s="22"/>
      <c r="G120" s="22"/>
      <c r="H120" s="22"/>
      <c r="I120" s="22"/>
      <c r="J120" s="22"/>
      <c r="K120" s="22"/>
      <c r="L120" s="22"/>
      <c r="M120" s="22"/>
      <c r="N120" s="22"/>
      <c r="O120" s="22"/>
      <c r="P120" s="22"/>
      <c r="Q120" s="22"/>
      <c r="R120" s="22"/>
      <c r="S120" s="22"/>
      <c r="T120" s="22"/>
      <c r="U120" s="22"/>
      <c r="V120" s="22"/>
      <c r="W120" s="22"/>
      <c r="X120" s="22"/>
      <c r="Y120" s="22"/>
      <c r="Z120" s="22"/>
      <c r="AA120" s="22"/>
      <c r="AB120" s="22"/>
      <c r="AC120" s="22"/>
      <c r="AD120" s="22"/>
      <c r="AE120" s="22"/>
      <c r="AF120" s="22"/>
      <c r="AG120" s="22"/>
      <c r="AH120" s="22"/>
      <c r="AI120" s="22"/>
      <c r="AJ120" s="22"/>
      <c r="AK120" s="22"/>
      <c r="AL120" s="22"/>
      <c r="AM120" s="22"/>
      <c r="AN120" s="22"/>
      <c r="AO120" s="22"/>
      <c r="AP120" s="22"/>
      <c r="AQ120" s="22"/>
      <c r="AR120" s="22"/>
      <c r="AS120" s="22"/>
      <c r="AT120" s="22"/>
      <c r="AU120" s="22"/>
      <c r="AV120" s="22"/>
      <c r="AW120" s="22"/>
    </row>
    <row r="121" spans="2:49" x14ac:dyDescent="0.15">
      <c r="B121" s="22"/>
      <c r="C121" s="22"/>
      <c r="D121" s="22"/>
      <c r="E121" s="22"/>
      <c r="F121" s="22"/>
      <c r="G121" s="22"/>
      <c r="H121" s="22"/>
      <c r="I121" s="22"/>
      <c r="J121" s="22"/>
      <c r="K121" s="22"/>
      <c r="L121" s="22"/>
      <c r="M121" s="22"/>
      <c r="N121" s="22"/>
      <c r="O121" s="22"/>
      <c r="P121" s="22"/>
      <c r="Q121" s="22"/>
      <c r="R121" s="22"/>
      <c r="S121" s="22"/>
      <c r="T121" s="22"/>
      <c r="U121" s="22"/>
      <c r="V121" s="22"/>
      <c r="W121" s="22"/>
      <c r="X121" s="22"/>
      <c r="Y121" s="22"/>
      <c r="Z121" s="22"/>
      <c r="AA121" s="22"/>
      <c r="AB121" s="22"/>
      <c r="AC121" s="22"/>
      <c r="AD121" s="22"/>
      <c r="AE121" s="22"/>
      <c r="AF121" s="22"/>
      <c r="AG121" s="22"/>
      <c r="AH121" s="22"/>
      <c r="AI121" s="22"/>
      <c r="AJ121" s="22"/>
      <c r="AK121" s="22"/>
      <c r="AL121" s="22"/>
      <c r="AM121" s="22"/>
      <c r="AN121" s="22"/>
      <c r="AO121" s="22"/>
      <c r="AP121" s="22"/>
      <c r="AQ121" s="22"/>
      <c r="AR121" s="22"/>
      <c r="AS121" s="22"/>
      <c r="AT121" s="22"/>
      <c r="AU121" s="22"/>
      <c r="AV121" s="22"/>
      <c r="AW121" s="22"/>
    </row>
    <row r="122" spans="2:49" x14ac:dyDescent="0.15">
      <c r="B122" s="22"/>
      <c r="C122" s="22"/>
      <c r="D122" s="22"/>
      <c r="E122" s="22"/>
      <c r="F122" s="22"/>
      <c r="G122" s="22"/>
      <c r="H122" s="22"/>
      <c r="I122" s="22"/>
      <c r="J122" s="22"/>
      <c r="K122" s="22"/>
      <c r="L122" s="22"/>
      <c r="M122" s="22"/>
      <c r="N122" s="22"/>
      <c r="O122" s="22"/>
      <c r="P122" s="22"/>
      <c r="Q122" s="22"/>
      <c r="R122" s="22"/>
      <c r="S122" s="22"/>
      <c r="T122" s="22"/>
      <c r="U122" s="22"/>
      <c r="V122" s="22"/>
      <c r="W122" s="22"/>
      <c r="X122" s="22"/>
      <c r="Y122" s="22"/>
      <c r="Z122" s="22"/>
      <c r="AA122" s="22"/>
      <c r="AB122" s="22"/>
      <c r="AC122" s="22"/>
      <c r="AD122" s="22"/>
      <c r="AE122" s="22"/>
      <c r="AF122" s="22"/>
      <c r="AG122" s="22"/>
      <c r="AH122" s="22"/>
      <c r="AI122" s="22"/>
      <c r="AJ122" s="22"/>
      <c r="AK122" s="22"/>
      <c r="AL122" s="22"/>
      <c r="AM122" s="22"/>
      <c r="AN122" s="22"/>
      <c r="AO122" s="22"/>
      <c r="AP122" s="22"/>
      <c r="AQ122" s="22"/>
      <c r="AR122" s="22"/>
      <c r="AS122" s="22"/>
      <c r="AT122" s="22"/>
      <c r="AU122" s="22"/>
      <c r="AV122" s="22"/>
      <c r="AW122" s="22"/>
    </row>
    <row r="123" spans="2:49" x14ac:dyDescent="0.15">
      <c r="B123" s="22"/>
      <c r="C123" s="22"/>
      <c r="D123" s="22"/>
      <c r="E123" s="22"/>
      <c r="F123" s="22"/>
      <c r="G123" s="22"/>
      <c r="H123" s="22"/>
      <c r="I123" s="22"/>
      <c r="J123" s="22"/>
      <c r="K123" s="22"/>
      <c r="L123" s="22"/>
      <c r="M123" s="22"/>
      <c r="N123" s="22"/>
      <c r="O123" s="22"/>
      <c r="P123" s="22"/>
      <c r="Q123" s="22"/>
      <c r="R123" s="22"/>
      <c r="S123" s="22"/>
      <c r="T123" s="22"/>
      <c r="U123" s="22"/>
      <c r="V123" s="22"/>
      <c r="W123" s="22"/>
      <c r="X123" s="22"/>
      <c r="Y123" s="22"/>
      <c r="Z123" s="22"/>
      <c r="AA123" s="22"/>
      <c r="AB123" s="22"/>
      <c r="AC123" s="22"/>
      <c r="AD123" s="22"/>
      <c r="AE123" s="22"/>
      <c r="AF123" s="22"/>
      <c r="AG123" s="22"/>
      <c r="AH123" s="22"/>
      <c r="AI123" s="22"/>
      <c r="AJ123" s="22"/>
      <c r="AK123" s="22"/>
      <c r="AL123" s="22"/>
      <c r="AM123" s="22"/>
      <c r="AN123" s="22"/>
      <c r="AO123" s="22"/>
      <c r="AP123" s="22"/>
      <c r="AQ123" s="22"/>
      <c r="AR123" s="22"/>
      <c r="AS123" s="22"/>
      <c r="AT123" s="22"/>
      <c r="AU123" s="22"/>
      <c r="AV123" s="22"/>
      <c r="AW123" s="22"/>
    </row>
    <row r="124" spans="2:49" x14ac:dyDescent="0.15">
      <c r="B124" s="22"/>
      <c r="C124" s="22"/>
      <c r="D124" s="22"/>
      <c r="E124" s="22"/>
      <c r="F124" s="22"/>
      <c r="G124" s="22"/>
      <c r="H124" s="22"/>
      <c r="I124" s="22"/>
      <c r="J124" s="22"/>
      <c r="K124" s="22"/>
      <c r="L124" s="22"/>
      <c r="M124" s="22"/>
      <c r="N124" s="22"/>
      <c r="O124" s="22"/>
      <c r="P124" s="22"/>
      <c r="Q124" s="22"/>
      <c r="R124" s="22"/>
      <c r="S124" s="22"/>
      <c r="T124" s="22"/>
      <c r="U124" s="22"/>
      <c r="V124" s="22"/>
      <c r="W124" s="22"/>
      <c r="X124" s="22"/>
      <c r="Y124" s="22"/>
      <c r="Z124" s="22"/>
      <c r="AA124" s="22"/>
      <c r="AB124" s="22"/>
      <c r="AC124" s="22"/>
      <c r="AD124" s="22"/>
      <c r="AE124" s="22"/>
      <c r="AF124" s="22"/>
      <c r="AG124" s="22"/>
      <c r="AH124" s="22"/>
      <c r="AI124" s="22"/>
      <c r="AJ124" s="22"/>
      <c r="AK124" s="22"/>
      <c r="AL124" s="22"/>
      <c r="AM124" s="22"/>
      <c r="AN124" s="22"/>
      <c r="AO124" s="22"/>
      <c r="AP124" s="22"/>
      <c r="AQ124" s="22"/>
      <c r="AR124" s="22"/>
      <c r="AS124" s="22"/>
      <c r="AT124" s="22"/>
      <c r="AU124" s="22"/>
      <c r="AV124" s="22"/>
      <c r="AW124" s="22"/>
    </row>
    <row r="125" spans="2:49" x14ac:dyDescent="0.15">
      <c r="B125" s="22"/>
      <c r="C125" s="22"/>
      <c r="D125" s="22"/>
      <c r="E125" s="22"/>
      <c r="F125" s="22"/>
      <c r="G125" s="22"/>
      <c r="H125" s="22"/>
      <c r="I125" s="22"/>
      <c r="J125" s="22"/>
      <c r="K125" s="22"/>
      <c r="L125" s="22"/>
      <c r="M125" s="22"/>
      <c r="N125" s="22"/>
      <c r="O125" s="22"/>
      <c r="P125" s="22"/>
      <c r="Q125" s="22"/>
      <c r="R125" s="22"/>
      <c r="S125" s="22"/>
      <c r="T125" s="22"/>
      <c r="U125" s="22"/>
      <c r="V125" s="22"/>
      <c r="W125" s="22"/>
      <c r="X125" s="22"/>
      <c r="Y125" s="22"/>
      <c r="Z125" s="22"/>
      <c r="AA125" s="22"/>
      <c r="AB125" s="22"/>
      <c r="AC125" s="22"/>
      <c r="AD125" s="22"/>
      <c r="AE125" s="22"/>
      <c r="AF125" s="22"/>
      <c r="AG125" s="22"/>
      <c r="AH125" s="22"/>
      <c r="AI125" s="22"/>
      <c r="AJ125" s="22"/>
      <c r="AK125" s="22"/>
      <c r="AL125" s="22"/>
      <c r="AM125" s="22"/>
      <c r="AN125" s="22"/>
      <c r="AO125" s="22"/>
      <c r="AP125" s="22"/>
      <c r="AQ125" s="22"/>
      <c r="AR125" s="22"/>
      <c r="AS125" s="22"/>
      <c r="AT125" s="22"/>
      <c r="AU125" s="22"/>
      <c r="AV125" s="22"/>
      <c r="AW125" s="22"/>
    </row>
    <row r="126" spans="2:49" x14ac:dyDescent="0.15">
      <c r="B126" s="22"/>
      <c r="C126" s="22"/>
      <c r="D126" s="22"/>
      <c r="E126" s="22"/>
      <c r="F126" s="22"/>
      <c r="G126" s="22"/>
      <c r="H126" s="22"/>
      <c r="I126" s="22"/>
      <c r="J126" s="22"/>
      <c r="K126" s="22"/>
      <c r="L126" s="22"/>
      <c r="M126" s="22"/>
      <c r="N126" s="22"/>
      <c r="O126" s="22"/>
      <c r="P126" s="22"/>
      <c r="Q126" s="22"/>
      <c r="R126" s="22"/>
      <c r="S126" s="22"/>
      <c r="T126" s="22"/>
      <c r="U126" s="22"/>
      <c r="V126" s="22"/>
      <c r="W126" s="22"/>
      <c r="X126" s="22"/>
      <c r="Y126" s="22"/>
      <c r="Z126" s="22"/>
      <c r="AA126" s="22"/>
      <c r="AB126" s="22"/>
      <c r="AC126" s="22"/>
      <c r="AD126" s="22"/>
      <c r="AE126" s="22"/>
      <c r="AF126" s="22"/>
      <c r="AG126" s="22"/>
      <c r="AH126" s="22"/>
      <c r="AI126" s="22"/>
      <c r="AJ126" s="22"/>
      <c r="AK126" s="22"/>
      <c r="AL126" s="22"/>
      <c r="AM126" s="22"/>
      <c r="AN126" s="22"/>
      <c r="AO126" s="22"/>
      <c r="AP126" s="22"/>
      <c r="AQ126" s="22"/>
      <c r="AR126" s="22"/>
      <c r="AS126" s="22"/>
      <c r="AT126" s="22"/>
      <c r="AU126" s="22"/>
      <c r="AV126" s="22"/>
      <c r="AW126" s="22"/>
    </row>
    <row r="127" spans="2:49" x14ac:dyDescent="0.15">
      <c r="B127" s="22"/>
      <c r="C127" s="22"/>
      <c r="D127" s="22"/>
      <c r="E127" s="22"/>
      <c r="F127" s="22"/>
      <c r="G127" s="22"/>
      <c r="H127" s="22"/>
      <c r="I127" s="22"/>
      <c r="J127" s="22"/>
      <c r="K127" s="22"/>
      <c r="L127" s="22"/>
      <c r="M127" s="22"/>
      <c r="N127" s="22"/>
      <c r="O127" s="22"/>
      <c r="P127" s="22"/>
      <c r="Q127" s="22"/>
      <c r="R127" s="22"/>
      <c r="S127" s="22"/>
      <c r="T127" s="22"/>
      <c r="U127" s="22"/>
      <c r="V127" s="22"/>
      <c r="W127" s="22"/>
      <c r="X127" s="22"/>
      <c r="Y127" s="22"/>
      <c r="Z127" s="22"/>
      <c r="AA127" s="22"/>
      <c r="AB127" s="22"/>
      <c r="AC127" s="22"/>
      <c r="AD127" s="22"/>
      <c r="AE127" s="22"/>
      <c r="AF127" s="22"/>
      <c r="AG127" s="22"/>
      <c r="AH127" s="22"/>
      <c r="AI127" s="22"/>
      <c r="AJ127" s="22"/>
      <c r="AK127" s="22"/>
      <c r="AL127" s="22"/>
      <c r="AM127" s="22"/>
      <c r="AN127" s="22"/>
      <c r="AO127" s="22"/>
      <c r="AP127" s="22"/>
      <c r="AQ127" s="22"/>
      <c r="AR127" s="22"/>
      <c r="AS127" s="22"/>
      <c r="AT127" s="22"/>
      <c r="AU127" s="22"/>
      <c r="AV127" s="22"/>
      <c r="AW127" s="22"/>
    </row>
    <row r="128" spans="2:49" x14ac:dyDescent="0.15">
      <c r="B128" s="22"/>
      <c r="C128" s="22"/>
      <c r="D128" s="22"/>
      <c r="E128" s="22"/>
      <c r="F128" s="22"/>
      <c r="G128" s="22"/>
      <c r="H128" s="22"/>
      <c r="I128" s="22"/>
      <c r="J128" s="22"/>
      <c r="K128" s="22"/>
      <c r="L128" s="22"/>
      <c r="M128" s="22"/>
      <c r="N128" s="22"/>
      <c r="O128" s="22"/>
      <c r="P128" s="22"/>
      <c r="Q128" s="22"/>
      <c r="R128" s="22"/>
      <c r="S128" s="22"/>
      <c r="T128" s="22"/>
      <c r="U128" s="22"/>
      <c r="V128" s="22"/>
      <c r="W128" s="22"/>
      <c r="X128" s="22"/>
      <c r="Y128" s="22"/>
      <c r="Z128" s="22"/>
      <c r="AA128" s="22"/>
      <c r="AB128" s="22"/>
      <c r="AC128" s="22"/>
      <c r="AD128" s="22"/>
      <c r="AE128" s="22"/>
      <c r="AF128" s="22"/>
      <c r="AG128" s="22"/>
      <c r="AH128" s="22"/>
      <c r="AI128" s="22"/>
      <c r="AJ128" s="22"/>
      <c r="AK128" s="22"/>
      <c r="AL128" s="22"/>
      <c r="AM128" s="22"/>
      <c r="AN128" s="22"/>
      <c r="AO128" s="22"/>
      <c r="AP128" s="22"/>
      <c r="AQ128" s="22"/>
      <c r="AR128" s="22"/>
      <c r="AS128" s="22"/>
      <c r="AT128" s="22"/>
      <c r="AU128" s="22"/>
      <c r="AV128" s="22"/>
      <c r="AW128" s="22"/>
    </row>
    <row r="129" spans="2:49" x14ac:dyDescent="0.15">
      <c r="B129" s="22"/>
      <c r="C129" s="22"/>
      <c r="D129" s="22"/>
      <c r="E129" s="22"/>
      <c r="F129" s="22"/>
      <c r="G129" s="22"/>
      <c r="H129" s="22"/>
      <c r="I129" s="22"/>
      <c r="J129" s="22"/>
      <c r="K129" s="22"/>
      <c r="L129" s="22"/>
      <c r="M129" s="22"/>
      <c r="N129" s="22"/>
      <c r="O129" s="22"/>
      <c r="P129" s="22"/>
      <c r="Q129" s="22"/>
      <c r="R129" s="22"/>
      <c r="S129" s="22"/>
      <c r="T129" s="22"/>
      <c r="U129" s="22"/>
      <c r="V129" s="22"/>
      <c r="W129" s="22"/>
      <c r="X129" s="22"/>
      <c r="Y129" s="22"/>
      <c r="Z129" s="22"/>
      <c r="AA129" s="22"/>
      <c r="AB129" s="22"/>
      <c r="AC129" s="22"/>
      <c r="AD129" s="22"/>
      <c r="AE129" s="22"/>
      <c r="AF129" s="22"/>
      <c r="AG129" s="22"/>
      <c r="AH129" s="22"/>
      <c r="AI129" s="22"/>
      <c r="AJ129" s="22"/>
      <c r="AK129" s="22"/>
      <c r="AL129" s="22"/>
      <c r="AM129" s="22"/>
      <c r="AN129" s="22"/>
      <c r="AO129" s="22"/>
      <c r="AP129" s="22"/>
      <c r="AQ129" s="22"/>
      <c r="AR129" s="22"/>
      <c r="AS129" s="22"/>
      <c r="AT129" s="22"/>
      <c r="AU129" s="22"/>
      <c r="AV129" s="22"/>
      <c r="AW129" s="22"/>
    </row>
    <row r="130" spans="2:49" x14ac:dyDescent="0.15">
      <c r="B130" s="22"/>
      <c r="C130" s="22"/>
      <c r="D130" s="22"/>
      <c r="E130" s="22"/>
      <c r="F130" s="22"/>
      <c r="G130" s="22"/>
      <c r="H130" s="22"/>
      <c r="I130" s="22"/>
      <c r="J130" s="22"/>
      <c r="K130" s="22"/>
      <c r="L130" s="22"/>
      <c r="M130" s="22"/>
      <c r="N130" s="22"/>
      <c r="O130" s="22"/>
      <c r="P130" s="22"/>
      <c r="Q130" s="22"/>
      <c r="R130" s="22"/>
      <c r="S130" s="22"/>
      <c r="T130" s="22"/>
      <c r="U130" s="22"/>
      <c r="V130" s="22"/>
      <c r="W130" s="22"/>
      <c r="X130" s="22"/>
      <c r="Y130" s="22"/>
      <c r="Z130" s="22"/>
      <c r="AA130" s="22"/>
      <c r="AB130" s="22"/>
      <c r="AC130" s="22"/>
      <c r="AD130" s="22"/>
      <c r="AE130" s="22"/>
      <c r="AF130" s="22"/>
      <c r="AG130" s="22"/>
      <c r="AH130" s="22"/>
      <c r="AI130" s="22"/>
      <c r="AJ130" s="22"/>
      <c r="AK130" s="22"/>
      <c r="AL130" s="22"/>
      <c r="AM130" s="22"/>
      <c r="AN130" s="22"/>
      <c r="AO130" s="22"/>
      <c r="AP130" s="22"/>
      <c r="AQ130" s="22"/>
      <c r="AR130" s="22"/>
      <c r="AS130" s="22"/>
      <c r="AT130" s="22"/>
      <c r="AU130" s="22"/>
      <c r="AV130" s="22"/>
      <c r="AW130" s="22"/>
    </row>
    <row r="131" spans="2:49" x14ac:dyDescent="0.15">
      <c r="B131" s="22"/>
      <c r="C131" s="22"/>
      <c r="D131" s="22"/>
      <c r="E131" s="22"/>
      <c r="F131" s="22"/>
      <c r="G131" s="22"/>
      <c r="H131" s="22"/>
      <c r="I131" s="22"/>
      <c r="J131" s="22"/>
      <c r="K131" s="22"/>
      <c r="L131" s="22"/>
      <c r="M131" s="22"/>
      <c r="N131" s="22"/>
      <c r="O131" s="22"/>
      <c r="P131" s="22"/>
      <c r="Q131" s="22"/>
      <c r="R131" s="22"/>
      <c r="S131" s="22"/>
      <c r="T131" s="22"/>
      <c r="U131" s="22"/>
      <c r="V131" s="22"/>
      <c r="W131" s="22"/>
      <c r="X131" s="22"/>
      <c r="Y131" s="22"/>
      <c r="Z131" s="22"/>
      <c r="AA131" s="22"/>
      <c r="AB131" s="22"/>
      <c r="AC131" s="22"/>
      <c r="AD131" s="22"/>
      <c r="AE131" s="22"/>
      <c r="AF131" s="22"/>
      <c r="AG131" s="22"/>
      <c r="AH131" s="22"/>
      <c r="AI131" s="22"/>
      <c r="AJ131" s="22"/>
      <c r="AK131" s="22"/>
      <c r="AL131" s="22"/>
      <c r="AM131" s="22"/>
      <c r="AN131" s="22"/>
      <c r="AO131" s="22"/>
      <c r="AP131" s="22"/>
      <c r="AQ131" s="22"/>
      <c r="AR131" s="22"/>
      <c r="AS131" s="22"/>
      <c r="AT131" s="22"/>
      <c r="AU131" s="22"/>
      <c r="AV131" s="22"/>
      <c r="AW131" s="22"/>
    </row>
    <row r="132" spans="2:49" x14ac:dyDescent="0.15">
      <c r="B132" s="22"/>
      <c r="C132" s="22"/>
      <c r="D132" s="22"/>
      <c r="E132" s="22"/>
      <c r="F132" s="22"/>
      <c r="G132" s="22"/>
      <c r="H132" s="22"/>
      <c r="I132" s="22"/>
      <c r="J132" s="22"/>
      <c r="K132" s="22"/>
      <c r="L132" s="22"/>
      <c r="M132" s="22"/>
      <c r="N132" s="22"/>
      <c r="O132" s="22"/>
      <c r="P132" s="22"/>
      <c r="Q132" s="22"/>
      <c r="R132" s="22"/>
      <c r="S132" s="22"/>
      <c r="T132" s="22"/>
      <c r="U132" s="22"/>
      <c r="V132" s="22"/>
      <c r="W132" s="22"/>
      <c r="X132" s="22"/>
      <c r="Y132" s="22"/>
      <c r="Z132" s="22"/>
      <c r="AA132" s="22"/>
      <c r="AB132" s="22"/>
      <c r="AC132" s="22"/>
      <c r="AD132" s="22"/>
      <c r="AE132" s="22"/>
      <c r="AF132" s="22"/>
      <c r="AG132" s="22"/>
      <c r="AH132" s="22"/>
      <c r="AI132" s="22"/>
      <c r="AJ132" s="22"/>
      <c r="AK132" s="22"/>
      <c r="AL132" s="22"/>
      <c r="AM132" s="22"/>
      <c r="AN132" s="22"/>
      <c r="AO132" s="22"/>
      <c r="AP132" s="22"/>
      <c r="AQ132" s="22"/>
      <c r="AR132" s="22"/>
      <c r="AS132" s="22"/>
      <c r="AT132" s="22"/>
      <c r="AU132" s="22"/>
      <c r="AV132" s="22"/>
      <c r="AW132" s="22"/>
    </row>
    <row r="133" spans="2:49" x14ac:dyDescent="0.15">
      <c r="B133" s="22"/>
      <c r="C133" s="22"/>
      <c r="D133" s="22"/>
      <c r="E133" s="22"/>
      <c r="F133" s="22"/>
      <c r="G133" s="22"/>
      <c r="H133" s="22"/>
      <c r="I133" s="22"/>
      <c r="J133" s="22"/>
      <c r="K133" s="22"/>
      <c r="L133" s="22"/>
      <c r="M133" s="22"/>
      <c r="N133" s="22"/>
      <c r="O133" s="22"/>
      <c r="P133" s="22"/>
      <c r="Q133" s="22"/>
      <c r="R133" s="22"/>
      <c r="S133" s="22"/>
      <c r="T133" s="22"/>
      <c r="U133" s="22"/>
      <c r="V133" s="22"/>
      <c r="W133" s="22"/>
      <c r="X133" s="22"/>
      <c r="Y133" s="22"/>
      <c r="Z133" s="22"/>
      <c r="AA133" s="22"/>
      <c r="AB133" s="22"/>
      <c r="AC133" s="22"/>
      <c r="AD133" s="22"/>
      <c r="AE133" s="22"/>
      <c r="AF133" s="22"/>
      <c r="AG133" s="22"/>
      <c r="AH133" s="22"/>
      <c r="AI133" s="22"/>
      <c r="AJ133" s="22"/>
      <c r="AK133" s="22"/>
      <c r="AL133" s="22"/>
      <c r="AM133" s="22"/>
      <c r="AN133" s="22"/>
      <c r="AO133" s="22"/>
      <c r="AP133" s="22"/>
      <c r="AQ133" s="22"/>
      <c r="AR133" s="22"/>
      <c r="AS133" s="22"/>
      <c r="AT133" s="22"/>
      <c r="AU133" s="22"/>
      <c r="AV133" s="22"/>
      <c r="AW133" s="22"/>
    </row>
    <row r="134" spans="2:49" x14ac:dyDescent="0.15">
      <c r="B134" s="22"/>
      <c r="C134" s="22"/>
      <c r="D134" s="22"/>
      <c r="E134" s="22"/>
      <c r="F134" s="22"/>
      <c r="G134" s="22"/>
      <c r="H134" s="22"/>
      <c r="I134" s="22"/>
      <c r="J134" s="22"/>
      <c r="K134" s="22"/>
      <c r="L134" s="22"/>
      <c r="M134" s="22"/>
      <c r="N134" s="22"/>
      <c r="O134" s="22"/>
      <c r="P134" s="22"/>
      <c r="Q134" s="22"/>
      <c r="R134" s="22"/>
      <c r="S134" s="22"/>
      <c r="T134" s="22"/>
      <c r="U134" s="22"/>
      <c r="V134" s="22"/>
      <c r="W134" s="22"/>
      <c r="X134" s="22"/>
      <c r="Y134" s="22"/>
      <c r="Z134" s="22"/>
      <c r="AA134" s="22"/>
      <c r="AB134" s="22"/>
      <c r="AC134" s="22"/>
      <c r="AD134" s="22"/>
      <c r="AE134" s="22"/>
      <c r="AF134" s="22"/>
      <c r="AG134" s="22"/>
      <c r="AH134" s="22"/>
      <c r="AI134" s="22"/>
      <c r="AJ134" s="22"/>
      <c r="AK134" s="22"/>
      <c r="AL134" s="22"/>
      <c r="AM134" s="22"/>
      <c r="AN134" s="22"/>
      <c r="AO134" s="22"/>
      <c r="AP134" s="22"/>
      <c r="AQ134" s="22"/>
      <c r="AR134" s="22"/>
      <c r="AS134" s="22"/>
      <c r="AT134" s="22"/>
      <c r="AU134" s="22"/>
      <c r="AV134" s="22"/>
      <c r="AW134" s="22"/>
    </row>
    <row r="135" spans="2:49" x14ac:dyDescent="0.15">
      <c r="B135" s="22"/>
      <c r="C135" s="22"/>
      <c r="D135" s="22"/>
      <c r="E135" s="22"/>
      <c r="F135" s="22"/>
      <c r="G135" s="22"/>
      <c r="H135" s="22"/>
      <c r="I135" s="22"/>
      <c r="J135" s="22"/>
      <c r="K135" s="22"/>
      <c r="L135" s="22"/>
      <c r="M135" s="22"/>
      <c r="N135" s="22"/>
      <c r="O135" s="22"/>
      <c r="P135" s="22"/>
      <c r="Q135" s="22"/>
      <c r="R135" s="22"/>
      <c r="S135" s="22"/>
      <c r="T135" s="22"/>
      <c r="U135" s="22"/>
      <c r="V135" s="22"/>
      <c r="W135" s="22"/>
      <c r="X135" s="22"/>
      <c r="Y135" s="22"/>
      <c r="Z135" s="22"/>
      <c r="AA135" s="22"/>
      <c r="AB135" s="22"/>
      <c r="AC135" s="22"/>
      <c r="AD135" s="22"/>
      <c r="AE135" s="22"/>
      <c r="AF135" s="22"/>
      <c r="AG135" s="22"/>
      <c r="AH135" s="22"/>
      <c r="AI135" s="22"/>
      <c r="AJ135" s="22"/>
      <c r="AK135" s="22"/>
      <c r="AL135" s="22"/>
      <c r="AM135" s="22"/>
      <c r="AN135" s="22"/>
      <c r="AO135" s="22"/>
      <c r="AP135" s="22"/>
      <c r="AQ135" s="22"/>
      <c r="AR135" s="22"/>
      <c r="AS135" s="22"/>
      <c r="AT135" s="22"/>
      <c r="AU135" s="22"/>
      <c r="AV135" s="22"/>
      <c r="AW135" s="22"/>
    </row>
    <row r="136" spans="2:49" x14ac:dyDescent="0.15">
      <c r="B136" s="22"/>
      <c r="C136" s="22"/>
      <c r="D136" s="22"/>
      <c r="E136" s="22"/>
      <c r="F136" s="22"/>
      <c r="G136" s="22"/>
      <c r="H136" s="22"/>
      <c r="I136" s="22"/>
      <c r="J136" s="22"/>
      <c r="K136" s="22"/>
      <c r="L136" s="22"/>
      <c r="M136" s="22"/>
      <c r="N136" s="22"/>
      <c r="O136" s="22"/>
      <c r="P136" s="22"/>
      <c r="Q136" s="22"/>
      <c r="R136" s="22"/>
      <c r="S136" s="22"/>
      <c r="T136" s="22"/>
      <c r="U136" s="22"/>
      <c r="V136" s="22"/>
      <c r="W136" s="22"/>
      <c r="X136" s="22"/>
      <c r="Y136" s="22"/>
      <c r="Z136" s="22"/>
      <c r="AA136" s="22"/>
      <c r="AB136" s="22"/>
      <c r="AC136" s="22"/>
      <c r="AD136" s="22"/>
      <c r="AE136" s="22"/>
      <c r="AF136" s="22"/>
      <c r="AG136" s="22"/>
      <c r="AH136" s="22"/>
      <c r="AI136" s="22"/>
      <c r="AJ136" s="22"/>
      <c r="AK136" s="22"/>
      <c r="AL136" s="22"/>
      <c r="AM136" s="22"/>
      <c r="AN136" s="22"/>
      <c r="AO136" s="22"/>
      <c r="AP136" s="22"/>
      <c r="AQ136" s="22"/>
      <c r="AR136" s="22"/>
      <c r="AS136" s="22"/>
      <c r="AT136" s="22"/>
      <c r="AU136" s="22"/>
      <c r="AV136" s="22"/>
      <c r="AW136" s="22"/>
    </row>
    <row r="137" spans="2:49" x14ac:dyDescent="0.15">
      <c r="B137" s="22"/>
      <c r="C137" s="22"/>
      <c r="D137" s="22"/>
      <c r="E137" s="22"/>
      <c r="F137" s="22"/>
      <c r="G137" s="22"/>
      <c r="H137" s="22"/>
      <c r="I137" s="22"/>
      <c r="J137" s="22"/>
      <c r="K137" s="22"/>
      <c r="L137" s="22"/>
      <c r="M137" s="22"/>
      <c r="N137" s="22"/>
      <c r="O137" s="22"/>
      <c r="P137" s="22"/>
      <c r="Q137" s="22"/>
      <c r="R137" s="22"/>
      <c r="S137" s="22"/>
      <c r="T137" s="22"/>
      <c r="U137" s="22"/>
      <c r="V137" s="22"/>
      <c r="W137" s="22"/>
      <c r="X137" s="22"/>
      <c r="Y137" s="22"/>
      <c r="Z137" s="22"/>
      <c r="AA137" s="22"/>
      <c r="AB137" s="22"/>
      <c r="AC137" s="22"/>
      <c r="AD137" s="22"/>
      <c r="AE137" s="22"/>
      <c r="AF137" s="22"/>
      <c r="AG137" s="22"/>
      <c r="AH137" s="22"/>
      <c r="AI137" s="22"/>
      <c r="AJ137" s="22"/>
      <c r="AK137" s="22"/>
      <c r="AL137" s="22"/>
      <c r="AM137" s="22"/>
      <c r="AN137" s="22"/>
      <c r="AO137" s="22"/>
      <c r="AP137" s="22"/>
      <c r="AQ137" s="22"/>
      <c r="AR137" s="22"/>
      <c r="AS137" s="22"/>
      <c r="AT137" s="22"/>
      <c r="AU137" s="22"/>
      <c r="AV137" s="22"/>
      <c r="AW137" s="22"/>
    </row>
    <row r="138" spans="2:49" x14ac:dyDescent="0.15">
      <c r="B138" s="22"/>
      <c r="C138" s="22"/>
      <c r="D138" s="22"/>
      <c r="E138" s="22"/>
      <c r="F138" s="22"/>
      <c r="G138" s="22"/>
      <c r="H138" s="22"/>
      <c r="I138" s="22"/>
      <c r="J138" s="22"/>
      <c r="K138" s="22"/>
      <c r="L138" s="22"/>
      <c r="M138" s="22"/>
      <c r="N138" s="22"/>
      <c r="O138" s="22"/>
      <c r="P138" s="22"/>
      <c r="Q138" s="22"/>
      <c r="R138" s="22"/>
      <c r="S138" s="22"/>
      <c r="T138" s="22"/>
      <c r="U138" s="22"/>
      <c r="V138" s="22"/>
      <c r="W138" s="22"/>
      <c r="X138" s="22"/>
      <c r="Y138" s="22"/>
      <c r="Z138" s="22"/>
      <c r="AA138" s="22"/>
      <c r="AB138" s="22"/>
      <c r="AC138" s="22"/>
      <c r="AD138" s="22"/>
      <c r="AE138" s="22"/>
      <c r="AF138" s="22"/>
      <c r="AG138" s="22"/>
      <c r="AH138" s="22"/>
      <c r="AI138" s="22"/>
      <c r="AJ138" s="22"/>
      <c r="AK138" s="22"/>
      <c r="AL138" s="22"/>
      <c r="AM138" s="22"/>
      <c r="AN138" s="22"/>
      <c r="AO138" s="22"/>
      <c r="AP138" s="22"/>
      <c r="AQ138" s="22"/>
      <c r="AR138" s="22"/>
      <c r="AS138" s="22"/>
      <c r="AT138" s="22"/>
      <c r="AU138" s="22"/>
      <c r="AV138" s="22"/>
      <c r="AW138" s="22"/>
    </row>
    <row r="139" spans="2:49" x14ac:dyDescent="0.15">
      <c r="B139" s="22"/>
      <c r="C139" s="22"/>
      <c r="D139" s="22"/>
      <c r="E139" s="22"/>
      <c r="F139" s="22"/>
      <c r="G139" s="22"/>
      <c r="H139" s="22"/>
      <c r="I139" s="22"/>
      <c r="J139" s="22"/>
      <c r="K139" s="22"/>
      <c r="L139" s="22"/>
      <c r="M139" s="22"/>
      <c r="N139" s="22"/>
      <c r="O139" s="22"/>
      <c r="P139" s="22"/>
      <c r="Q139" s="22"/>
      <c r="R139" s="22"/>
      <c r="S139" s="22"/>
      <c r="T139" s="22"/>
      <c r="U139" s="22"/>
      <c r="V139" s="22"/>
      <c r="W139" s="22"/>
      <c r="X139" s="22"/>
      <c r="Y139" s="22"/>
      <c r="Z139" s="22"/>
      <c r="AA139" s="22"/>
      <c r="AB139" s="22"/>
      <c r="AC139" s="22"/>
      <c r="AD139" s="22"/>
      <c r="AE139" s="22"/>
      <c r="AF139" s="22"/>
      <c r="AG139" s="22"/>
      <c r="AH139" s="22"/>
      <c r="AI139" s="22"/>
      <c r="AJ139" s="22"/>
      <c r="AK139" s="22"/>
      <c r="AL139" s="22"/>
      <c r="AM139" s="22"/>
      <c r="AN139" s="22"/>
      <c r="AO139" s="22"/>
      <c r="AP139" s="22"/>
      <c r="AQ139" s="22"/>
      <c r="AR139" s="22"/>
      <c r="AS139" s="22"/>
      <c r="AT139" s="22"/>
      <c r="AU139" s="22"/>
      <c r="AV139" s="22"/>
      <c r="AW139" s="22"/>
    </row>
    <row r="140" spans="2:49" x14ac:dyDescent="0.15">
      <c r="B140" s="22"/>
      <c r="C140" s="22"/>
      <c r="D140" s="22"/>
      <c r="E140" s="22"/>
      <c r="F140" s="22"/>
      <c r="G140" s="22"/>
      <c r="H140" s="22"/>
      <c r="I140" s="22"/>
      <c r="J140" s="22"/>
      <c r="K140" s="22"/>
      <c r="L140" s="22"/>
      <c r="M140" s="22"/>
      <c r="N140" s="22"/>
      <c r="O140" s="22"/>
      <c r="P140" s="22"/>
      <c r="Q140" s="22"/>
      <c r="R140" s="22"/>
      <c r="S140" s="22"/>
      <c r="T140" s="22"/>
      <c r="U140" s="22"/>
      <c r="V140" s="22"/>
      <c r="W140" s="22"/>
      <c r="X140" s="22"/>
      <c r="Y140" s="22"/>
      <c r="Z140" s="22"/>
      <c r="AA140" s="22"/>
      <c r="AB140" s="22"/>
      <c r="AC140" s="22"/>
      <c r="AD140" s="22"/>
      <c r="AE140" s="22"/>
      <c r="AF140" s="22"/>
      <c r="AG140" s="22"/>
      <c r="AH140" s="22"/>
      <c r="AI140" s="22"/>
      <c r="AJ140" s="22"/>
      <c r="AK140" s="22"/>
      <c r="AL140" s="22"/>
      <c r="AM140" s="22"/>
      <c r="AN140" s="22"/>
      <c r="AO140" s="22"/>
      <c r="AP140" s="22"/>
      <c r="AQ140" s="22"/>
      <c r="AR140" s="22"/>
      <c r="AS140" s="22"/>
      <c r="AT140" s="22"/>
      <c r="AU140" s="22"/>
      <c r="AV140" s="22"/>
      <c r="AW140" s="22"/>
    </row>
    <row r="141" spans="2:49" x14ac:dyDescent="0.15">
      <c r="B141" s="22"/>
      <c r="C141" s="22"/>
      <c r="D141" s="22"/>
      <c r="E141" s="22"/>
      <c r="F141" s="22"/>
      <c r="G141" s="22"/>
      <c r="H141" s="22"/>
      <c r="I141" s="22"/>
      <c r="J141" s="22"/>
      <c r="K141" s="22"/>
      <c r="L141" s="22"/>
      <c r="M141" s="22"/>
      <c r="N141" s="22"/>
      <c r="O141" s="22"/>
      <c r="P141" s="22"/>
      <c r="Q141" s="22"/>
      <c r="R141" s="22"/>
      <c r="S141" s="22"/>
      <c r="T141" s="22"/>
      <c r="U141" s="22"/>
      <c r="V141" s="22"/>
      <c r="W141" s="22"/>
      <c r="X141" s="22"/>
      <c r="Y141" s="22"/>
      <c r="Z141" s="22"/>
      <c r="AA141" s="22"/>
      <c r="AB141" s="22"/>
      <c r="AC141" s="22"/>
      <c r="AD141" s="22"/>
      <c r="AE141" s="22"/>
      <c r="AF141" s="22"/>
      <c r="AG141" s="22"/>
      <c r="AH141" s="22"/>
      <c r="AI141" s="22"/>
      <c r="AJ141" s="22"/>
      <c r="AK141" s="22"/>
      <c r="AL141" s="22"/>
      <c r="AM141" s="22"/>
      <c r="AN141" s="22"/>
      <c r="AO141" s="22"/>
      <c r="AP141" s="22"/>
      <c r="AQ141" s="22"/>
      <c r="AR141" s="22"/>
      <c r="AS141" s="22"/>
      <c r="AT141" s="22"/>
      <c r="AU141" s="22"/>
      <c r="AV141" s="22"/>
      <c r="AW141" s="22"/>
    </row>
    <row r="142" spans="2:49" x14ac:dyDescent="0.15">
      <c r="B142" s="22"/>
      <c r="C142" s="22"/>
      <c r="D142" s="22"/>
      <c r="E142" s="22"/>
      <c r="F142" s="22"/>
      <c r="G142" s="22"/>
      <c r="H142" s="22"/>
      <c r="I142" s="22"/>
      <c r="J142" s="22"/>
      <c r="K142" s="22"/>
      <c r="L142" s="22"/>
      <c r="M142" s="22"/>
      <c r="N142" s="22"/>
      <c r="O142" s="22"/>
      <c r="P142" s="22"/>
      <c r="Q142" s="22"/>
      <c r="R142" s="22"/>
      <c r="S142" s="22"/>
      <c r="T142" s="22"/>
      <c r="U142" s="22"/>
      <c r="V142" s="22"/>
      <c r="W142" s="22"/>
      <c r="X142" s="22"/>
      <c r="Y142" s="22"/>
      <c r="Z142" s="22"/>
      <c r="AA142" s="22"/>
      <c r="AB142" s="22"/>
      <c r="AC142" s="22"/>
      <c r="AD142" s="22"/>
      <c r="AE142" s="22"/>
      <c r="AF142" s="22"/>
      <c r="AG142" s="22"/>
      <c r="AH142" s="22"/>
      <c r="AI142" s="22"/>
      <c r="AJ142" s="22"/>
      <c r="AK142" s="22"/>
      <c r="AL142" s="22"/>
      <c r="AM142" s="22"/>
      <c r="AN142" s="22"/>
      <c r="AO142" s="22"/>
      <c r="AP142" s="22"/>
      <c r="AQ142" s="22"/>
      <c r="AR142" s="22"/>
      <c r="AS142" s="22"/>
      <c r="AT142" s="22"/>
      <c r="AU142" s="22"/>
      <c r="AV142" s="22"/>
      <c r="AW142" s="22"/>
    </row>
    <row r="143" spans="2:49" x14ac:dyDescent="0.15">
      <c r="B143" s="22"/>
      <c r="C143" s="22"/>
      <c r="D143" s="22"/>
      <c r="E143" s="22"/>
      <c r="F143" s="22"/>
      <c r="G143" s="22"/>
      <c r="H143" s="22"/>
      <c r="I143" s="22"/>
      <c r="J143" s="22"/>
      <c r="K143" s="22"/>
      <c r="L143" s="22"/>
      <c r="M143" s="22"/>
      <c r="N143" s="22"/>
      <c r="O143" s="22"/>
      <c r="P143" s="22"/>
      <c r="Q143" s="22"/>
      <c r="R143" s="22"/>
      <c r="S143" s="22"/>
      <c r="T143" s="22"/>
      <c r="U143" s="22"/>
      <c r="V143" s="22"/>
      <c r="W143" s="22"/>
      <c r="X143" s="22"/>
      <c r="Y143" s="22"/>
      <c r="Z143" s="22"/>
      <c r="AA143" s="22"/>
      <c r="AB143" s="22"/>
      <c r="AC143" s="22"/>
      <c r="AD143" s="22"/>
      <c r="AE143" s="22"/>
      <c r="AF143" s="22"/>
      <c r="AG143" s="22"/>
      <c r="AH143" s="22"/>
      <c r="AI143" s="22"/>
      <c r="AJ143" s="22"/>
      <c r="AK143" s="22"/>
      <c r="AL143" s="22"/>
      <c r="AM143" s="22"/>
      <c r="AN143" s="22"/>
      <c r="AO143" s="22"/>
      <c r="AP143" s="22"/>
      <c r="AQ143" s="22"/>
      <c r="AR143" s="22"/>
      <c r="AS143" s="22"/>
      <c r="AT143" s="22"/>
      <c r="AU143" s="22"/>
      <c r="AV143" s="22"/>
      <c r="AW143" s="22"/>
    </row>
    <row r="144" spans="2:49" x14ac:dyDescent="0.15">
      <c r="B144" s="22"/>
      <c r="C144" s="22"/>
      <c r="D144" s="22"/>
      <c r="E144" s="22"/>
      <c r="F144" s="22"/>
      <c r="G144" s="22"/>
      <c r="H144" s="22"/>
      <c r="I144" s="22"/>
      <c r="J144" s="22"/>
      <c r="K144" s="22"/>
      <c r="L144" s="22"/>
      <c r="M144" s="22"/>
      <c r="N144" s="22"/>
      <c r="O144" s="22"/>
      <c r="P144" s="22"/>
      <c r="Q144" s="22"/>
      <c r="R144" s="22"/>
      <c r="S144" s="22"/>
      <c r="T144" s="22"/>
      <c r="U144" s="22"/>
      <c r="V144" s="22"/>
      <c r="W144" s="22"/>
      <c r="X144" s="22"/>
      <c r="Y144" s="22"/>
      <c r="Z144" s="22"/>
      <c r="AA144" s="22"/>
      <c r="AB144" s="22"/>
      <c r="AC144" s="22"/>
      <c r="AD144" s="22"/>
      <c r="AE144" s="22"/>
      <c r="AF144" s="22"/>
      <c r="AG144" s="22"/>
      <c r="AH144" s="22"/>
      <c r="AI144" s="22"/>
      <c r="AJ144" s="22"/>
      <c r="AK144" s="22"/>
      <c r="AL144" s="22"/>
      <c r="AM144" s="22"/>
      <c r="AN144" s="22"/>
      <c r="AO144" s="22"/>
      <c r="AP144" s="22"/>
      <c r="AQ144" s="22"/>
      <c r="AR144" s="22"/>
      <c r="AS144" s="22"/>
      <c r="AT144" s="22"/>
      <c r="AU144" s="22"/>
      <c r="AV144" s="22"/>
      <c r="AW144" s="22"/>
    </row>
    <row r="145" spans="2:49" x14ac:dyDescent="0.15">
      <c r="B145" s="22"/>
      <c r="C145" s="22"/>
      <c r="D145" s="22"/>
      <c r="E145" s="22"/>
      <c r="F145" s="22"/>
      <c r="G145" s="22"/>
      <c r="H145" s="22"/>
      <c r="I145" s="22"/>
      <c r="J145" s="22"/>
      <c r="K145" s="22"/>
      <c r="L145" s="22"/>
      <c r="M145" s="22"/>
      <c r="N145" s="22"/>
      <c r="O145" s="22"/>
      <c r="P145" s="22"/>
      <c r="Q145" s="22"/>
      <c r="R145" s="22"/>
      <c r="S145" s="22"/>
      <c r="T145" s="22"/>
      <c r="U145" s="22"/>
      <c r="V145" s="22"/>
      <c r="W145" s="22"/>
      <c r="X145" s="22"/>
      <c r="Y145" s="22"/>
      <c r="Z145" s="22"/>
      <c r="AA145" s="22"/>
      <c r="AB145" s="22"/>
      <c r="AC145" s="22"/>
      <c r="AD145" s="22"/>
      <c r="AE145" s="22"/>
      <c r="AF145" s="22"/>
      <c r="AG145" s="22"/>
      <c r="AH145" s="22"/>
      <c r="AI145" s="22"/>
      <c r="AJ145" s="22"/>
      <c r="AK145" s="22"/>
      <c r="AL145" s="22"/>
      <c r="AM145" s="22"/>
      <c r="AN145" s="22"/>
      <c r="AO145" s="22"/>
      <c r="AP145" s="22"/>
      <c r="AQ145" s="22"/>
      <c r="AR145" s="22"/>
      <c r="AS145" s="22"/>
      <c r="AT145" s="22"/>
      <c r="AU145" s="22"/>
      <c r="AV145" s="22"/>
      <c r="AW145" s="22"/>
    </row>
    <row r="146" spans="2:49" x14ac:dyDescent="0.15">
      <c r="B146" s="22"/>
      <c r="C146" s="22"/>
      <c r="D146" s="22"/>
      <c r="E146" s="22"/>
      <c r="F146" s="22"/>
      <c r="G146" s="22"/>
      <c r="H146" s="22"/>
      <c r="I146" s="22"/>
      <c r="J146" s="22"/>
      <c r="K146" s="22"/>
      <c r="L146" s="22"/>
      <c r="M146" s="22"/>
      <c r="N146" s="22"/>
      <c r="O146" s="22"/>
      <c r="P146" s="22"/>
      <c r="Q146" s="22"/>
      <c r="R146" s="22"/>
      <c r="S146" s="22"/>
      <c r="T146" s="22"/>
      <c r="U146" s="22"/>
      <c r="V146" s="22"/>
      <c r="W146" s="22"/>
      <c r="X146" s="22"/>
      <c r="Y146" s="22"/>
      <c r="Z146" s="22"/>
      <c r="AA146" s="22"/>
      <c r="AB146" s="22"/>
      <c r="AC146" s="22"/>
      <c r="AD146" s="22"/>
      <c r="AE146" s="22"/>
      <c r="AF146" s="22"/>
      <c r="AG146" s="22"/>
      <c r="AH146" s="22"/>
      <c r="AI146" s="22"/>
      <c r="AJ146" s="22"/>
      <c r="AK146" s="22"/>
      <c r="AL146" s="22"/>
      <c r="AM146" s="22"/>
      <c r="AN146" s="22"/>
      <c r="AO146" s="22"/>
      <c r="AP146" s="22"/>
      <c r="AQ146" s="22"/>
      <c r="AR146" s="22"/>
      <c r="AS146" s="22"/>
      <c r="AT146" s="22"/>
      <c r="AU146" s="22"/>
      <c r="AV146" s="22"/>
      <c r="AW146" s="22"/>
    </row>
    <row r="147" spans="2:49" x14ac:dyDescent="0.15">
      <c r="B147" s="22"/>
      <c r="C147" s="22"/>
      <c r="D147" s="22"/>
      <c r="E147" s="22"/>
      <c r="F147" s="22"/>
      <c r="G147" s="22"/>
      <c r="H147" s="22"/>
      <c r="I147" s="22"/>
      <c r="J147" s="22"/>
      <c r="K147" s="22"/>
      <c r="L147" s="22"/>
      <c r="M147" s="22"/>
      <c r="N147" s="22"/>
      <c r="O147" s="22"/>
      <c r="P147" s="22"/>
      <c r="Q147" s="22"/>
      <c r="R147" s="22"/>
      <c r="S147" s="22"/>
      <c r="T147" s="22"/>
      <c r="U147" s="22"/>
      <c r="V147" s="22"/>
      <c r="W147" s="22"/>
      <c r="X147" s="22"/>
      <c r="Y147" s="22"/>
      <c r="Z147" s="22"/>
      <c r="AA147" s="22"/>
      <c r="AB147" s="22"/>
      <c r="AC147" s="22"/>
      <c r="AD147" s="22"/>
      <c r="AE147" s="22"/>
      <c r="AF147" s="22"/>
      <c r="AG147" s="22"/>
      <c r="AH147" s="22"/>
      <c r="AI147" s="22"/>
      <c r="AJ147" s="22"/>
      <c r="AK147" s="22"/>
      <c r="AL147" s="22"/>
      <c r="AM147" s="22"/>
      <c r="AN147" s="22"/>
      <c r="AO147" s="22"/>
      <c r="AP147" s="22"/>
      <c r="AQ147" s="22"/>
      <c r="AR147" s="22"/>
      <c r="AS147" s="22"/>
      <c r="AT147" s="22"/>
      <c r="AU147" s="22"/>
      <c r="AV147" s="22"/>
      <c r="AW147" s="22"/>
    </row>
    <row r="148" spans="2:49" x14ac:dyDescent="0.15">
      <c r="B148" s="22"/>
      <c r="C148" s="22"/>
      <c r="D148" s="22"/>
      <c r="E148" s="22"/>
      <c r="F148" s="22"/>
      <c r="G148" s="22"/>
      <c r="H148" s="22"/>
      <c r="I148" s="22"/>
      <c r="J148" s="22"/>
      <c r="K148" s="22"/>
      <c r="L148" s="22"/>
      <c r="M148" s="22"/>
      <c r="N148" s="22"/>
      <c r="O148" s="22"/>
      <c r="P148" s="22"/>
      <c r="Q148" s="22"/>
      <c r="R148" s="22"/>
      <c r="S148" s="22"/>
      <c r="T148" s="22"/>
      <c r="U148" s="22"/>
      <c r="V148" s="22"/>
      <c r="W148" s="22"/>
      <c r="X148" s="22"/>
      <c r="Y148" s="22"/>
      <c r="Z148" s="22"/>
      <c r="AA148" s="22"/>
      <c r="AB148" s="22"/>
      <c r="AC148" s="22"/>
      <c r="AD148" s="22"/>
      <c r="AE148" s="22"/>
      <c r="AF148" s="22"/>
      <c r="AG148" s="22"/>
      <c r="AH148" s="22"/>
      <c r="AI148" s="22"/>
      <c r="AJ148" s="22"/>
      <c r="AK148" s="22"/>
      <c r="AL148" s="22"/>
      <c r="AM148" s="22"/>
      <c r="AN148" s="22"/>
      <c r="AO148" s="22"/>
      <c r="AP148" s="22"/>
      <c r="AQ148" s="22"/>
      <c r="AR148" s="22"/>
      <c r="AS148" s="22"/>
      <c r="AT148" s="22"/>
      <c r="AU148" s="22"/>
      <c r="AV148" s="22"/>
      <c r="AW148" s="22"/>
    </row>
    <row r="149" spans="2:49" x14ac:dyDescent="0.15">
      <c r="B149" s="22"/>
      <c r="C149" s="22"/>
      <c r="D149" s="22"/>
      <c r="E149" s="22"/>
      <c r="F149" s="22"/>
      <c r="G149" s="22"/>
      <c r="H149" s="22"/>
      <c r="I149" s="22"/>
      <c r="J149" s="22"/>
      <c r="K149" s="22"/>
      <c r="L149" s="22"/>
      <c r="M149" s="22"/>
      <c r="N149" s="22"/>
      <c r="O149" s="22"/>
      <c r="P149" s="22"/>
      <c r="Q149" s="22"/>
      <c r="R149" s="22"/>
      <c r="S149" s="22"/>
      <c r="T149" s="22"/>
      <c r="U149" s="22"/>
      <c r="V149" s="22"/>
      <c r="W149" s="22"/>
      <c r="X149" s="22"/>
      <c r="Y149" s="22"/>
      <c r="Z149" s="22"/>
      <c r="AA149" s="22"/>
      <c r="AB149" s="22"/>
      <c r="AC149" s="22"/>
      <c r="AD149" s="22"/>
      <c r="AE149" s="22"/>
      <c r="AF149" s="22"/>
      <c r="AG149" s="22"/>
      <c r="AH149" s="22"/>
      <c r="AI149" s="22"/>
      <c r="AJ149" s="22"/>
      <c r="AK149" s="22"/>
      <c r="AL149" s="22"/>
      <c r="AM149" s="22"/>
      <c r="AN149" s="22"/>
      <c r="AO149" s="22"/>
      <c r="AP149" s="22"/>
      <c r="AQ149" s="22"/>
      <c r="AR149" s="22"/>
      <c r="AS149" s="22"/>
      <c r="AT149" s="22"/>
      <c r="AU149" s="22"/>
      <c r="AV149" s="22"/>
      <c r="AW149" s="22"/>
    </row>
    <row r="150" spans="2:49" x14ac:dyDescent="0.15">
      <c r="B150" s="22"/>
      <c r="C150" s="22"/>
      <c r="D150" s="22"/>
      <c r="E150" s="22"/>
      <c r="F150" s="22"/>
      <c r="G150" s="22"/>
      <c r="H150" s="22"/>
      <c r="I150" s="22"/>
      <c r="J150" s="22"/>
      <c r="K150" s="22"/>
      <c r="L150" s="22"/>
      <c r="M150" s="22"/>
      <c r="N150" s="22"/>
      <c r="O150" s="22"/>
      <c r="P150" s="22"/>
      <c r="Q150" s="22"/>
      <c r="R150" s="22"/>
      <c r="S150" s="22"/>
      <c r="T150" s="22"/>
      <c r="U150" s="22"/>
      <c r="V150" s="22"/>
      <c r="W150" s="22"/>
      <c r="X150" s="22"/>
      <c r="Y150" s="22"/>
      <c r="Z150" s="22"/>
      <c r="AA150" s="22"/>
      <c r="AB150" s="22"/>
      <c r="AC150" s="22"/>
      <c r="AD150" s="22"/>
      <c r="AE150" s="22"/>
      <c r="AF150" s="22"/>
      <c r="AG150" s="22"/>
      <c r="AH150" s="22"/>
      <c r="AI150" s="22"/>
      <c r="AJ150" s="22"/>
      <c r="AK150" s="22"/>
      <c r="AL150" s="22"/>
      <c r="AM150" s="22"/>
      <c r="AN150" s="22"/>
      <c r="AO150" s="22"/>
      <c r="AP150" s="22"/>
      <c r="AQ150" s="22"/>
      <c r="AR150" s="22"/>
      <c r="AS150" s="22"/>
      <c r="AT150" s="22"/>
      <c r="AU150" s="22"/>
      <c r="AV150" s="22"/>
      <c r="AW150" s="22"/>
    </row>
    <row r="151" spans="2:49" x14ac:dyDescent="0.15">
      <c r="B151" s="22"/>
      <c r="C151" s="22"/>
      <c r="D151" s="22"/>
      <c r="E151" s="22"/>
      <c r="F151" s="22"/>
      <c r="G151" s="22"/>
      <c r="H151" s="22"/>
      <c r="I151" s="22"/>
      <c r="J151" s="22"/>
      <c r="K151" s="22"/>
      <c r="L151" s="22"/>
      <c r="M151" s="22"/>
      <c r="N151" s="22"/>
      <c r="O151" s="22"/>
      <c r="P151" s="22"/>
      <c r="Q151" s="22"/>
      <c r="R151" s="22"/>
      <c r="S151" s="22"/>
      <c r="T151" s="22"/>
      <c r="U151" s="22"/>
      <c r="V151" s="22"/>
      <c r="W151" s="22"/>
      <c r="X151" s="22"/>
      <c r="Y151" s="22"/>
      <c r="Z151" s="22"/>
      <c r="AA151" s="22"/>
      <c r="AB151" s="22"/>
      <c r="AC151" s="22"/>
      <c r="AD151" s="22"/>
      <c r="AE151" s="22"/>
      <c r="AF151" s="22"/>
      <c r="AG151" s="22"/>
      <c r="AH151" s="22"/>
      <c r="AI151" s="22"/>
      <c r="AJ151" s="22"/>
      <c r="AK151" s="22"/>
      <c r="AL151" s="22"/>
      <c r="AM151" s="22"/>
      <c r="AN151" s="22"/>
      <c r="AO151" s="22"/>
      <c r="AP151" s="22"/>
      <c r="AQ151" s="22"/>
      <c r="AR151" s="22"/>
      <c r="AS151" s="22"/>
      <c r="AT151" s="22"/>
      <c r="AU151" s="22"/>
      <c r="AV151" s="22"/>
      <c r="AW151" s="22"/>
    </row>
    <row r="152" spans="2:49" x14ac:dyDescent="0.15">
      <c r="B152" s="22"/>
      <c r="C152" s="22"/>
      <c r="D152" s="22"/>
      <c r="E152" s="22"/>
      <c r="F152" s="22"/>
      <c r="G152" s="22"/>
      <c r="H152" s="22"/>
      <c r="I152" s="22"/>
      <c r="J152" s="22"/>
      <c r="K152" s="22"/>
      <c r="L152" s="22"/>
      <c r="M152" s="22"/>
      <c r="N152" s="22"/>
      <c r="O152" s="22"/>
      <c r="P152" s="22"/>
      <c r="Q152" s="22"/>
      <c r="R152" s="22"/>
      <c r="S152" s="22"/>
      <c r="T152" s="22"/>
      <c r="U152" s="22"/>
      <c r="V152" s="22"/>
      <c r="W152" s="22"/>
      <c r="X152" s="22"/>
      <c r="Y152" s="22"/>
      <c r="Z152" s="22"/>
      <c r="AA152" s="22"/>
      <c r="AB152" s="22"/>
      <c r="AC152" s="22"/>
      <c r="AD152" s="22"/>
      <c r="AE152" s="22"/>
      <c r="AF152" s="22"/>
      <c r="AG152" s="22"/>
      <c r="AH152" s="22"/>
      <c r="AI152" s="22"/>
      <c r="AJ152" s="22"/>
      <c r="AK152" s="22"/>
      <c r="AL152" s="22"/>
      <c r="AM152" s="22"/>
      <c r="AN152" s="22"/>
      <c r="AO152" s="22"/>
      <c r="AP152" s="22"/>
      <c r="AQ152" s="22"/>
      <c r="AR152" s="22"/>
      <c r="AS152" s="22"/>
      <c r="AT152" s="22"/>
      <c r="AU152" s="22"/>
      <c r="AV152" s="22"/>
      <c r="AW152" s="22"/>
    </row>
    <row r="153" spans="2:49" x14ac:dyDescent="0.15">
      <c r="B153" s="22"/>
      <c r="C153" s="22"/>
      <c r="D153" s="22"/>
      <c r="E153" s="22"/>
      <c r="F153" s="22"/>
      <c r="G153" s="22"/>
      <c r="H153" s="22"/>
      <c r="I153" s="22"/>
      <c r="J153" s="22"/>
      <c r="K153" s="22"/>
      <c r="L153" s="22"/>
      <c r="M153" s="22"/>
      <c r="N153" s="22"/>
      <c r="O153" s="22"/>
      <c r="P153" s="22"/>
      <c r="Q153" s="22"/>
      <c r="R153" s="22"/>
      <c r="S153" s="22"/>
      <c r="T153" s="22"/>
      <c r="U153" s="22"/>
      <c r="V153" s="22"/>
      <c r="W153" s="22"/>
      <c r="X153" s="22"/>
      <c r="Y153" s="22"/>
      <c r="Z153" s="22"/>
      <c r="AA153" s="22"/>
      <c r="AB153" s="22"/>
      <c r="AC153" s="22"/>
      <c r="AD153" s="22"/>
      <c r="AE153" s="22"/>
      <c r="AF153" s="22"/>
      <c r="AG153" s="22"/>
      <c r="AH153" s="22"/>
      <c r="AI153" s="22"/>
      <c r="AJ153" s="22"/>
      <c r="AK153" s="22"/>
      <c r="AL153" s="22"/>
      <c r="AM153" s="22"/>
      <c r="AN153" s="22"/>
      <c r="AO153" s="22"/>
      <c r="AP153" s="22"/>
      <c r="AQ153" s="22"/>
      <c r="AR153" s="22"/>
      <c r="AS153" s="22"/>
      <c r="AT153" s="22"/>
      <c r="AU153" s="22"/>
      <c r="AV153" s="22"/>
      <c r="AW153" s="22"/>
    </row>
    <row r="154" spans="2:49" x14ac:dyDescent="0.15">
      <c r="B154" s="22"/>
      <c r="C154" s="22"/>
      <c r="D154" s="22"/>
      <c r="E154" s="22"/>
      <c r="F154" s="22"/>
      <c r="G154" s="22"/>
      <c r="H154" s="22"/>
      <c r="I154" s="22"/>
      <c r="J154" s="22"/>
      <c r="K154" s="22"/>
      <c r="L154" s="22"/>
      <c r="M154" s="22"/>
      <c r="N154" s="22"/>
      <c r="O154" s="22"/>
      <c r="P154" s="22"/>
      <c r="Q154" s="22"/>
      <c r="R154" s="22"/>
      <c r="S154" s="22"/>
      <c r="T154" s="22"/>
      <c r="U154" s="22"/>
      <c r="V154" s="22"/>
      <c r="W154" s="22"/>
      <c r="X154" s="22"/>
      <c r="Y154" s="22"/>
      <c r="Z154" s="22"/>
      <c r="AA154" s="22"/>
      <c r="AB154" s="22"/>
      <c r="AC154" s="22"/>
      <c r="AD154" s="22"/>
      <c r="AE154" s="22"/>
      <c r="AF154" s="22"/>
      <c r="AG154" s="22"/>
      <c r="AH154" s="22"/>
      <c r="AI154" s="22"/>
      <c r="AJ154" s="22"/>
      <c r="AK154" s="22"/>
      <c r="AL154" s="22"/>
      <c r="AM154" s="22"/>
      <c r="AN154" s="22"/>
      <c r="AO154" s="22"/>
      <c r="AP154" s="22"/>
      <c r="AQ154" s="22"/>
      <c r="AR154" s="22"/>
      <c r="AS154" s="22"/>
      <c r="AT154" s="22"/>
      <c r="AU154" s="22"/>
      <c r="AV154" s="22"/>
      <c r="AW154" s="22"/>
    </row>
    <row r="155" spans="2:49" x14ac:dyDescent="0.15">
      <c r="B155" s="22"/>
      <c r="C155" s="22"/>
      <c r="D155" s="22"/>
      <c r="E155" s="22"/>
      <c r="F155" s="22"/>
      <c r="G155" s="22"/>
      <c r="H155" s="22"/>
      <c r="I155" s="22"/>
      <c r="J155" s="22"/>
      <c r="K155" s="22"/>
      <c r="L155" s="22"/>
      <c r="M155" s="22"/>
      <c r="N155" s="22"/>
      <c r="O155" s="22"/>
      <c r="P155" s="22"/>
      <c r="Q155" s="22"/>
      <c r="R155" s="22"/>
      <c r="S155" s="22"/>
      <c r="T155" s="22"/>
      <c r="U155" s="22"/>
      <c r="V155" s="22"/>
      <c r="W155" s="22"/>
      <c r="X155" s="22"/>
      <c r="Y155" s="22"/>
      <c r="Z155" s="22"/>
      <c r="AA155" s="22"/>
      <c r="AB155" s="22"/>
      <c r="AC155" s="22"/>
      <c r="AD155" s="22"/>
      <c r="AE155" s="22"/>
      <c r="AF155" s="22"/>
      <c r="AG155" s="22"/>
      <c r="AH155" s="22"/>
      <c r="AI155" s="22"/>
      <c r="AJ155" s="22"/>
      <c r="AK155" s="22"/>
      <c r="AL155" s="22"/>
      <c r="AM155" s="22"/>
      <c r="AN155" s="22"/>
      <c r="AO155" s="22"/>
      <c r="AP155" s="22"/>
      <c r="AQ155" s="22"/>
      <c r="AR155" s="22"/>
      <c r="AS155" s="22"/>
      <c r="AT155" s="22"/>
      <c r="AU155" s="22"/>
      <c r="AV155" s="22"/>
      <c r="AW155" s="22"/>
    </row>
    <row r="156" spans="2:49" x14ac:dyDescent="0.15">
      <c r="B156" s="22"/>
      <c r="C156" s="22"/>
      <c r="D156" s="22"/>
      <c r="E156" s="22"/>
      <c r="F156" s="22"/>
      <c r="G156" s="22"/>
      <c r="H156" s="22"/>
      <c r="I156" s="22"/>
      <c r="J156" s="22"/>
      <c r="K156" s="22"/>
      <c r="L156" s="22"/>
      <c r="M156" s="22"/>
      <c r="N156" s="22"/>
      <c r="O156" s="22"/>
      <c r="P156" s="22"/>
      <c r="Q156" s="22"/>
      <c r="R156" s="22"/>
      <c r="S156" s="22"/>
      <c r="T156" s="22"/>
      <c r="U156" s="22"/>
      <c r="V156" s="22"/>
      <c r="W156" s="22"/>
      <c r="X156" s="22"/>
      <c r="Y156" s="22"/>
      <c r="Z156" s="22"/>
      <c r="AA156" s="22"/>
      <c r="AB156" s="22"/>
      <c r="AC156" s="22"/>
      <c r="AD156" s="22"/>
      <c r="AE156" s="22"/>
      <c r="AF156" s="22"/>
      <c r="AG156" s="22"/>
      <c r="AH156" s="22"/>
      <c r="AI156" s="22"/>
      <c r="AJ156" s="22"/>
      <c r="AK156" s="22"/>
      <c r="AL156" s="22"/>
      <c r="AM156" s="22"/>
      <c r="AN156" s="22"/>
      <c r="AO156" s="22"/>
      <c r="AP156" s="22"/>
      <c r="AQ156" s="22"/>
      <c r="AR156" s="22"/>
      <c r="AS156" s="22"/>
      <c r="AT156" s="22"/>
      <c r="AU156" s="22"/>
      <c r="AV156" s="22"/>
      <c r="AW156" s="22"/>
    </row>
    <row r="157" spans="2:49" x14ac:dyDescent="0.15">
      <c r="B157" s="22"/>
      <c r="C157" s="22"/>
      <c r="D157" s="22"/>
      <c r="E157" s="22"/>
      <c r="F157" s="22"/>
      <c r="G157" s="22"/>
      <c r="H157" s="22"/>
      <c r="I157" s="22"/>
      <c r="J157" s="22"/>
      <c r="K157" s="22"/>
      <c r="L157" s="22"/>
      <c r="M157" s="22"/>
      <c r="N157" s="22"/>
      <c r="O157" s="22"/>
      <c r="P157" s="22"/>
      <c r="Q157" s="22"/>
      <c r="R157" s="22"/>
      <c r="S157" s="22"/>
      <c r="T157" s="22"/>
      <c r="U157" s="22"/>
      <c r="V157" s="22"/>
      <c r="W157" s="22"/>
      <c r="X157" s="22"/>
      <c r="Y157" s="22"/>
      <c r="Z157" s="22"/>
      <c r="AA157" s="22"/>
      <c r="AB157" s="22"/>
      <c r="AC157" s="22"/>
      <c r="AD157" s="22"/>
      <c r="AE157" s="22"/>
      <c r="AF157" s="22"/>
      <c r="AG157" s="22"/>
      <c r="AH157" s="22"/>
      <c r="AI157" s="22"/>
      <c r="AJ157" s="22"/>
      <c r="AK157" s="22"/>
      <c r="AL157" s="22"/>
      <c r="AM157" s="22"/>
      <c r="AN157" s="22"/>
      <c r="AO157" s="22"/>
      <c r="AP157" s="22"/>
      <c r="AQ157" s="22"/>
      <c r="AR157" s="22"/>
      <c r="AS157" s="22"/>
      <c r="AT157" s="22"/>
      <c r="AU157" s="22"/>
      <c r="AV157" s="22"/>
      <c r="AW157" s="22"/>
    </row>
    <row r="158" spans="2:49" x14ac:dyDescent="0.15">
      <c r="B158" s="22"/>
      <c r="C158" s="22"/>
      <c r="D158" s="22"/>
      <c r="E158" s="22"/>
      <c r="F158" s="22"/>
      <c r="G158" s="22"/>
      <c r="H158" s="22"/>
      <c r="I158" s="22"/>
      <c r="J158" s="22"/>
      <c r="K158" s="22"/>
      <c r="L158" s="22"/>
      <c r="M158" s="22"/>
      <c r="N158" s="22"/>
      <c r="O158" s="22"/>
      <c r="P158" s="22"/>
      <c r="Q158" s="22"/>
      <c r="R158" s="22"/>
      <c r="S158" s="22"/>
      <c r="T158" s="22"/>
      <c r="U158" s="22"/>
      <c r="V158" s="22"/>
      <c r="W158" s="22"/>
      <c r="X158" s="22"/>
      <c r="Y158" s="22"/>
      <c r="Z158" s="22"/>
      <c r="AA158" s="22"/>
      <c r="AB158" s="22"/>
      <c r="AC158" s="22"/>
      <c r="AD158" s="22"/>
      <c r="AE158" s="22"/>
      <c r="AF158" s="22"/>
      <c r="AG158" s="22"/>
      <c r="AH158" s="22"/>
      <c r="AI158" s="22"/>
      <c r="AJ158" s="22"/>
      <c r="AK158" s="22"/>
      <c r="AL158" s="22"/>
      <c r="AM158" s="22"/>
      <c r="AN158" s="22"/>
      <c r="AO158" s="22"/>
      <c r="AP158" s="22"/>
      <c r="AQ158" s="22"/>
      <c r="AR158" s="22"/>
      <c r="AS158" s="22"/>
      <c r="AT158" s="22"/>
      <c r="AU158" s="22"/>
      <c r="AV158" s="22"/>
      <c r="AW158" s="22"/>
    </row>
    <row r="159" spans="2:49" x14ac:dyDescent="0.15">
      <c r="B159" s="22"/>
      <c r="C159" s="22"/>
      <c r="D159" s="22"/>
      <c r="E159" s="22"/>
      <c r="F159" s="22"/>
      <c r="G159" s="22"/>
      <c r="H159" s="22"/>
      <c r="I159" s="22"/>
      <c r="J159" s="22"/>
      <c r="K159" s="22"/>
      <c r="L159" s="22"/>
      <c r="M159" s="22"/>
      <c r="N159" s="22"/>
      <c r="O159" s="22"/>
      <c r="P159" s="22"/>
      <c r="Q159" s="22"/>
      <c r="R159" s="22"/>
      <c r="S159" s="22"/>
      <c r="T159" s="22"/>
      <c r="U159" s="22"/>
      <c r="V159" s="22"/>
      <c r="W159" s="22"/>
      <c r="X159" s="22"/>
      <c r="Y159" s="22"/>
      <c r="Z159" s="22"/>
      <c r="AA159" s="22"/>
      <c r="AB159" s="22"/>
      <c r="AC159" s="22"/>
      <c r="AD159" s="22"/>
      <c r="AE159" s="22"/>
      <c r="AF159" s="22"/>
      <c r="AG159" s="22"/>
      <c r="AH159" s="22"/>
      <c r="AI159" s="22"/>
      <c r="AJ159" s="22"/>
      <c r="AK159" s="22"/>
      <c r="AL159" s="22"/>
      <c r="AM159" s="22"/>
      <c r="AN159" s="22"/>
      <c r="AO159" s="22"/>
      <c r="AP159" s="22"/>
      <c r="AQ159" s="22"/>
      <c r="AR159" s="22"/>
      <c r="AS159" s="22"/>
      <c r="AT159" s="22"/>
      <c r="AU159" s="22"/>
      <c r="AV159" s="22"/>
      <c r="AW159" s="22"/>
    </row>
    <row r="160" spans="2:49" x14ac:dyDescent="0.15">
      <c r="B160" s="22"/>
      <c r="C160" s="22"/>
      <c r="D160" s="22"/>
      <c r="E160" s="22"/>
      <c r="F160" s="22"/>
      <c r="G160" s="22"/>
      <c r="H160" s="22"/>
      <c r="I160" s="22"/>
      <c r="J160" s="22"/>
      <c r="K160" s="22"/>
      <c r="L160" s="22"/>
      <c r="M160" s="22"/>
      <c r="N160" s="22"/>
      <c r="O160" s="22"/>
      <c r="P160" s="22"/>
      <c r="Q160" s="22"/>
      <c r="R160" s="22"/>
      <c r="S160" s="22"/>
      <c r="T160" s="22"/>
      <c r="U160" s="22"/>
      <c r="V160" s="22"/>
      <c r="W160" s="22"/>
      <c r="X160" s="22"/>
      <c r="Y160" s="22"/>
      <c r="Z160" s="22"/>
      <c r="AA160" s="22"/>
      <c r="AB160" s="22"/>
      <c r="AC160" s="22"/>
      <c r="AD160" s="22"/>
      <c r="AE160" s="22"/>
      <c r="AF160" s="22"/>
      <c r="AG160" s="22"/>
      <c r="AH160" s="22"/>
      <c r="AI160" s="22"/>
      <c r="AJ160" s="22"/>
      <c r="AK160" s="22"/>
      <c r="AL160" s="22"/>
      <c r="AM160" s="22"/>
      <c r="AN160" s="22"/>
      <c r="AO160" s="22"/>
      <c r="AP160" s="22"/>
      <c r="AQ160" s="22"/>
      <c r="AR160" s="22"/>
      <c r="AS160" s="22"/>
      <c r="AT160" s="22"/>
      <c r="AU160" s="22"/>
      <c r="AV160" s="22"/>
      <c r="AW160" s="22"/>
    </row>
    <row r="161" spans="2:49" x14ac:dyDescent="0.15">
      <c r="B161" s="22"/>
      <c r="C161" s="22"/>
      <c r="D161" s="22"/>
      <c r="E161" s="22"/>
      <c r="F161" s="22"/>
      <c r="G161" s="22"/>
      <c r="H161" s="22"/>
      <c r="I161" s="22"/>
      <c r="J161" s="22"/>
      <c r="K161" s="22"/>
      <c r="L161" s="22"/>
      <c r="M161" s="22"/>
      <c r="N161" s="22"/>
      <c r="O161" s="22"/>
      <c r="P161" s="22"/>
      <c r="Q161" s="22"/>
      <c r="R161" s="22"/>
      <c r="S161" s="22"/>
      <c r="T161" s="22"/>
      <c r="U161" s="22"/>
      <c r="V161" s="22"/>
      <c r="W161" s="22"/>
      <c r="X161" s="22"/>
      <c r="Y161" s="22"/>
      <c r="Z161" s="22"/>
      <c r="AA161" s="22"/>
      <c r="AB161" s="22"/>
      <c r="AC161" s="22"/>
      <c r="AD161" s="22"/>
      <c r="AE161" s="22"/>
      <c r="AF161" s="22"/>
      <c r="AG161" s="22"/>
      <c r="AH161" s="22"/>
      <c r="AI161" s="22"/>
      <c r="AJ161" s="22"/>
      <c r="AK161" s="22"/>
      <c r="AL161" s="22"/>
      <c r="AM161" s="22"/>
      <c r="AN161" s="22"/>
      <c r="AO161" s="22"/>
      <c r="AP161" s="22"/>
      <c r="AQ161" s="22"/>
      <c r="AR161" s="22"/>
      <c r="AS161" s="22"/>
      <c r="AT161" s="22"/>
      <c r="AU161" s="22"/>
      <c r="AV161" s="22"/>
      <c r="AW161" s="22"/>
    </row>
    <row r="162" spans="2:49" x14ac:dyDescent="0.15">
      <c r="B162" s="22"/>
      <c r="C162" s="22"/>
      <c r="D162" s="22"/>
      <c r="E162" s="22"/>
      <c r="F162" s="22"/>
      <c r="G162" s="22"/>
      <c r="H162" s="22"/>
      <c r="I162" s="22"/>
      <c r="J162" s="22"/>
      <c r="K162" s="22"/>
      <c r="L162" s="22"/>
      <c r="M162" s="22"/>
      <c r="N162" s="22"/>
      <c r="O162" s="22"/>
      <c r="P162" s="22"/>
      <c r="Q162" s="22"/>
      <c r="R162" s="22"/>
      <c r="S162" s="22"/>
      <c r="T162" s="22"/>
      <c r="U162" s="22"/>
      <c r="V162" s="22"/>
      <c r="W162" s="22"/>
      <c r="X162" s="22"/>
      <c r="Y162" s="22"/>
      <c r="Z162" s="22"/>
      <c r="AA162" s="22"/>
      <c r="AB162" s="22"/>
      <c r="AC162" s="22"/>
      <c r="AD162" s="22"/>
      <c r="AE162" s="22"/>
      <c r="AF162" s="22"/>
      <c r="AG162" s="22"/>
      <c r="AH162" s="22"/>
      <c r="AI162" s="22"/>
      <c r="AJ162" s="22"/>
      <c r="AK162" s="22"/>
      <c r="AL162" s="22"/>
      <c r="AM162" s="22"/>
      <c r="AN162" s="22"/>
      <c r="AO162" s="22"/>
      <c r="AP162" s="22"/>
      <c r="AQ162" s="22"/>
      <c r="AR162" s="22"/>
      <c r="AS162" s="22"/>
      <c r="AT162" s="22"/>
      <c r="AU162" s="22"/>
      <c r="AV162" s="22"/>
      <c r="AW162" s="22"/>
    </row>
    <row r="163" spans="2:49" x14ac:dyDescent="0.15">
      <c r="B163" s="22"/>
      <c r="C163" s="22"/>
      <c r="D163" s="22"/>
      <c r="E163" s="22"/>
      <c r="F163" s="22"/>
      <c r="G163" s="22"/>
      <c r="H163" s="22"/>
      <c r="I163" s="22"/>
      <c r="J163" s="22"/>
      <c r="K163" s="22"/>
      <c r="L163" s="22"/>
      <c r="M163" s="22"/>
      <c r="N163" s="22"/>
      <c r="O163" s="22"/>
      <c r="P163" s="22"/>
      <c r="Q163" s="22"/>
      <c r="R163" s="22"/>
      <c r="S163" s="22"/>
      <c r="T163" s="22"/>
      <c r="U163" s="22"/>
      <c r="V163" s="22"/>
      <c r="W163" s="22"/>
      <c r="X163" s="22"/>
      <c r="Y163" s="22"/>
      <c r="Z163" s="22"/>
      <c r="AA163" s="22"/>
      <c r="AB163" s="22"/>
      <c r="AC163" s="22"/>
      <c r="AD163" s="22"/>
      <c r="AE163" s="22"/>
      <c r="AF163" s="22"/>
      <c r="AG163" s="22"/>
      <c r="AH163" s="22"/>
      <c r="AI163" s="22"/>
      <c r="AJ163" s="22"/>
      <c r="AK163" s="22"/>
      <c r="AL163" s="22"/>
      <c r="AM163" s="22"/>
      <c r="AN163" s="22"/>
      <c r="AO163" s="22"/>
      <c r="AP163" s="22"/>
      <c r="AQ163" s="22"/>
      <c r="AR163" s="22"/>
      <c r="AS163" s="22"/>
      <c r="AT163" s="22"/>
      <c r="AU163" s="22"/>
      <c r="AV163" s="22"/>
      <c r="AW163" s="22"/>
    </row>
    <row r="164" spans="2:49" x14ac:dyDescent="0.15">
      <c r="B164" s="22"/>
      <c r="C164" s="22"/>
      <c r="D164" s="22"/>
      <c r="E164" s="22"/>
      <c r="F164" s="22"/>
      <c r="G164" s="22"/>
      <c r="H164" s="22"/>
      <c r="I164" s="22"/>
      <c r="J164" s="22"/>
      <c r="K164" s="22"/>
      <c r="L164" s="22"/>
      <c r="M164" s="22"/>
      <c r="N164" s="22"/>
      <c r="O164" s="22"/>
      <c r="P164" s="22"/>
      <c r="Q164" s="22"/>
      <c r="R164" s="22"/>
      <c r="S164" s="22"/>
      <c r="T164" s="22"/>
      <c r="U164" s="22"/>
      <c r="V164" s="22"/>
      <c r="W164" s="22"/>
      <c r="X164" s="22"/>
      <c r="Y164" s="22"/>
      <c r="Z164" s="22"/>
      <c r="AA164" s="22"/>
      <c r="AB164" s="22"/>
      <c r="AC164" s="22"/>
      <c r="AD164" s="22"/>
      <c r="AE164" s="22"/>
      <c r="AF164" s="22"/>
      <c r="AG164" s="22"/>
      <c r="AH164" s="22"/>
      <c r="AI164" s="22"/>
      <c r="AJ164" s="22"/>
      <c r="AK164" s="22"/>
      <c r="AL164" s="22"/>
      <c r="AM164" s="22"/>
      <c r="AN164" s="22"/>
      <c r="AO164" s="22"/>
      <c r="AP164" s="22"/>
      <c r="AQ164" s="22"/>
      <c r="AR164" s="22"/>
      <c r="AS164" s="22"/>
      <c r="AT164" s="22"/>
      <c r="AU164" s="22"/>
      <c r="AV164" s="22"/>
      <c r="AW164" s="22"/>
    </row>
    <row r="165" spans="2:49" x14ac:dyDescent="0.15">
      <c r="B165" s="22"/>
      <c r="C165" s="22"/>
      <c r="D165" s="22"/>
      <c r="E165" s="22"/>
      <c r="F165" s="22"/>
      <c r="G165" s="22"/>
      <c r="H165" s="22"/>
      <c r="I165" s="22"/>
      <c r="J165" s="22"/>
      <c r="K165" s="22"/>
      <c r="L165" s="22"/>
      <c r="M165" s="22"/>
      <c r="N165" s="22"/>
      <c r="O165" s="22"/>
      <c r="P165" s="22"/>
      <c r="Q165" s="22"/>
      <c r="R165" s="22"/>
      <c r="S165" s="22"/>
      <c r="T165" s="22"/>
      <c r="U165" s="22"/>
      <c r="V165" s="22"/>
      <c r="W165" s="22"/>
      <c r="X165" s="22"/>
      <c r="Y165" s="22"/>
      <c r="Z165" s="22"/>
      <c r="AA165" s="22"/>
      <c r="AB165" s="22"/>
      <c r="AC165" s="22"/>
      <c r="AD165" s="22"/>
      <c r="AE165" s="22"/>
      <c r="AF165" s="22"/>
      <c r="AG165" s="22"/>
      <c r="AH165" s="22"/>
      <c r="AI165" s="22"/>
      <c r="AJ165" s="22"/>
      <c r="AK165" s="22"/>
      <c r="AL165" s="22"/>
      <c r="AM165" s="22"/>
      <c r="AN165" s="22"/>
      <c r="AO165" s="22"/>
      <c r="AP165" s="22"/>
      <c r="AQ165" s="22"/>
      <c r="AR165" s="22"/>
      <c r="AS165" s="22"/>
      <c r="AT165" s="22"/>
      <c r="AU165" s="22"/>
      <c r="AV165" s="22"/>
      <c r="AW165" s="22"/>
    </row>
    <row r="166" spans="2:49" x14ac:dyDescent="0.15">
      <c r="B166" s="22"/>
      <c r="C166" s="22"/>
      <c r="D166" s="22"/>
      <c r="E166" s="22"/>
      <c r="F166" s="22"/>
      <c r="G166" s="22"/>
      <c r="H166" s="22"/>
      <c r="I166" s="22"/>
      <c r="J166" s="22"/>
      <c r="K166" s="22"/>
      <c r="L166" s="22"/>
      <c r="M166" s="22"/>
      <c r="N166" s="22"/>
      <c r="O166" s="22"/>
      <c r="P166" s="22"/>
      <c r="Q166" s="22"/>
      <c r="R166" s="22"/>
      <c r="S166" s="22"/>
      <c r="T166" s="22"/>
      <c r="U166" s="22"/>
      <c r="V166" s="22"/>
      <c r="W166" s="22"/>
      <c r="X166" s="22"/>
      <c r="Y166" s="22"/>
      <c r="Z166" s="22"/>
      <c r="AA166" s="22"/>
      <c r="AB166" s="22"/>
      <c r="AC166" s="22"/>
      <c r="AD166" s="22"/>
      <c r="AE166" s="22"/>
      <c r="AF166" s="22"/>
      <c r="AG166" s="22"/>
      <c r="AH166" s="22"/>
      <c r="AI166" s="22"/>
      <c r="AJ166" s="22"/>
      <c r="AK166" s="22"/>
      <c r="AL166" s="22"/>
      <c r="AM166" s="22"/>
      <c r="AN166" s="22"/>
      <c r="AO166" s="22"/>
      <c r="AP166" s="22"/>
      <c r="AQ166" s="22"/>
      <c r="AR166" s="22"/>
      <c r="AS166" s="22"/>
      <c r="AT166" s="22"/>
      <c r="AU166" s="22"/>
      <c r="AV166" s="22"/>
      <c r="AW166" s="22"/>
    </row>
    <row r="167" spans="2:49" x14ac:dyDescent="0.15">
      <c r="B167" s="22"/>
      <c r="C167" s="22"/>
      <c r="D167" s="22"/>
      <c r="E167" s="22"/>
      <c r="F167" s="22"/>
      <c r="G167" s="22"/>
      <c r="H167" s="22"/>
      <c r="I167" s="22"/>
      <c r="J167" s="22"/>
      <c r="K167" s="22"/>
      <c r="L167" s="22"/>
      <c r="M167" s="22"/>
      <c r="N167" s="22"/>
      <c r="O167" s="22"/>
      <c r="P167" s="22"/>
      <c r="Q167" s="22"/>
      <c r="R167" s="22"/>
      <c r="S167" s="22"/>
      <c r="T167" s="22"/>
      <c r="U167" s="22"/>
      <c r="V167" s="22"/>
      <c r="W167" s="22"/>
      <c r="X167" s="22"/>
      <c r="Y167" s="22"/>
      <c r="Z167" s="22"/>
      <c r="AA167" s="22"/>
      <c r="AB167" s="22"/>
      <c r="AC167" s="22"/>
      <c r="AD167" s="22"/>
      <c r="AE167" s="22"/>
      <c r="AF167" s="22"/>
      <c r="AG167" s="22"/>
      <c r="AH167" s="22"/>
      <c r="AI167" s="22"/>
      <c r="AJ167" s="22"/>
      <c r="AK167" s="22"/>
      <c r="AL167" s="22"/>
      <c r="AM167" s="22"/>
      <c r="AN167" s="22"/>
      <c r="AO167" s="22"/>
      <c r="AP167" s="22"/>
      <c r="AQ167" s="22"/>
      <c r="AR167" s="22"/>
      <c r="AS167" s="22"/>
      <c r="AT167" s="22"/>
      <c r="AU167" s="22"/>
      <c r="AV167" s="22"/>
      <c r="AW167" s="22"/>
    </row>
    <row r="168" spans="2:49" x14ac:dyDescent="0.15">
      <c r="B168" s="22"/>
      <c r="C168" s="22"/>
      <c r="D168" s="22"/>
      <c r="E168" s="22"/>
      <c r="F168" s="22"/>
      <c r="G168" s="22"/>
      <c r="H168" s="22"/>
      <c r="I168" s="22"/>
      <c r="J168" s="22"/>
      <c r="K168" s="22"/>
      <c r="L168" s="22"/>
      <c r="M168" s="22"/>
      <c r="N168" s="22"/>
      <c r="O168" s="22"/>
      <c r="P168" s="22"/>
      <c r="Q168" s="22"/>
      <c r="R168" s="22"/>
      <c r="S168" s="22"/>
      <c r="T168" s="22"/>
      <c r="U168" s="22"/>
      <c r="V168" s="22"/>
      <c r="W168" s="22"/>
      <c r="X168" s="22"/>
      <c r="Y168" s="22"/>
      <c r="Z168" s="22"/>
      <c r="AA168" s="22"/>
      <c r="AB168" s="22"/>
      <c r="AC168" s="22"/>
      <c r="AD168" s="22"/>
      <c r="AE168" s="22"/>
      <c r="AF168" s="22"/>
      <c r="AG168" s="22"/>
      <c r="AH168" s="22"/>
      <c r="AI168" s="22"/>
      <c r="AJ168" s="22"/>
      <c r="AK168" s="22"/>
      <c r="AL168" s="22"/>
      <c r="AM168" s="22"/>
      <c r="AN168" s="22"/>
      <c r="AO168" s="22"/>
      <c r="AP168" s="22"/>
      <c r="AQ168" s="22"/>
      <c r="AR168" s="22"/>
      <c r="AS168" s="22"/>
      <c r="AT168" s="22"/>
      <c r="AU168" s="22"/>
      <c r="AV168" s="22"/>
      <c r="AW168" s="22"/>
    </row>
    <row r="169" spans="2:49" x14ac:dyDescent="0.15">
      <c r="B169" s="22"/>
      <c r="C169" s="22"/>
      <c r="D169" s="22"/>
      <c r="E169" s="22"/>
      <c r="F169" s="22"/>
      <c r="G169" s="22"/>
      <c r="H169" s="22"/>
      <c r="I169" s="22"/>
      <c r="J169" s="22"/>
      <c r="K169" s="22"/>
      <c r="L169" s="22"/>
      <c r="M169" s="22"/>
      <c r="N169" s="22"/>
      <c r="O169" s="22"/>
      <c r="P169" s="22"/>
      <c r="Q169" s="22"/>
      <c r="R169" s="22"/>
      <c r="S169" s="22"/>
      <c r="T169" s="22"/>
      <c r="U169" s="22"/>
      <c r="V169" s="22"/>
      <c r="W169" s="22"/>
      <c r="X169" s="22"/>
      <c r="Y169" s="22"/>
      <c r="Z169" s="22"/>
      <c r="AA169" s="22"/>
      <c r="AB169" s="22"/>
      <c r="AC169" s="22"/>
      <c r="AD169" s="22"/>
      <c r="AE169" s="22"/>
      <c r="AF169" s="22"/>
      <c r="AG169" s="22"/>
      <c r="AH169" s="22"/>
      <c r="AI169" s="22"/>
      <c r="AJ169" s="22"/>
      <c r="AK169" s="22"/>
      <c r="AL169" s="22"/>
      <c r="AM169" s="22"/>
      <c r="AN169" s="22"/>
      <c r="AO169" s="22"/>
      <c r="AP169" s="22"/>
      <c r="AQ169" s="22"/>
      <c r="AR169" s="22"/>
      <c r="AS169" s="22"/>
      <c r="AT169" s="22"/>
      <c r="AU169" s="22"/>
      <c r="AV169" s="22"/>
      <c r="AW169" s="22"/>
    </row>
    <row r="170" spans="2:49" x14ac:dyDescent="0.15">
      <c r="B170" s="22"/>
      <c r="C170" s="22"/>
      <c r="D170" s="22"/>
      <c r="E170" s="22"/>
      <c r="F170" s="22"/>
      <c r="G170" s="22"/>
      <c r="H170" s="22"/>
      <c r="I170" s="22"/>
      <c r="J170" s="22"/>
      <c r="K170" s="22"/>
      <c r="L170" s="22"/>
      <c r="M170" s="22"/>
      <c r="N170" s="22"/>
      <c r="O170" s="22"/>
      <c r="P170" s="22"/>
      <c r="Q170" s="22"/>
      <c r="R170" s="22"/>
      <c r="S170" s="22"/>
      <c r="T170" s="22"/>
      <c r="U170" s="22"/>
      <c r="V170" s="22"/>
      <c r="W170" s="22"/>
      <c r="X170" s="22"/>
      <c r="Y170" s="22"/>
      <c r="Z170" s="22"/>
      <c r="AA170" s="22"/>
      <c r="AB170" s="22"/>
      <c r="AC170" s="22"/>
      <c r="AD170" s="22"/>
      <c r="AE170" s="22"/>
      <c r="AF170" s="22"/>
      <c r="AG170" s="22"/>
      <c r="AH170" s="22"/>
      <c r="AI170" s="22"/>
      <c r="AJ170" s="22"/>
      <c r="AK170" s="22"/>
      <c r="AL170" s="22"/>
      <c r="AM170" s="22"/>
      <c r="AN170" s="22"/>
      <c r="AO170" s="22"/>
      <c r="AP170" s="22"/>
      <c r="AQ170" s="22"/>
      <c r="AR170" s="22"/>
      <c r="AS170" s="22"/>
      <c r="AT170" s="22"/>
      <c r="AU170" s="22"/>
      <c r="AV170" s="22"/>
      <c r="AW170" s="22"/>
    </row>
    <row r="171" spans="2:49" x14ac:dyDescent="0.15">
      <c r="B171" s="22"/>
      <c r="C171" s="22"/>
      <c r="D171" s="22"/>
      <c r="E171" s="22"/>
      <c r="F171" s="22"/>
      <c r="G171" s="22"/>
      <c r="H171" s="22"/>
      <c r="I171" s="22"/>
      <c r="J171" s="22"/>
      <c r="K171" s="22"/>
      <c r="L171" s="22"/>
      <c r="M171" s="22"/>
      <c r="N171" s="22"/>
      <c r="O171" s="22"/>
      <c r="P171" s="22"/>
      <c r="Q171" s="22"/>
      <c r="R171" s="22"/>
      <c r="S171" s="22"/>
      <c r="T171" s="22"/>
      <c r="U171" s="22"/>
      <c r="V171" s="22"/>
      <c r="W171" s="22"/>
      <c r="X171" s="22"/>
      <c r="Y171" s="22"/>
      <c r="Z171" s="22"/>
      <c r="AA171" s="22"/>
      <c r="AB171" s="22"/>
      <c r="AC171" s="22"/>
      <c r="AD171" s="22"/>
      <c r="AE171" s="22"/>
      <c r="AF171" s="22"/>
      <c r="AG171" s="22"/>
      <c r="AH171" s="22"/>
      <c r="AI171" s="22"/>
      <c r="AJ171" s="22"/>
      <c r="AK171" s="22"/>
      <c r="AL171" s="22"/>
      <c r="AM171" s="22"/>
      <c r="AN171" s="22"/>
      <c r="AO171" s="22"/>
      <c r="AP171" s="22"/>
      <c r="AQ171" s="22"/>
      <c r="AR171" s="22"/>
      <c r="AS171" s="22"/>
      <c r="AT171" s="22"/>
      <c r="AU171" s="22"/>
      <c r="AV171" s="22"/>
      <c r="AW171" s="22"/>
    </row>
    <row r="172" spans="2:49" x14ac:dyDescent="0.15">
      <c r="B172" s="22"/>
      <c r="C172" s="22"/>
      <c r="D172" s="22"/>
      <c r="E172" s="22"/>
      <c r="F172" s="22"/>
      <c r="G172" s="22"/>
      <c r="H172" s="22"/>
      <c r="I172" s="22"/>
      <c r="J172" s="22"/>
      <c r="K172" s="22"/>
      <c r="L172" s="22"/>
      <c r="M172" s="22"/>
      <c r="N172" s="22"/>
      <c r="O172" s="22"/>
      <c r="P172" s="22"/>
      <c r="Q172" s="22"/>
      <c r="R172" s="22"/>
      <c r="S172" s="22"/>
      <c r="T172" s="22"/>
      <c r="U172" s="22"/>
      <c r="V172" s="22"/>
      <c r="W172" s="22"/>
      <c r="X172" s="22"/>
      <c r="Y172" s="22"/>
      <c r="Z172" s="22"/>
      <c r="AA172" s="22"/>
      <c r="AB172" s="22"/>
      <c r="AC172" s="22"/>
      <c r="AD172" s="22"/>
      <c r="AE172" s="22"/>
      <c r="AF172" s="22"/>
      <c r="AG172" s="22"/>
      <c r="AH172" s="22"/>
      <c r="AI172" s="22"/>
      <c r="AJ172" s="22"/>
      <c r="AK172" s="22"/>
      <c r="AL172" s="22"/>
      <c r="AM172" s="22"/>
      <c r="AN172" s="22"/>
      <c r="AO172" s="22"/>
      <c r="AP172" s="22"/>
      <c r="AQ172" s="22"/>
      <c r="AR172" s="22"/>
      <c r="AS172" s="22"/>
      <c r="AT172" s="22"/>
      <c r="AU172" s="22"/>
      <c r="AV172" s="22"/>
      <c r="AW172" s="22"/>
    </row>
    <row r="173" spans="2:49" x14ac:dyDescent="0.15">
      <c r="B173" s="22"/>
      <c r="C173" s="22"/>
      <c r="D173" s="22"/>
      <c r="E173" s="22"/>
      <c r="F173" s="22"/>
      <c r="G173" s="22"/>
      <c r="H173" s="22"/>
      <c r="I173" s="22"/>
      <c r="J173" s="22"/>
      <c r="K173" s="22"/>
      <c r="L173" s="22"/>
      <c r="M173" s="22"/>
      <c r="N173" s="22"/>
      <c r="O173" s="22"/>
      <c r="P173" s="22"/>
      <c r="Q173" s="22"/>
      <c r="R173" s="22"/>
      <c r="S173" s="22"/>
      <c r="T173" s="22"/>
      <c r="U173" s="22"/>
      <c r="V173" s="22"/>
      <c r="W173" s="22"/>
      <c r="X173" s="22"/>
      <c r="Y173" s="22"/>
      <c r="Z173" s="22"/>
      <c r="AA173" s="22"/>
      <c r="AB173" s="22"/>
      <c r="AC173" s="22"/>
      <c r="AD173" s="22"/>
      <c r="AE173" s="22"/>
      <c r="AF173" s="22"/>
      <c r="AG173" s="22"/>
      <c r="AH173" s="22"/>
      <c r="AI173" s="22"/>
      <c r="AJ173" s="22"/>
      <c r="AK173" s="22"/>
      <c r="AL173" s="22"/>
      <c r="AM173" s="22"/>
      <c r="AN173" s="22"/>
      <c r="AO173" s="22"/>
      <c r="AP173" s="22"/>
      <c r="AQ173" s="22"/>
      <c r="AR173" s="22"/>
      <c r="AS173" s="22"/>
      <c r="AT173" s="22"/>
      <c r="AU173" s="22"/>
      <c r="AV173" s="22"/>
      <c r="AW173" s="22"/>
    </row>
    <row r="174" spans="2:49" x14ac:dyDescent="0.15">
      <c r="B174" s="22"/>
      <c r="C174" s="22"/>
      <c r="D174" s="22"/>
      <c r="E174" s="22"/>
      <c r="F174" s="22"/>
      <c r="G174" s="22"/>
      <c r="H174" s="22"/>
      <c r="I174" s="22"/>
      <c r="J174" s="22"/>
      <c r="K174" s="22"/>
      <c r="L174" s="22"/>
      <c r="M174" s="22"/>
      <c r="N174" s="22"/>
      <c r="O174" s="22"/>
      <c r="P174" s="22"/>
      <c r="Q174" s="22"/>
      <c r="R174" s="22"/>
      <c r="S174" s="22"/>
      <c r="T174" s="22"/>
      <c r="U174" s="22"/>
      <c r="V174" s="22"/>
      <c r="W174" s="22"/>
      <c r="X174" s="22"/>
      <c r="Y174" s="22"/>
      <c r="Z174" s="22"/>
      <c r="AA174" s="22"/>
      <c r="AB174" s="22"/>
      <c r="AC174" s="22"/>
      <c r="AD174" s="22"/>
      <c r="AE174" s="22"/>
      <c r="AF174" s="22"/>
      <c r="AG174" s="22"/>
      <c r="AH174" s="22"/>
      <c r="AI174" s="22"/>
      <c r="AJ174" s="22"/>
      <c r="AK174" s="22"/>
      <c r="AL174" s="22"/>
      <c r="AM174" s="22"/>
      <c r="AN174" s="22"/>
      <c r="AO174" s="22"/>
      <c r="AP174" s="22"/>
      <c r="AQ174" s="22"/>
      <c r="AR174" s="22"/>
      <c r="AS174" s="22"/>
      <c r="AT174" s="22"/>
      <c r="AU174" s="22"/>
      <c r="AV174" s="22"/>
      <c r="AW174" s="22"/>
    </row>
    <row r="175" spans="2:49" x14ac:dyDescent="0.15">
      <c r="B175" s="22"/>
      <c r="C175" s="22"/>
      <c r="D175" s="22"/>
      <c r="E175" s="22"/>
      <c r="F175" s="22"/>
      <c r="G175" s="22"/>
      <c r="H175" s="22"/>
      <c r="I175" s="22"/>
      <c r="J175" s="22"/>
      <c r="K175" s="22"/>
      <c r="L175" s="22"/>
      <c r="M175" s="22"/>
      <c r="N175" s="22"/>
      <c r="O175" s="22"/>
      <c r="P175" s="22"/>
      <c r="Q175" s="22"/>
      <c r="R175" s="22"/>
      <c r="S175" s="22"/>
      <c r="T175" s="22"/>
      <c r="U175" s="22"/>
      <c r="V175" s="22"/>
      <c r="W175" s="22"/>
      <c r="X175" s="22"/>
      <c r="Y175" s="22"/>
      <c r="Z175" s="22"/>
      <c r="AA175" s="22"/>
      <c r="AB175" s="22"/>
      <c r="AC175" s="22"/>
      <c r="AD175" s="22"/>
      <c r="AE175" s="22"/>
      <c r="AF175" s="22"/>
      <c r="AG175" s="22"/>
      <c r="AH175" s="22"/>
      <c r="AI175" s="22"/>
      <c r="AJ175" s="22"/>
      <c r="AK175" s="22"/>
      <c r="AL175" s="22"/>
      <c r="AM175" s="22"/>
      <c r="AN175" s="22"/>
      <c r="AO175" s="22"/>
      <c r="AP175" s="22"/>
      <c r="AQ175" s="22"/>
      <c r="AR175" s="22"/>
      <c r="AS175" s="22"/>
      <c r="AT175" s="22"/>
      <c r="AU175" s="22"/>
      <c r="AV175" s="22"/>
      <c r="AW175" s="22"/>
    </row>
    <row r="176" spans="2:49" x14ac:dyDescent="0.15">
      <c r="B176" s="22"/>
      <c r="C176" s="22"/>
      <c r="D176" s="22"/>
      <c r="E176" s="22"/>
      <c r="F176" s="22"/>
      <c r="G176" s="22"/>
      <c r="H176" s="22"/>
      <c r="I176" s="22"/>
      <c r="J176" s="22"/>
      <c r="K176" s="22"/>
      <c r="L176" s="22"/>
      <c r="M176" s="22"/>
      <c r="N176" s="22"/>
      <c r="O176" s="22"/>
      <c r="P176" s="22"/>
      <c r="Q176" s="22"/>
      <c r="R176" s="22"/>
      <c r="S176" s="22"/>
      <c r="T176" s="22"/>
      <c r="U176" s="22"/>
      <c r="V176" s="22"/>
      <c r="W176" s="22"/>
      <c r="X176" s="22"/>
      <c r="Y176" s="22"/>
      <c r="Z176" s="22"/>
      <c r="AA176" s="22"/>
      <c r="AB176" s="22"/>
      <c r="AC176" s="22"/>
      <c r="AD176" s="22"/>
      <c r="AE176" s="22"/>
      <c r="AF176" s="22"/>
      <c r="AG176" s="22"/>
      <c r="AH176" s="22"/>
      <c r="AI176" s="22"/>
      <c r="AJ176" s="22"/>
      <c r="AK176" s="22"/>
      <c r="AL176" s="22"/>
      <c r="AM176" s="22"/>
      <c r="AN176" s="22"/>
      <c r="AO176" s="22"/>
      <c r="AP176" s="22"/>
      <c r="AQ176" s="22"/>
      <c r="AR176" s="22"/>
      <c r="AS176" s="22"/>
      <c r="AT176" s="22"/>
      <c r="AU176" s="22"/>
      <c r="AV176" s="22"/>
      <c r="AW176" s="22"/>
    </row>
    <row r="177" spans="2:49" x14ac:dyDescent="0.15">
      <c r="B177" s="22"/>
      <c r="C177" s="22"/>
      <c r="D177" s="22"/>
      <c r="E177" s="22"/>
      <c r="F177" s="22"/>
      <c r="G177" s="22"/>
      <c r="H177" s="22"/>
      <c r="I177" s="22"/>
      <c r="J177" s="22"/>
      <c r="K177" s="22"/>
      <c r="L177" s="22"/>
      <c r="M177" s="22"/>
      <c r="N177" s="22"/>
      <c r="O177" s="22"/>
      <c r="P177" s="22"/>
      <c r="Q177" s="22"/>
      <c r="R177" s="22"/>
      <c r="S177" s="22"/>
      <c r="T177" s="22"/>
      <c r="U177" s="22"/>
      <c r="V177" s="22"/>
      <c r="W177" s="22"/>
      <c r="X177" s="22"/>
      <c r="Y177" s="22"/>
      <c r="Z177" s="22"/>
      <c r="AA177" s="22"/>
      <c r="AB177" s="22"/>
      <c r="AC177" s="22"/>
      <c r="AD177" s="22"/>
      <c r="AE177" s="22"/>
      <c r="AF177" s="22"/>
      <c r="AG177" s="22"/>
      <c r="AH177" s="22"/>
      <c r="AI177" s="22"/>
      <c r="AJ177" s="22"/>
      <c r="AK177" s="22"/>
      <c r="AL177" s="22"/>
      <c r="AM177" s="22"/>
      <c r="AN177" s="22"/>
      <c r="AO177" s="22"/>
      <c r="AP177" s="22"/>
      <c r="AQ177" s="22"/>
      <c r="AR177" s="22"/>
      <c r="AS177" s="22"/>
      <c r="AT177" s="22"/>
      <c r="AU177" s="22"/>
      <c r="AV177" s="22"/>
      <c r="AW177" s="22"/>
    </row>
    <row r="178" spans="2:49" x14ac:dyDescent="0.15">
      <c r="B178" s="22"/>
      <c r="C178" s="22"/>
      <c r="D178" s="22"/>
      <c r="E178" s="22"/>
      <c r="F178" s="22"/>
      <c r="G178" s="22"/>
      <c r="H178" s="22"/>
      <c r="I178" s="22"/>
      <c r="J178" s="22"/>
      <c r="K178" s="22"/>
      <c r="L178" s="22"/>
      <c r="M178" s="22"/>
      <c r="N178" s="22"/>
      <c r="O178" s="22"/>
      <c r="P178" s="22"/>
      <c r="Q178" s="22"/>
      <c r="R178" s="22"/>
      <c r="S178" s="22"/>
      <c r="T178" s="22"/>
      <c r="U178" s="22"/>
      <c r="V178" s="22"/>
      <c r="W178" s="22"/>
      <c r="X178" s="22"/>
      <c r="Y178" s="22"/>
      <c r="Z178" s="22"/>
      <c r="AA178" s="22"/>
      <c r="AB178" s="22"/>
      <c r="AC178" s="22"/>
      <c r="AD178" s="22"/>
      <c r="AE178" s="22"/>
      <c r="AF178" s="22"/>
      <c r="AG178" s="22"/>
      <c r="AH178" s="22"/>
      <c r="AI178" s="22"/>
      <c r="AJ178" s="22"/>
      <c r="AK178" s="22"/>
      <c r="AL178" s="22"/>
      <c r="AM178" s="22"/>
      <c r="AN178" s="22"/>
      <c r="AO178" s="22"/>
      <c r="AP178" s="22"/>
      <c r="AQ178" s="22"/>
      <c r="AR178" s="22"/>
      <c r="AS178" s="22"/>
      <c r="AT178" s="22"/>
      <c r="AU178" s="22"/>
      <c r="AV178" s="22"/>
      <c r="AW178" s="22"/>
    </row>
    <row r="179" spans="2:49" x14ac:dyDescent="0.15">
      <c r="B179" s="22"/>
      <c r="C179" s="22"/>
      <c r="D179" s="22"/>
      <c r="E179" s="22"/>
      <c r="F179" s="22"/>
      <c r="G179" s="22"/>
      <c r="H179" s="22"/>
      <c r="I179" s="22"/>
      <c r="J179" s="22"/>
      <c r="K179" s="22"/>
      <c r="L179" s="22"/>
      <c r="M179" s="22"/>
      <c r="N179" s="22"/>
      <c r="O179" s="22"/>
      <c r="P179" s="22"/>
      <c r="Q179" s="22"/>
      <c r="R179" s="22"/>
      <c r="S179" s="22"/>
      <c r="T179" s="22"/>
      <c r="U179" s="22"/>
      <c r="V179" s="22"/>
      <c r="W179" s="22"/>
      <c r="X179" s="22"/>
      <c r="Y179" s="22"/>
      <c r="Z179" s="22"/>
      <c r="AA179" s="22"/>
      <c r="AB179" s="22"/>
      <c r="AC179" s="22"/>
      <c r="AD179" s="22"/>
      <c r="AE179" s="22"/>
      <c r="AF179" s="22"/>
      <c r="AG179" s="22"/>
      <c r="AH179" s="22"/>
      <c r="AI179" s="22"/>
      <c r="AJ179" s="22"/>
      <c r="AK179" s="22"/>
      <c r="AL179" s="22"/>
      <c r="AM179" s="22"/>
      <c r="AN179" s="22"/>
      <c r="AO179" s="22"/>
      <c r="AP179" s="22"/>
      <c r="AQ179" s="22"/>
      <c r="AR179" s="22"/>
      <c r="AS179" s="22"/>
      <c r="AT179" s="22"/>
      <c r="AU179" s="22"/>
      <c r="AV179" s="22"/>
      <c r="AW179" s="22"/>
    </row>
    <row r="180" spans="2:49" x14ac:dyDescent="0.15">
      <c r="B180" s="22"/>
      <c r="C180" s="22"/>
      <c r="D180" s="22"/>
      <c r="E180" s="22"/>
      <c r="F180" s="22"/>
      <c r="G180" s="22"/>
      <c r="H180" s="22"/>
      <c r="I180" s="22"/>
      <c r="J180" s="22"/>
      <c r="K180" s="22"/>
      <c r="L180" s="22"/>
      <c r="M180" s="22"/>
      <c r="N180" s="22"/>
      <c r="O180" s="22"/>
      <c r="P180" s="22"/>
      <c r="Q180" s="22"/>
      <c r="R180" s="22"/>
      <c r="S180" s="22"/>
      <c r="T180" s="22"/>
      <c r="U180" s="22"/>
      <c r="V180" s="22"/>
      <c r="W180" s="22"/>
      <c r="X180" s="22"/>
      <c r="Y180" s="22"/>
      <c r="Z180" s="22"/>
      <c r="AA180" s="22"/>
      <c r="AB180" s="22"/>
      <c r="AC180" s="22"/>
      <c r="AD180" s="22"/>
      <c r="AE180" s="22"/>
      <c r="AF180" s="22"/>
      <c r="AG180" s="22"/>
      <c r="AH180" s="22"/>
      <c r="AI180" s="22"/>
      <c r="AJ180" s="22"/>
      <c r="AK180" s="22"/>
      <c r="AL180" s="22"/>
      <c r="AM180" s="22"/>
      <c r="AN180" s="22"/>
      <c r="AO180" s="22"/>
      <c r="AP180" s="22"/>
      <c r="AQ180" s="22"/>
      <c r="AR180" s="22"/>
      <c r="AS180" s="22"/>
      <c r="AT180" s="22"/>
      <c r="AU180" s="22"/>
      <c r="AV180" s="22"/>
      <c r="AW180" s="22"/>
    </row>
    <row r="181" spans="2:49" x14ac:dyDescent="0.15">
      <c r="B181" s="22"/>
      <c r="C181" s="22"/>
      <c r="D181" s="22"/>
      <c r="E181" s="22"/>
      <c r="F181" s="22"/>
      <c r="G181" s="22"/>
      <c r="H181" s="22"/>
      <c r="I181" s="22"/>
      <c r="J181" s="22"/>
      <c r="K181" s="22"/>
      <c r="L181" s="22"/>
      <c r="M181" s="22"/>
      <c r="N181" s="22"/>
      <c r="O181" s="22"/>
      <c r="P181" s="22"/>
      <c r="Q181" s="22"/>
      <c r="R181" s="22"/>
      <c r="S181" s="22"/>
      <c r="T181" s="22"/>
      <c r="U181" s="22"/>
      <c r="V181" s="22"/>
      <c r="W181" s="22"/>
      <c r="X181" s="22"/>
      <c r="Y181" s="22"/>
      <c r="Z181" s="22"/>
      <c r="AA181" s="22"/>
      <c r="AB181" s="22"/>
      <c r="AC181" s="22"/>
      <c r="AD181" s="22"/>
      <c r="AE181" s="22"/>
      <c r="AF181" s="22"/>
      <c r="AG181" s="22"/>
      <c r="AH181" s="22"/>
      <c r="AI181" s="22"/>
      <c r="AJ181" s="22"/>
      <c r="AK181" s="22"/>
      <c r="AL181" s="22"/>
      <c r="AM181" s="22"/>
      <c r="AN181" s="22"/>
      <c r="AO181" s="22"/>
      <c r="AP181" s="22"/>
      <c r="AQ181" s="22"/>
      <c r="AR181" s="22"/>
      <c r="AS181" s="22"/>
      <c r="AT181" s="22"/>
      <c r="AU181" s="22"/>
      <c r="AV181" s="22"/>
      <c r="AW181" s="22"/>
    </row>
    <row r="182" spans="2:49" x14ac:dyDescent="0.15">
      <c r="B182" s="22"/>
      <c r="C182" s="22"/>
      <c r="D182" s="22"/>
      <c r="E182" s="22"/>
      <c r="F182" s="22"/>
      <c r="G182" s="22"/>
      <c r="H182" s="22"/>
      <c r="I182" s="22"/>
      <c r="J182" s="22"/>
      <c r="K182" s="22"/>
      <c r="L182" s="22"/>
      <c r="M182" s="22"/>
      <c r="N182" s="22"/>
      <c r="O182" s="22"/>
      <c r="P182" s="22"/>
      <c r="Q182" s="22"/>
      <c r="R182" s="22"/>
      <c r="S182" s="22"/>
      <c r="T182" s="22"/>
      <c r="U182" s="22"/>
      <c r="V182" s="22"/>
      <c r="W182" s="22"/>
      <c r="X182" s="22"/>
      <c r="Y182" s="22"/>
      <c r="Z182" s="22"/>
      <c r="AA182" s="22"/>
      <c r="AB182" s="22"/>
      <c r="AC182" s="22"/>
      <c r="AD182" s="22"/>
      <c r="AE182" s="22"/>
      <c r="AF182" s="22"/>
      <c r="AG182" s="22"/>
      <c r="AH182" s="22"/>
      <c r="AI182" s="22"/>
      <c r="AJ182" s="22"/>
      <c r="AK182" s="22"/>
      <c r="AL182" s="22"/>
      <c r="AM182" s="22"/>
      <c r="AN182" s="22"/>
      <c r="AO182" s="22"/>
      <c r="AP182" s="22"/>
      <c r="AQ182" s="22"/>
      <c r="AR182" s="22"/>
      <c r="AS182" s="22"/>
      <c r="AT182" s="22"/>
      <c r="AU182" s="22"/>
      <c r="AV182" s="22"/>
      <c r="AW182" s="22"/>
    </row>
    <row r="183" spans="2:49" x14ac:dyDescent="0.15">
      <c r="B183" s="22"/>
      <c r="C183" s="22"/>
      <c r="D183" s="22"/>
      <c r="E183" s="22"/>
      <c r="F183" s="22"/>
      <c r="G183" s="22"/>
      <c r="H183" s="22"/>
      <c r="I183" s="22"/>
      <c r="J183" s="22"/>
      <c r="K183" s="22"/>
      <c r="L183" s="22"/>
      <c r="M183" s="22"/>
      <c r="N183" s="22"/>
      <c r="O183" s="22"/>
      <c r="P183" s="22"/>
      <c r="Q183" s="22"/>
      <c r="R183" s="22"/>
      <c r="S183" s="22"/>
      <c r="T183" s="22"/>
      <c r="U183" s="22"/>
      <c r="V183" s="22"/>
      <c r="W183" s="22"/>
      <c r="X183" s="22"/>
      <c r="Y183" s="22"/>
      <c r="Z183" s="22"/>
      <c r="AA183" s="22"/>
      <c r="AB183" s="22"/>
      <c r="AC183" s="22"/>
      <c r="AD183" s="22"/>
      <c r="AE183" s="22"/>
      <c r="AF183" s="22"/>
      <c r="AG183" s="22"/>
      <c r="AH183" s="22"/>
      <c r="AI183" s="22"/>
      <c r="AJ183" s="22"/>
      <c r="AK183" s="22"/>
      <c r="AL183" s="22"/>
      <c r="AM183" s="22"/>
      <c r="AN183" s="22"/>
      <c r="AO183" s="22"/>
      <c r="AP183" s="22"/>
      <c r="AQ183" s="22"/>
      <c r="AR183" s="22"/>
      <c r="AS183" s="22"/>
      <c r="AT183" s="22"/>
      <c r="AU183" s="22"/>
      <c r="AV183" s="22"/>
      <c r="AW183" s="22"/>
    </row>
    <row r="184" spans="2:49" x14ac:dyDescent="0.15">
      <c r="B184" s="22"/>
      <c r="C184" s="22"/>
      <c r="D184" s="22"/>
      <c r="E184" s="22"/>
      <c r="F184" s="22"/>
      <c r="G184" s="22"/>
      <c r="H184" s="22"/>
      <c r="I184" s="22"/>
      <c r="J184" s="22"/>
      <c r="K184" s="22"/>
      <c r="L184" s="22"/>
      <c r="M184" s="22"/>
      <c r="N184" s="22"/>
      <c r="O184" s="22"/>
      <c r="P184" s="22"/>
      <c r="Q184" s="22"/>
      <c r="R184" s="22"/>
      <c r="S184" s="22"/>
      <c r="T184" s="22"/>
      <c r="U184" s="22"/>
      <c r="V184" s="22"/>
      <c r="W184" s="22"/>
      <c r="X184" s="22"/>
      <c r="Y184" s="22"/>
      <c r="Z184" s="22"/>
      <c r="AA184" s="22"/>
      <c r="AB184" s="22"/>
      <c r="AC184" s="22"/>
      <c r="AD184" s="22"/>
      <c r="AE184" s="22"/>
      <c r="AF184" s="22"/>
      <c r="AG184" s="22"/>
      <c r="AH184" s="22"/>
      <c r="AI184" s="22"/>
      <c r="AJ184" s="22"/>
      <c r="AK184" s="22"/>
      <c r="AL184" s="22"/>
      <c r="AM184" s="22"/>
      <c r="AN184" s="22"/>
      <c r="AO184" s="22"/>
      <c r="AP184" s="22"/>
      <c r="AQ184" s="22"/>
      <c r="AR184" s="22"/>
      <c r="AS184" s="22"/>
      <c r="AT184" s="22"/>
      <c r="AU184" s="22"/>
      <c r="AV184" s="22"/>
      <c r="AW184" s="22"/>
    </row>
    <row r="185" spans="2:49" x14ac:dyDescent="0.15">
      <c r="B185" s="22"/>
      <c r="C185" s="22"/>
      <c r="D185" s="22"/>
      <c r="E185" s="22"/>
      <c r="F185" s="22"/>
      <c r="G185" s="22"/>
      <c r="H185" s="22"/>
      <c r="I185" s="22"/>
      <c r="J185" s="22"/>
      <c r="K185" s="22"/>
      <c r="L185" s="22"/>
      <c r="M185" s="22"/>
      <c r="N185" s="22"/>
      <c r="O185" s="22"/>
      <c r="P185" s="22"/>
      <c r="Q185" s="22"/>
      <c r="R185" s="22"/>
      <c r="S185" s="22"/>
      <c r="T185" s="22"/>
      <c r="U185" s="22"/>
      <c r="V185" s="22"/>
      <c r="W185" s="22"/>
      <c r="X185" s="22"/>
      <c r="Y185" s="22"/>
      <c r="Z185" s="22"/>
      <c r="AA185" s="22"/>
      <c r="AB185" s="22"/>
      <c r="AC185" s="22"/>
      <c r="AD185" s="22"/>
      <c r="AE185" s="22"/>
      <c r="AF185" s="22"/>
      <c r="AG185" s="22"/>
      <c r="AH185" s="22"/>
      <c r="AI185" s="22"/>
      <c r="AJ185" s="22"/>
      <c r="AK185" s="22"/>
      <c r="AL185" s="22"/>
      <c r="AM185" s="22"/>
      <c r="AN185" s="22"/>
      <c r="AO185" s="22"/>
      <c r="AP185" s="22"/>
      <c r="AQ185" s="22"/>
      <c r="AR185" s="22"/>
      <c r="AS185" s="22"/>
      <c r="AT185" s="22"/>
      <c r="AU185" s="22"/>
      <c r="AV185" s="22"/>
      <c r="AW185" s="22"/>
    </row>
    <row r="186" spans="2:49" x14ac:dyDescent="0.15">
      <c r="B186" s="22"/>
      <c r="C186" s="22"/>
      <c r="D186" s="22"/>
      <c r="E186" s="22"/>
      <c r="F186" s="22"/>
      <c r="G186" s="22"/>
      <c r="H186" s="22"/>
      <c r="I186" s="22"/>
      <c r="J186" s="22"/>
      <c r="K186" s="22"/>
      <c r="L186" s="22"/>
      <c r="M186" s="22"/>
      <c r="N186" s="22"/>
      <c r="O186" s="22"/>
      <c r="P186" s="22"/>
      <c r="Q186" s="22"/>
      <c r="R186" s="22"/>
      <c r="S186" s="22"/>
      <c r="T186" s="22"/>
      <c r="U186" s="22"/>
      <c r="V186" s="22"/>
      <c r="W186" s="22"/>
      <c r="X186" s="22"/>
      <c r="Y186" s="22"/>
      <c r="Z186" s="22"/>
      <c r="AA186" s="22"/>
      <c r="AB186" s="22"/>
      <c r="AC186" s="22"/>
      <c r="AD186" s="22"/>
      <c r="AE186" s="22"/>
      <c r="AF186" s="22"/>
      <c r="AG186" s="22"/>
      <c r="AH186" s="22"/>
      <c r="AI186" s="22"/>
      <c r="AJ186" s="22"/>
      <c r="AK186" s="22"/>
      <c r="AL186" s="22"/>
      <c r="AM186" s="22"/>
      <c r="AN186" s="22"/>
      <c r="AO186" s="22"/>
      <c r="AP186" s="22"/>
      <c r="AQ186" s="22"/>
      <c r="AR186" s="22"/>
      <c r="AS186" s="22"/>
      <c r="AT186" s="22"/>
      <c r="AU186" s="22"/>
      <c r="AV186" s="22"/>
      <c r="AW186" s="22"/>
    </row>
    <row r="187" spans="2:49" x14ac:dyDescent="0.15">
      <c r="B187" s="22"/>
      <c r="C187" s="22"/>
      <c r="D187" s="22"/>
      <c r="E187" s="22"/>
      <c r="F187" s="22"/>
      <c r="G187" s="22"/>
      <c r="H187" s="22"/>
      <c r="I187" s="22"/>
      <c r="J187" s="22"/>
      <c r="K187" s="22"/>
      <c r="L187" s="22"/>
      <c r="M187" s="22"/>
      <c r="N187" s="22"/>
      <c r="O187" s="22"/>
      <c r="P187" s="22"/>
      <c r="Q187" s="22"/>
      <c r="R187" s="22"/>
      <c r="S187" s="22"/>
      <c r="T187" s="22"/>
      <c r="U187" s="22"/>
      <c r="V187" s="22"/>
      <c r="W187" s="22"/>
      <c r="X187" s="22"/>
      <c r="Y187" s="22"/>
      <c r="Z187" s="22"/>
      <c r="AA187" s="22"/>
      <c r="AB187" s="22"/>
      <c r="AC187" s="22"/>
      <c r="AD187" s="22"/>
      <c r="AE187" s="22"/>
      <c r="AF187" s="22"/>
      <c r="AG187" s="22"/>
      <c r="AH187" s="22"/>
      <c r="AI187" s="22"/>
      <c r="AJ187" s="22"/>
      <c r="AK187" s="22"/>
      <c r="AL187" s="22"/>
      <c r="AM187" s="22"/>
      <c r="AN187" s="22"/>
      <c r="AO187" s="22"/>
      <c r="AP187" s="22"/>
      <c r="AQ187" s="22"/>
      <c r="AR187" s="22"/>
      <c r="AS187" s="22"/>
      <c r="AT187" s="22"/>
      <c r="AU187" s="22"/>
      <c r="AV187" s="22"/>
      <c r="AW187" s="22"/>
    </row>
    <row r="188" spans="2:49" x14ac:dyDescent="0.15">
      <c r="B188" s="22"/>
      <c r="C188" s="22"/>
      <c r="D188" s="22"/>
      <c r="E188" s="22"/>
      <c r="F188" s="22"/>
      <c r="G188" s="22"/>
      <c r="H188" s="22"/>
      <c r="I188" s="22"/>
      <c r="J188" s="22"/>
      <c r="K188" s="22"/>
      <c r="L188" s="22"/>
      <c r="M188" s="22"/>
      <c r="N188" s="22"/>
      <c r="O188" s="22"/>
      <c r="P188" s="22"/>
      <c r="Q188" s="22"/>
      <c r="R188" s="22"/>
      <c r="S188" s="22"/>
      <c r="T188" s="22"/>
      <c r="U188" s="22"/>
      <c r="V188" s="22"/>
      <c r="W188" s="22"/>
      <c r="X188" s="22"/>
      <c r="Y188" s="22"/>
      <c r="Z188" s="22"/>
      <c r="AA188" s="22"/>
      <c r="AB188" s="22"/>
      <c r="AC188" s="22"/>
      <c r="AD188" s="22"/>
      <c r="AE188" s="22"/>
      <c r="AF188" s="22"/>
      <c r="AG188" s="22"/>
      <c r="AH188" s="22"/>
      <c r="AI188" s="22"/>
      <c r="AJ188" s="22"/>
      <c r="AK188" s="22"/>
      <c r="AL188" s="22"/>
      <c r="AM188" s="22"/>
      <c r="AN188" s="22"/>
      <c r="AO188" s="22"/>
      <c r="AP188" s="22"/>
      <c r="AQ188" s="22"/>
      <c r="AR188" s="22"/>
      <c r="AS188" s="22"/>
      <c r="AT188" s="22"/>
      <c r="AU188" s="22"/>
      <c r="AV188" s="22"/>
      <c r="AW188" s="22"/>
    </row>
    <row r="189" spans="2:49" x14ac:dyDescent="0.15">
      <c r="B189" s="22"/>
      <c r="C189" s="22"/>
      <c r="D189" s="22"/>
      <c r="E189" s="22"/>
      <c r="F189" s="22"/>
      <c r="G189" s="22"/>
      <c r="H189" s="22"/>
      <c r="I189" s="22"/>
      <c r="J189" s="22"/>
      <c r="K189" s="22"/>
      <c r="L189" s="22"/>
      <c r="M189" s="22"/>
      <c r="N189" s="22"/>
      <c r="O189" s="22"/>
      <c r="P189" s="22"/>
      <c r="Q189" s="22"/>
      <c r="R189" s="22"/>
      <c r="S189" s="22"/>
      <c r="T189" s="22"/>
      <c r="U189" s="22"/>
      <c r="V189" s="22"/>
      <c r="W189" s="22"/>
      <c r="X189" s="22"/>
      <c r="Y189" s="22"/>
      <c r="Z189" s="22"/>
      <c r="AA189" s="22"/>
      <c r="AB189" s="22"/>
      <c r="AC189" s="22"/>
      <c r="AD189" s="22"/>
      <c r="AE189" s="22"/>
      <c r="AF189" s="22"/>
      <c r="AG189" s="22"/>
      <c r="AH189" s="22"/>
      <c r="AI189" s="22"/>
      <c r="AJ189" s="22"/>
      <c r="AK189" s="22"/>
      <c r="AL189" s="22"/>
      <c r="AM189" s="22"/>
      <c r="AN189" s="22"/>
      <c r="AO189" s="22"/>
      <c r="AP189" s="22"/>
      <c r="AQ189" s="22"/>
      <c r="AR189" s="22"/>
      <c r="AS189" s="22"/>
      <c r="AT189" s="22"/>
      <c r="AU189" s="22"/>
      <c r="AV189" s="22"/>
      <c r="AW189" s="22"/>
    </row>
    <row r="190" spans="2:49" x14ac:dyDescent="0.15">
      <c r="B190" s="22"/>
      <c r="C190" s="22"/>
      <c r="D190" s="22"/>
      <c r="E190" s="22"/>
      <c r="F190" s="22"/>
      <c r="G190" s="22"/>
      <c r="H190" s="22"/>
      <c r="I190" s="22"/>
      <c r="J190" s="22"/>
      <c r="K190" s="22"/>
      <c r="L190" s="22"/>
      <c r="M190" s="22"/>
      <c r="N190" s="22"/>
      <c r="O190" s="22"/>
      <c r="P190" s="22"/>
      <c r="Q190" s="22"/>
      <c r="R190" s="22"/>
      <c r="S190" s="22"/>
      <c r="T190" s="22"/>
      <c r="U190" s="22"/>
      <c r="V190" s="22"/>
      <c r="W190" s="22"/>
      <c r="X190" s="22"/>
      <c r="Y190" s="22"/>
      <c r="Z190" s="22"/>
      <c r="AA190" s="22"/>
      <c r="AB190" s="22"/>
      <c r="AC190" s="22"/>
      <c r="AD190" s="22"/>
      <c r="AE190" s="22"/>
      <c r="AF190" s="22"/>
      <c r="AG190" s="22"/>
      <c r="AH190" s="22"/>
      <c r="AI190" s="22"/>
      <c r="AJ190" s="22"/>
      <c r="AK190" s="22"/>
      <c r="AL190" s="22"/>
      <c r="AM190" s="22"/>
      <c r="AN190" s="22"/>
      <c r="AO190" s="22"/>
      <c r="AP190" s="22"/>
      <c r="AQ190" s="22"/>
      <c r="AR190" s="22"/>
      <c r="AS190" s="22"/>
      <c r="AT190" s="22"/>
      <c r="AU190" s="22"/>
      <c r="AV190" s="22"/>
      <c r="AW190" s="22"/>
    </row>
    <row r="191" spans="2:49" x14ac:dyDescent="0.15">
      <c r="B191" s="22"/>
      <c r="C191" s="22"/>
      <c r="D191" s="22"/>
      <c r="E191" s="22"/>
      <c r="F191" s="22"/>
      <c r="G191" s="22"/>
      <c r="H191" s="22"/>
      <c r="I191" s="22"/>
      <c r="J191" s="22"/>
      <c r="K191" s="22"/>
      <c r="L191" s="22"/>
      <c r="M191" s="22"/>
      <c r="N191" s="22"/>
      <c r="O191" s="22"/>
      <c r="P191" s="22"/>
      <c r="Q191" s="22"/>
      <c r="R191" s="22"/>
      <c r="S191" s="22"/>
      <c r="T191" s="22"/>
      <c r="U191" s="22"/>
      <c r="V191" s="22"/>
      <c r="W191" s="22"/>
      <c r="X191" s="22"/>
      <c r="Y191" s="22"/>
      <c r="Z191" s="22"/>
      <c r="AA191" s="22"/>
      <c r="AB191" s="22"/>
      <c r="AC191" s="22"/>
      <c r="AD191" s="22"/>
      <c r="AE191" s="22"/>
      <c r="AF191" s="22"/>
      <c r="AG191" s="22"/>
      <c r="AH191" s="22"/>
      <c r="AI191" s="22"/>
      <c r="AJ191" s="22"/>
      <c r="AK191" s="22"/>
      <c r="AL191" s="22"/>
      <c r="AM191" s="22"/>
      <c r="AN191" s="22"/>
      <c r="AO191" s="22"/>
      <c r="AP191" s="22"/>
      <c r="AQ191" s="22"/>
      <c r="AR191" s="22"/>
      <c r="AS191" s="22"/>
      <c r="AT191" s="22"/>
      <c r="AU191" s="22"/>
      <c r="AV191" s="22"/>
      <c r="AW191" s="22"/>
    </row>
    <row r="192" spans="2:49" x14ac:dyDescent="0.15">
      <c r="B192" s="22"/>
      <c r="C192" s="22"/>
      <c r="D192" s="22"/>
      <c r="E192" s="22"/>
      <c r="F192" s="22"/>
      <c r="G192" s="22"/>
      <c r="H192" s="22"/>
      <c r="I192" s="22"/>
      <c r="J192" s="22"/>
      <c r="K192" s="22"/>
      <c r="L192" s="22"/>
      <c r="M192" s="22"/>
      <c r="N192" s="22"/>
      <c r="O192" s="22"/>
      <c r="P192" s="22"/>
      <c r="Q192" s="22"/>
      <c r="R192" s="22"/>
      <c r="S192" s="22"/>
      <c r="T192" s="22"/>
      <c r="U192" s="22"/>
      <c r="V192" s="22"/>
      <c r="W192" s="22"/>
      <c r="X192" s="22"/>
      <c r="Y192" s="22"/>
      <c r="Z192" s="22"/>
      <c r="AA192" s="22"/>
      <c r="AB192" s="22"/>
      <c r="AC192" s="22"/>
      <c r="AD192" s="22"/>
      <c r="AE192" s="22"/>
      <c r="AF192" s="22"/>
      <c r="AG192" s="22"/>
      <c r="AH192" s="22"/>
      <c r="AI192" s="22"/>
      <c r="AJ192" s="22"/>
      <c r="AK192" s="22"/>
      <c r="AL192" s="22"/>
      <c r="AM192" s="22"/>
      <c r="AN192" s="22"/>
      <c r="AO192" s="22"/>
      <c r="AP192" s="22"/>
      <c r="AQ192" s="22"/>
      <c r="AR192" s="22"/>
      <c r="AS192" s="22"/>
      <c r="AT192" s="22"/>
      <c r="AU192" s="22"/>
      <c r="AV192" s="22"/>
      <c r="AW192" s="22"/>
    </row>
    <row r="193" spans="2:49" x14ac:dyDescent="0.15">
      <c r="B193" s="22"/>
      <c r="C193" s="22"/>
      <c r="D193" s="22"/>
      <c r="E193" s="22"/>
      <c r="F193" s="22"/>
      <c r="G193" s="22"/>
      <c r="H193" s="22"/>
      <c r="I193" s="22"/>
      <c r="J193" s="22"/>
      <c r="K193" s="22"/>
      <c r="L193" s="22"/>
      <c r="M193" s="22"/>
      <c r="N193" s="22"/>
      <c r="O193" s="22"/>
      <c r="P193" s="22"/>
      <c r="Q193" s="22"/>
      <c r="R193" s="22"/>
      <c r="S193" s="22"/>
      <c r="T193" s="22"/>
      <c r="U193" s="22"/>
      <c r="V193" s="22"/>
      <c r="W193" s="22"/>
      <c r="X193" s="22"/>
      <c r="Y193" s="22"/>
      <c r="Z193" s="22"/>
      <c r="AA193" s="22"/>
      <c r="AB193" s="22"/>
      <c r="AC193" s="22"/>
      <c r="AD193" s="22"/>
      <c r="AE193" s="22"/>
      <c r="AF193" s="22"/>
      <c r="AG193" s="22"/>
      <c r="AH193" s="22"/>
      <c r="AI193" s="22"/>
      <c r="AJ193" s="22"/>
      <c r="AK193" s="22"/>
      <c r="AL193" s="22"/>
      <c r="AM193" s="22"/>
      <c r="AN193" s="22"/>
      <c r="AO193" s="22"/>
      <c r="AP193" s="22"/>
      <c r="AQ193" s="22"/>
      <c r="AR193" s="22"/>
      <c r="AS193" s="22"/>
      <c r="AT193" s="22"/>
      <c r="AU193" s="22"/>
      <c r="AV193" s="22"/>
      <c r="AW193" s="22"/>
    </row>
    <row r="194" spans="2:49" x14ac:dyDescent="0.15">
      <c r="B194" s="22"/>
      <c r="C194" s="22"/>
      <c r="D194" s="22"/>
      <c r="E194" s="22"/>
      <c r="F194" s="22"/>
      <c r="G194" s="22"/>
      <c r="H194" s="22"/>
      <c r="I194" s="22"/>
      <c r="J194" s="22"/>
      <c r="K194" s="22"/>
      <c r="L194" s="22"/>
      <c r="M194" s="22"/>
      <c r="N194" s="22"/>
      <c r="O194" s="22"/>
      <c r="P194" s="22"/>
      <c r="Q194" s="22"/>
      <c r="R194" s="22"/>
      <c r="S194" s="22"/>
      <c r="T194" s="22"/>
      <c r="U194" s="22"/>
      <c r="V194" s="22"/>
      <c r="W194" s="22"/>
      <c r="X194" s="22"/>
      <c r="Y194" s="22"/>
      <c r="Z194" s="22"/>
      <c r="AA194" s="22"/>
      <c r="AB194" s="22"/>
      <c r="AC194" s="22"/>
      <c r="AD194" s="22"/>
      <c r="AE194" s="22"/>
      <c r="AF194" s="22"/>
      <c r="AG194" s="22"/>
      <c r="AH194" s="22"/>
      <c r="AI194" s="22"/>
      <c r="AJ194" s="22"/>
      <c r="AK194" s="22"/>
      <c r="AL194" s="22"/>
      <c r="AM194" s="22"/>
      <c r="AN194" s="22"/>
      <c r="AO194" s="22"/>
      <c r="AP194" s="22"/>
      <c r="AQ194" s="22"/>
      <c r="AR194" s="22"/>
      <c r="AS194" s="22"/>
      <c r="AT194" s="22"/>
      <c r="AU194" s="22"/>
      <c r="AV194" s="22"/>
      <c r="AW194" s="22"/>
    </row>
    <row r="195" spans="2:49" x14ac:dyDescent="0.15">
      <c r="B195" s="22"/>
      <c r="C195" s="22"/>
      <c r="D195" s="22"/>
      <c r="E195" s="22"/>
      <c r="F195" s="22"/>
      <c r="G195" s="22"/>
      <c r="H195" s="22"/>
      <c r="I195" s="22"/>
      <c r="J195" s="22"/>
      <c r="K195" s="22"/>
      <c r="L195" s="22"/>
      <c r="M195" s="22"/>
      <c r="N195" s="22"/>
      <c r="O195" s="22"/>
      <c r="P195" s="22"/>
      <c r="Q195" s="22"/>
      <c r="R195" s="22"/>
      <c r="S195" s="22"/>
      <c r="T195" s="22"/>
      <c r="U195" s="22"/>
      <c r="V195" s="22"/>
      <c r="W195" s="22"/>
      <c r="X195" s="22"/>
      <c r="Y195" s="22"/>
      <c r="Z195" s="22"/>
      <c r="AA195" s="22"/>
      <c r="AB195" s="22"/>
      <c r="AC195" s="22"/>
      <c r="AD195" s="22"/>
      <c r="AE195" s="22"/>
      <c r="AF195" s="22"/>
      <c r="AG195" s="22"/>
      <c r="AH195" s="22"/>
      <c r="AI195" s="22"/>
      <c r="AJ195" s="22"/>
      <c r="AK195" s="22"/>
      <c r="AL195" s="22"/>
      <c r="AM195" s="22"/>
      <c r="AN195" s="22"/>
      <c r="AO195" s="22"/>
      <c r="AP195" s="22"/>
      <c r="AQ195" s="22"/>
      <c r="AR195" s="22"/>
      <c r="AS195" s="22"/>
      <c r="AT195" s="22"/>
      <c r="AU195" s="22"/>
      <c r="AV195" s="22"/>
      <c r="AW195" s="22"/>
    </row>
    <row r="196" spans="2:49" x14ac:dyDescent="0.15">
      <c r="B196" s="22"/>
      <c r="C196" s="22"/>
      <c r="D196" s="22"/>
      <c r="E196" s="22"/>
      <c r="F196" s="22"/>
      <c r="G196" s="22"/>
      <c r="H196" s="22"/>
      <c r="I196" s="22"/>
      <c r="J196" s="22"/>
      <c r="K196" s="22"/>
      <c r="L196" s="22"/>
      <c r="M196" s="22"/>
      <c r="N196" s="22"/>
      <c r="O196" s="22"/>
      <c r="P196" s="22"/>
      <c r="Q196" s="22"/>
      <c r="R196" s="22"/>
      <c r="S196" s="22"/>
      <c r="T196" s="22"/>
      <c r="U196" s="22"/>
      <c r="V196" s="22"/>
      <c r="W196" s="22"/>
      <c r="X196" s="22"/>
      <c r="Y196" s="22"/>
      <c r="Z196" s="22"/>
      <c r="AA196" s="22"/>
      <c r="AB196" s="22"/>
      <c r="AC196" s="22"/>
      <c r="AD196" s="22"/>
      <c r="AE196" s="22"/>
      <c r="AF196" s="22"/>
      <c r="AG196" s="22"/>
      <c r="AH196" s="22"/>
      <c r="AI196" s="22"/>
      <c r="AJ196" s="22"/>
      <c r="AK196" s="22"/>
      <c r="AL196" s="22"/>
      <c r="AM196" s="22"/>
      <c r="AN196" s="22"/>
      <c r="AO196" s="22"/>
      <c r="AP196" s="22"/>
      <c r="AQ196" s="22"/>
      <c r="AR196" s="22"/>
      <c r="AS196" s="22"/>
      <c r="AT196" s="22"/>
      <c r="AU196" s="22"/>
      <c r="AV196" s="22"/>
      <c r="AW196" s="22"/>
    </row>
    <row r="197" spans="2:49" x14ac:dyDescent="0.15">
      <c r="B197" s="22"/>
      <c r="C197" s="22"/>
      <c r="D197" s="22"/>
      <c r="E197" s="22"/>
      <c r="F197" s="22"/>
      <c r="G197" s="22"/>
      <c r="H197" s="22"/>
      <c r="I197" s="22"/>
      <c r="J197" s="22"/>
      <c r="K197" s="22"/>
      <c r="L197" s="22"/>
      <c r="M197" s="22"/>
      <c r="N197" s="22"/>
      <c r="O197" s="22"/>
      <c r="P197" s="22"/>
      <c r="Q197" s="22"/>
      <c r="R197" s="22"/>
      <c r="S197" s="22"/>
      <c r="T197" s="22"/>
      <c r="U197" s="22"/>
      <c r="V197" s="22"/>
      <c r="W197" s="22"/>
      <c r="X197" s="22"/>
      <c r="Y197" s="22"/>
      <c r="Z197" s="22"/>
      <c r="AA197" s="22"/>
      <c r="AB197" s="22"/>
      <c r="AC197" s="22"/>
      <c r="AD197" s="22"/>
      <c r="AE197" s="22"/>
      <c r="AF197" s="22"/>
      <c r="AG197" s="22"/>
      <c r="AH197" s="22"/>
      <c r="AI197" s="22"/>
      <c r="AJ197" s="22"/>
      <c r="AK197" s="22"/>
      <c r="AL197" s="22"/>
      <c r="AM197" s="22"/>
      <c r="AN197" s="22"/>
      <c r="AO197" s="22"/>
      <c r="AP197" s="22"/>
      <c r="AQ197" s="22"/>
      <c r="AR197" s="22"/>
      <c r="AS197" s="22"/>
      <c r="AT197" s="22"/>
      <c r="AU197" s="22"/>
      <c r="AV197" s="22"/>
      <c r="AW197" s="22"/>
    </row>
    <row r="198" spans="2:49" x14ac:dyDescent="0.15">
      <c r="B198" s="22"/>
      <c r="C198" s="22"/>
      <c r="D198" s="22"/>
      <c r="E198" s="22"/>
      <c r="F198" s="22"/>
      <c r="G198" s="22"/>
      <c r="H198" s="22"/>
      <c r="I198" s="22"/>
      <c r="J198" s="22"/>
      <c r="K198" s="22"/>
      <c r="L198" s="22"/>
      <c r="M198" s="22"/>
      <c r="N198" s="22"/>
      <c r="O198" s="22"/>
      <c r="P198" s="22"/>
      <c r="Q198" s="22"/>
      <c r="R198" s="22"/>
      <c r="S198" s="22"/>
      <c r="T198" s="22"/>
      <c r="U198" s="22"/>
      <c r="V198" s="22"/>
      <c r="W198" s="22"/>
      <c r="X198" s="22"/>
      <c r="Y198" s="22"/>
      <c r="Z198" s="22"/>
      <c r="AA198" s="22"/>
      <c r="AB198" s="22"/>
      <c r="AC198" s="22"/>
      <c r="AD198" s="22"/>
      <c r="AE198" s="22"/>
      <c r="AF198" s="22"/>
      <c r="AG198" s="22"/>
      <c r="AH198" s="22"/>
      <c r="AI198" s="22"/>
      <c r="AJ198" s="22"/>
      <c r="AK198" s="22"/>
      <c r="AL198" s="22"/>
      <c r="AM198" s="22"/>
      <c r="AN198" s="22"/>
      <c r="AO198" s="22"/>
      <c r="AP198" s="22"/>
      <c r="AQ198" s="22"/>
      <c r="AR198" s="22"/>
      <c r="AS198" s="22"/>
      <c r="AT198" s="22"/>
      <c r="AU198" s="22"/>
      <c r="AV198" s="22"/>
      <c r="AW198" s="22"/>
    </row>
    <row r="199" spans="2:49" x14ac:dyDescent="0.15">
      <c r="B199" s="22"/>
      <c r="C199" s="22"/>
      <c r="D199" s="22"/>
      <c r="E199" s="22"/>
      <c r="F199" s="22"/>
      <c r="G199" s="22"/>
      <c r="H199" s="22"/>
      <c r="I199" s="22"/>
      <c r="J199" s="22"/>
      <c r="K199" s="22"/>
      <c r="L199" s="22"/>
      <c r="M199" s="22"/>
      <c r="N199" s="22"/>
      <c r="O199" s="22"/>
      <c r="P199" s="22"/>
      <c r="Q199" s="22"/>
      <c r="R199" s="22"/>
      <c r="S199" s="22"/>
      <c r="T199" s="22"/>
      <c r="U199" s="22"/>
      <c r="V199" s="22"/>
      <c r="W199" s="22"/>
      <c r="X199" s="22"/>
      <c r="Y199" s="22"/>
      <c r="Z199" s="22"/>
      <c r="AA199" s="22"/>
      <c r="AB199" s="22"/>
      <c r="AC199" s="22"/>
      <c r="AD199" s="22"/>
      <c r="AE199" s="22"/>
      <c r="AF199" s="22"/>
      <c r="AG199" s="22"/>
      <c r="AH199" s="22"/>
      <c r="AI199" s="22"/>
      <c r="AJ199" s="22"/>
      <c r="AK199" s="22"/>
      <c r="AL199" s="22"/>
      <c r="AM199" s="22"/>
      <c r="AN199" s="22"/>
      <c r="AO199" s="22"/>
      <c r="AP199" s="22"/>
      <c r="AQ199" s="22"/>
      <c r="AR199" s="22"/>
      <c r="AS199" s="22"/>
      <c r="AT199" s="22"/>
      <c r="AU199" s="22"/>
      <c r="AV199" s="22"/>
      <c r="AW199" s="22"/>
    </row>
    <row r="200" spans="2:49" x14ac:dyDescent="0.15">
      <c r="B200" s="22"/>
      <c r="C200" s="22"/>
      <c r="D200" s="22"/>
      <c r="E200" s="22"/>
      <c r="F200" s="22"/>
      <c r="G200" s="22"/>
      <c r="H200" s="22"/>
      <c r="I200" s="22"/>
      <c r="J200" s="22"/>
      <c r="K200" s="22"/>
      <c r="L200" s="22"/>
      <c r="M200" s="22"/>
      <c r="N200" s="22"/>
      <c r="O200" s="22"/>
      <c r="P200" s="22"/>
      <c r="Q200" s="22"/>
      <c r="R200" s="22"/>
      <c r="S200" s="22"/>
      <c r="T200" s="22"/>
      <c r="U200" s="22"/>
      <c r="V200" s="22"/>
      <c r="W200" s="22"/>
      <c r="X200" s="22"/>
      <c r="Y200" s="22"/>
      <c r="Z200" s="22"/>
      <c r="AA200" s="22"/>
      <c r="AB200" s="22"/>
      <c r="AC200" s="22"/>
      <c r="AD200" s="22"/>
      <c r="AE200" s="22"/>
      <c r="AF200" s="22"/>
      <c r="AG200" s="22"/>
      <c r="AH200" s="22"/>
      <c r="AI200" s="22"/>
      <c r="AJ200" s="22"/>
      <c r="AK200" s="22"/>
      <c r="AL200" s="22"/>
      <c r="AM200" s="22"/>
      <c r="AN200" s="22"/>
      <c r="AO200" s="22"/>
      <c r="AP200" s="22"/>
      <c r="AQ200" s="22"/>
      <c r="AR200" s="22"/>
      <c r="AS200" s="22"/>
      <c r="AT200" s="22"/>
      <c r="AU200" s="22"/>
      <c r="AV200" s="22"/>
      <c r="AW200" s="22"/>
    </row>
    <row r="201" spans="2:49" x14ac:dyDescent="0.15">
      <c r="B201" s="22"/>
      <c r="C201" s="22"/>
      <c r="D201" s="22"/>
      <c r="E201" s="22"/>
      <c r="F201" s="22"/>
      <c r="G201" s="22"/>
      <c r="H201" s="22"/>
      <c r="I201" s="22"/>
      <c r="J201" s="22"/>
      <c r="K201" s="22"/>
      <c r="L201" s="22"/>
      <c r="M201" s="22"/>
      <c r="N201" s="22"/>
      <c r="O201" s="22"/>
      <c r="P201" s="22"/>
      <c r="Q201" s="22"/>
      <c r="R201" s="22"/>
      <c r="S201" s="22"/>
      <c r="T201" s="22"/>
      <c r="U201" s="22"/>
      <c r="V201" s="22"/>
      <c r="W201" s="22"/>
      <c r="X201" s="22"/>
      <c r="Y201" s="22"/>
      <c r="Z201" s="22"/>
      <c r="AA201" s="22"/>
      <c r="AB201" s="22"/>
      <c r="AC201" s="22"/>
      <c r="AD201" s="22"/>
      <c r="AE201" s="22"/>
      <c r="AF201" s="22"/>
      <c r="AG201" s="22"/>
      <c r="AH201" s="22"/>
      <c r="AI201" s="22"/>
      <c r="AJ201" s="22"/>
      <c r="AK201" s="22"/>
      <c r="AL201" s="22"/>
      <c r="AM201" s="22"/>
      <c r="AN201" s="22"/>
      <c r="AO201" s="22"/>
      <c r="AP201" s="22"/>
      <c r="AQ201" s="22"/>
      <c r="AR201" s="22"/>
      <c r="AS201" s="22"/>
      <c r="AT201" s="22"/>
      <c r="AU201" s="22"/>
      <c r="AV201" s="22"/>
      <c r="AW201" s="22"/>
    </row>
    <row r="202" spans="2:49" x14ac:dyDescent="0.15">
      <c r="B202" s="22"/>
      <c r="C202" s="22"/>
      <c r="D202" s="22"/>
      <c r="E202" s="22"/>
      <c r="F202" s="22"/>
      <c r="G202" s="22"/>
      <c r="H202" s="22"/>
      <c r="I202" s="22"/>
      <c r="J202" s="22"/>
      <c r="K202" s="22"/>
      <c r="L202" s="22"/>
      <c r="M202" s="22"/>
      <c r="N202" s="22"/>
      <c r="O202" s="22"/>
      <c r="P202" s="22"/>
      <c r="Q202" s="22"/>
      <c r="R202" s="22"/>
      <c r="S202" s="22"/>
      <c r="T202" s="22"/>
      <c r="U202" s="22"/>
      <c r="V202" s="22"/>
      <c r="W202" s="22"/>
      <c r="X202" s="22"/>
      <c r="Y202" s="22"/>
      <c r="Z202" s="22"/>
      <c r="AA202" s="22"/>
      <c r="AB202" s="22"/>
      <c r="AC202" s="22"/>
      <c r="AD202" s="22"/>
      <c r="AE202" s="22"/>
      <c r="AF202" s="22"/>
      <c r="AG202" s="22"/>
      <c r="AH202" s="22"/>
      <c r="AI202" s="22"/>
      <c r="AJ202" s="22"/>
      <c r="AK202" s="22"/>
      <c r="AL202" s="22"/>
      <c r="AM202" s="22"/>
      <c r="AN202" s="22"/>
      <c r="AO202" s="22"/>
      <c r="AP202" s="22"/>
      <c r="AQ202" s="22"/>
      <c r="AR202" s="22"/>
      <c r="AS202" s="22"/>
      <c r="AT202" s="22"/>
      <c r="AU202" s="22"/>
      <c r="AV202" s="22"/>
      <c r="AW202" s="22"/>
    </row>
    <row r="203" spans="2:49" x14ac:dyDescent="0.15">
      <c r="B203" s="22"/>
      <c r="C203" s="22"/>
      <c r="D203" s="22"/>
      <c r="E203" s="22"/>
      <c r="F203" s="22"/>
      <c r="G203" s="22"/>
      <c r="H203" s="22"/>
      <c r="I203" s="22"/>
      <c r="J203" s="22"/>
      <c r="K203" s="22"/>
      <c r="L203" s="22"/>
      <c r="M203" s="22"/>
      <c r="N203" s="22"/>
      <c r="O203" s="22"/>
      <c r="P203" s="22"/>
      <c r="Q203" s="22"/>
      <c r="R203" s="22"/>
      <c r="S203" s="22"/>
      <c r="T203" s="22"/>
      <c r="U203" s="22"/>
      <c r="V203" s="22"/>
      <c r="W203" s="22"/>
      <c r="X203" s="22"/>
      <c r="Y203" s="22"/>
      <c r="Z203" s="22"/>
      <c r="AA203" s="22"/>
      <c r="AB203" s="22"/>
      <c r="AC203" s="22"/>
      <c r="AD203" s="22"/>
      <c r="AE203" s="22"/>
      <c r="AF203" s="22"/>
      <c r="AG203" s="22"/>
      <c r="AH203" s="22"/>
      <c r="AI203" s="22"/>
      <c r="AJ203" s="22"/>
      <c r="AK203" s="22"/>
      <c r="AL203" s="22"/>
      <c r="AM203" s="22"/>
      <c r="AN203" s="22"/>
      <c r="AO203" s="22"/>
      <c r="AP203" s="22"/>
      <c r="AQ203" s="22"/>
      <c r="AR203" s="22"/>
      <c r="AS203" s="22"/>
      <c r="AT203" s="22"/>
      <c r="AU203" s="22"/>
      <c r="AV203" s="22"/>
      <c r="AW203" s="22"/>
    </row>
    <row r="204" spans="2:49" x14ac:dyDescent="0.15">
      <c r="B204" s="22"/>
      <c r="C204" s="22"/>
      <c r="D204" s="22"/>
      <c r="E204" s="22"/>
      <c r="F204" s="22"/>
      <c r="G204" s="22"/>
      <c r="H204" s="22"/>
      <c r="I204" s="22"/>
      <c r="J204" s="22"/>
      <c r="K204" s="22"/>
      <c r="L204" s="22"/>
      <c r="M204" s="22"/>
      <c r="N204" s="22"/>
      <c r="O204" s="22"/>
      <c r="P204" s="22"/>
      <c r="Q204" s="22"/>
      <c r="R204" s="22"/>
      <c r="S204" s="22"/>
      <c r="T204" s="22"/>
      <c r="U204" s="22"/>
      <c r="V204" s="22"/>
      <c r="W204" s="22"/>
      <c r="X204" s="22"/>
      <c r="Y204" s="22"/>
      <c r="Z204" s="22"/>
      <c r="AA204" s="22"/>
      <c r="AB204" s="22"/>
      <c r="AC204" s="22"/>
      <c r="AD204" s="22"/>
      <c r="AE204" s="22"/>
      <c r="AF204" s="22"/>
      <c r="AG204" s="22"/>
      <c r="AH204" s="22"/>
      <c r="AI204" s="22"/>
      <c r="AJ204" s="22"/>
      <c r="AK204" s="22"/>
      <c r="AL204" s="22"/>
      <c r="AM204" s="22"/>
      <c r="AN204" s="22"/>
      <c r="AO204" s="22"/>
      <c r="AP204" s="22"/>
      <c r="AQ204" s="22"/>
      <c r="AR204" s="22"/>
      <c r="AS204" s="22"/>
      <c r="AT204" s="22"/>
      <c r="AU204" s="22"/>
      <c r="AV204" s="22"/>
      <c r="AW204" s="22"/>
    </row>
    <row r="205" spans="2:49" x14ac:dyDescent="0.15">
      <c r="B205" s="22"/>
      <c r="C205" s="22"/>
      <c r="D205" s="22"/>
      <c r="E205" s="22"/>
      <c r="F205" s="22"/>
      <c r="G205" s="22"/>
      <c r="H205" s="22"/>
      <c r="I205" s="22"/>
      <c r="J205" s="22"/>
      <c r="K205" s="22"/>
      <c r="L205" s="22"/>
      <c r="M205" s="22"/>
      <c r="N205" s="22"/>
      <c r="O205" s="22"/>
      <c r="P205" s="22"/>
      <c r="Q205" s="22"/>
      <c r="R205" s="22"/>
      <c r="S205" s="22"/>
      <c r="T205" s="22"/>
      <c r="U205" s="22"/>
      <c r="V205" s="22"/>
      <c r="W205" s="22"/>
      <c r="X205" s="22"/>
      <c r="Y205" s="22"/>
      <c r="Z205" s="22"/>
      <c r="AA205" s="22"/>
      <c r="AB205" s="22"/>
      <c r="AC205" s="22"/>
      <c r="AD205" s="22"/>
      <c r="AE205" s="22"/>
      <c r="AF205" s="22"/>
      <c r="AG205" s="22"/>
      <c r="AH205" s="22"/>
      <c r="AI205" s="22"/>
      <c r="AJ205" s="22"/>
      <c r="AK205" s="22"/>
      <c r="AL205" s="22"/>
      <c r="AM205" s="22"/>
      <c r="AN205" s="22"/>
      <c r="AO205" s="22"/>
      <c r="AP205" s="22"/>
      <c r="AQ205" s="22"/>
      <c r="AR205" s="22"/>
      <c r="AS205" s="22"/>
      <c r="AT205" s="22"/>
      <c r="AU205" s="22"/>
      <c r="AV205" s="22"/>
      <c r="AW205" s="22"/>
    </row>
    <row r="206" spans="2:49" x14ac:dyDescent="0.15">
      <c r="B206" s="22"/>
      <c r="C206" s="22"/>
      <c r="D206" s="22"/>
      <c r="E206" s="22"/>
      <c r="F206" s="22"/>
      <c r="G206" s="22"/>
      <c r="H206" s="22"/>
      <c r="I206" s="22"/>
      <c r="J206" s="22"/>
      <c r="K206" s="22"/>
      <c r="L206" s="22"/>
      <c r="M206" s="22"/>
      <c r="N206" s="22"/>
      <c r="O206" s="22"/>
      <c r="P206" s="22"/>
      <c r="Q206" s="22"/>
      <c r="R206" s="22"/>
      <c r="S206" s="22"/>
      <c r="T206" s="22"/>
      <c r="U206" s="22"/>
      <c r="V206" s="22"/>
      <c r="W206" s="22"/>
      <c r="X206" s="22"/>
      <c r="Y206" s="22"/>
      <c r="Z206" s="22"/>
      <c r="AA206" s="22"/>
      <c r="AB206" s="22"/>
      <c r="AC206" s="22"/>
      <c r="AD206" s="22"/>
      <c r="AE206" s="22"/>
      <c r="AF206" s="22"/>
      <c r="AG206" s="22"/>
      <c r="AH206" s="22"/>
      <c r="AI206" s="22"/>
      <c r="AJ206" s="22"/>
      <c r="AK206" s="22"/>
      <c r="AL206" s="22"/>
      <c r="AM206" s="22"/>
      <c r="AN206" s="22"/>
      <c r="AO206" s="22"/>
      <c r="AP206" s="22"/>
      <c r="AQ206" s="22"/>
      <c r="AR206" s="22"/>
      <c r="AS206" s="22"/>
      <c r="AT206" s="22"/>
      <c r="AU206" s="22"/>
      <c r="AV206" s="22"/>
      <c r="AW206" s="22"/>
    </row>
    <row r="207" spans="2:49" x14ac:dyDescent="0.15">
      <c r="B207" s="22"/>
      <c r="C207" s="22"/>
      <c r="D207" s="22"/>
      <c r="E207" s="22"/>
      <c r="F207" s="22"/>
      <c r="G207" s="22"/>
      <c r="H207" s="22"/>
      <c r="I207" s="22"/>
      <c r="J207" s="22"/>
      <c r="K207" s="22"/>
      <c r="L207" s="22"/>
      <c r="M207" s="22"/>
      <c r="N207" s="22"/>
      <c r="O207" s="22"/>
      <c r="P207" s="22"/>
      <c r="Q207" s="22"/>
      <c r="R207" s="22"/>
      <c r="S207" s="22"/>
      <c r="T207" s="22"/>
      <c r="U207" s="22"/>
      <c r="V207" s="22"/>
      <c r="W207" s="22"/>
      <c r="X207" s="22"/>
      <c r="Y207" s="22"/>
      <c r="Z207" s="22"/>
      <c r="AA207" s="22"/>
      <c r="AB207" s="22"/>
      <c r="AC207" s="22"/>
      <c r="AD207" s="22"/>
      <c r="AE207" s="22"/>
      <c r="AF207" s="22"/>
      <c r="AG207" s="22"/>
      <c r="AH207" s="22"/>
      <c r="AI207" s="22"/>
      <c r="AJ207" s="22"/>
      <c r="AK207" s="22"/>
      <c r="AL207" s="22"/>
      <c r="AM207" s="22"/>
      <c r="AN207" s="22"/>
      <c r="AO207" s="22"/>
      <c r="AP207" s="22"/>
      <c r="AQ207" s="22"/>
      <c r="AR207" s="22"/>
      <c r="AS207" s="22"/>
      <c r="AT207" s="22"/>
      <c r="AU207" s="22"/>
      <c r="AV207" s="22"/>
      <c r="AW207" s="22"/>
    </row>
    <row r="208" spans="2:49" x14ac:dyDescent="0.15">
      <c r="B208" s="22"/>
      <c r="C208" s="22"/>
      <c r="D208" s="22"/>
      <c r="E208" s="22"/>
      <c r="F208" s="22"/>
      <c r="G208" s="22"/>
      <c r="H208" s="22"/>
      <c r="I208" s="22"/>
      <c r="J208" s="22"/>
      <c r="K208" s="22"/>
      <c r="L208" s="22"/>
      <c r="M208" s="22"/>
      <c r="N208" s="22"/>
      <c r="O208" s="22"/>
      <c r="P208" s="22"/>
      <c r="Q208" s="22"/>
      <c r="R208" s="22"/>
      <c r="S208" s="22"/>
      <c r="T208" s="22"/>
      <c r="U208" s="22"/>
      <c r="V208" s="22"/>
      <c r="W208" s="22"/>
      <c r="X208" s="22"/>
      <c r="Y208" s="22"/>
      <c r="Z208" s="22"/>
      <c r="AA208" s="22"/>
      <c r="AB208" s="22"/>
      <c r="AC208" s="22"/>
      <c r="AD208" s="22"/>
      <c r="AE208" s="22"/>
      <c r="AF208" s="22"/>
      <c r="AG208" s="22"/>
      <c r="AH208" s="22"/>
      <c r="AI208" s="22"/>
      <c r="AJ208" s="22"/>
      <c r="AK208" s="22"/>
      <c r="AL208" s="22"/>
      <c r="AM208" s="22"/>
      <c r="AN208" s="22"/>
      <c r="AO208" s="22"/>
      <c r="AP208" s="22"/>
      <c r="AQ208" s="22"/>
      <c r="AR208" s="22"/>
      <c r="AS208" s="22"/>
      <c r="AT208" s="22"/>
      <c r="AU208" s="22"/>
      <c r="AV208" s="22"/>
      <c r="AW208" s="22"/>
    </row>
    <row r="209" spans="2:49" x14ac:dyDescent="0.15">
      <c r="B209" s="22"/>
      <c r="C209" s="22"/>
      <c r="D209" s="22"/>
      <c r="E209" s="22"/>
      <c r="F209" s="22"/>
      <c r="G209" s="22"/>
      <c r="H209" s="22"/>
      <c r="I209" s="22"/>
      <c r="J209" s="22"/>
      <c r="K209" s="22"/>
      <c r="L209" s="22"/>
      <c r="M209" s="22"/>
      <c r="N209" s="22"/>
      <c r="O209" s="22"/>
      <c r="P209" s="22"/>
      <c r="Q209" s="22"/>
      <c r="R209" s="22"/>
      <c r="S209" s="22"/>
      <c r="T209" s="22"/>
      <c r="U209" s="22"/>
      <c r="V209" s="22"/>
      <c r="W209" s="22"/>
      <c r="X209" s="22"/>
      <c r="Y209" s="22"/>
      <c r="Z209" s="22"/>
      <c r="AA209" s="22"/>
      <c r="AB209" s="22"/>
      <c r="AC209" s="22"/>
      <c r="AD209" s="22"/>
      <c r="AE209" s="22"/>
      <c r="AF209" s="22"/>
      <c r="AG209" s="22"/>
      <c r="AH209" s="22"/>
      <c r="AI209" s="22"/>
      <c r="AJ209" s="22"/>
      <c r="AK209" s="22"/>
      <c r="AL209" s="22"/>
      <c r="AM209" s="22"/>
      <c r="AN209" s="22"/>
      <c r="AO209" s="22"/>
      <c r="AP209" s="22"/>
      <c r="AQ209" s="22"/>
      <c r="AR209" s="22"/>
      <c r="AS209" s="22"/>
      <c r="AT209" s="22"/>
      <c r="AU209" s="22"/>
      <c r="AV209" s="22"/>
      <c r="AW209" s="22"/>
    </row>
    <row r="210" spans="2:49" x14ac:dyDescent="0.15">
      <c r="B210" s="22"/>
      <c r="C210" s="22"/>
      <c r="D210" s="22"/>
      <c r="E210" s="22"/>
      <c r="F210" s="22"/>
      <c r="G210" s="22"/>
      <c r="H210" s="22"/>
      <c r="I210" s="22"/>
      <c r="J210" s="22"/>
      <c r="K210" s="22"/>
      <c r="L210" s="22"/>
      <c r="M210" s="22"/>
      <c r="N210" s="22"/>
      <c r="O210" s="22"/>
      <c r="P210" s="22"/>
      <c r="Q210" s="22"/>
      <c r="R210" s="22"/>
      <c r="S210" s="22"/>
      <c r="T210" s="22"/>
      <c r="U210" s="22"/>
      <c r="V210" s="22"/>
      <c r="W210" s="22"/>
      <c r="X210" s="22"/>
      <c r="Y210" s="22"/>
      <c r="Z210" s="22"/>
      <c r="AA210" s="22"/>
      <c r="AB210" s="22"/>
      <c r="AC210" s="22"/>
      <c r="AD210" s="22"/>
      <c r="AE210" s="22"/>
      <c r="AF210" s="22"/>
      <c r="AG210" s="22"/>
      <c r="AH210" s="22"/>
      <c r="AI210" s="22"/>
      <c r="AJ210" s="22"/>
      <c r="AK210" s="22"/>
      <c r="AL210" s="22"/>
      <c r="AM210" s="22"/>
      <c r="AN210" s="22"/>
      <c r="AO210" s="22"/>
      <c r="AP210" s="22"/>
      <c r="AQ210" s="22"/>
      <c r="AR210" s="22"/>
      <c r="AS210" s="22"/>
      <c r="AT210" s="22"/>
      <c r="AU210" s="22"/>
      <c r="AV210" s="22"/>
      <c r="AW210" s="22"/>
    </row>
    <row r="211" spans="2:49" x14ac:dyDescent="0.15">
      <c r="B211" s="22"/>
      <c r="C211" s="22"/>
      <c r="D211" s="22"/>
      <c r="E211" s="22"/>
      <c r="F211" s="22"/>
      <c r="G211" s="22"/>
      <c r="H211" s="22"/>
      <c r="I211" s="22"/>
      <c r="J211" s="22"/>
      <c r="K211" s="22"/>
      <c r="L211" s="22"/>
      <c r="M211" s="22"/>
      <c r="N211" s="22"/>
      <c r="O211" s="22"/>
      <c r="P211" s="22"/>
      <c r="Q211" s="22"/>
      <c r="R211" s="22"/>
      <c r="S211" s="22"/>
      <c r="T211" s="22"/>
      <c r="U211" s="22"/>
      <c r="V211" s="22"/>
      <c r="W211" s="22"/>
      <c r="X211" s="22"/>
      <c r="Y211" s="22"/>
      <c r="Z211" s="22"/>
      <c r="AA211" s="22"/>
      <c r="AB211" s="22"/>
      <c r="AC211" s="22"/>
      <c r="AD211" s="22"/>
      <c r="AE211" s="22"/>
      <c r="AF211" s="22"/>
      <c r="AG211" s="22"/>
      <c r="AH211" s="22"/>
      <c r="AI211" s="22"/>
      <c r="AJ211" s="22"/>
      <c r="AK211" s="22"/>
      <c r="AL211" s="22"/>
      <c r="AM211" s="22"/>
      <c r="AN211" s="22"/>
      <c r="AO211" s="22"/>
      <c r="AP211" s="22"/>
      <c r="AQ211" s="22"/>
      <c r="AR211" s="22"/>
      <c r="AS211" s="22"/>
      <c r="AT211" s="22"/>
      <c r="AU211" s="22"/>
      <c r="AV211" s="22"/>
      <c r="AW211" s="22"/>
    </row>
    <row r="212" spans="2:49" x14ac:dyDescent="0.15">
      <c r="B212" s="22"/>
      <c r="C212" s="22"/>
      <c r="D212" s="22"/>
      <c r="E212" s="22"/>
      <c r="F212" s="22"/>
      <c r="G212" s="22"/>
      <c r="H212" s="22"/>
      <c r="I212" s="22"/>
      <c r="J212" s="22"/>
      <c r="K212" s="22"/>
      <c r="L212" s="22"/>
      <c r="M212" s="22"/>
      <c r="N212" s="22"/>
      <c r="O212" s="22"/>
      <c r="P212" s="22"/>
      <c r="Q212" s="22"/>
      <c r="R212" s="22"/>
      <c r="S212" s="22"/>
      <c r="T212" s="22"/>
      <c r="U212" s="22"/>
      <c r="V212" s="22"/>
      <c r="W212" s="22"/>
      <c r="X212" s="22"/>
      <c r="Y212" s="22"/>
      <c r="Z212" s="22"/>
      <c r="AA212" s="22"/>
      <c r="AB212" s="22"/>
      <c r="AC212" s="22"/>
      <c r="AD212" s="22"/>
      <c r="AE212" s="22"/>
      <c r="AF212" s="22"/>
      <c r="AG212" s="22"/>
      <c r="AH212" s="22"/>
      <c r="AI212" s="22"/>
      <c r="AJ212" s="22"/>
      <c r="AK212" s="22"/>
      <c r="AL212" s="22"/>
      <c r="AM212" s="22"/>
      <c r="AN212" s="22"/>
      <c r="AO212" s="22"/>
      <c r="AP212" s="22"/>
      <c r="AQ212" s="22"/>
      <c r="AR212" s="22"/>
      <c r="AS212" s="22"/>
      <c r="AT212" s="22"/>
      <c r="AU212" s="22"/>
      <c r="AV212" s="22"/>
      <c r="AW212" s="22"/>
    </row>
    <row r="213" spans="2:49" x14ac:dyDescent="0.15">
      <c r="B213" s="22"/>
      <c r="C213" s="22"/>
      <c r="D213" s="22"/>
      <c r="E213" s="22"/>
      <c r="F213" s="22"/>
      <c r="G213" s="22"/>
      <c r="H213" s="22"/>
      <c r="I213" s="22"/>
      <c r="J213" s="22"/>
      <c r="K213" s="22"/>
      <c r="L213" s="22"/>
      <c r="M213" s="22"/>
      <c r="N213" s="22"/>
      <c r="O213" s="22"/>
      <c r="P213" s="22"/>
      <c r="Q213" s="22"/>
      <c r="R213" s="22"/>
      <c r="S213" s="22"/>
      <c r="T213" s="22"/>
      <c r="U213" s="22"/>
      <c r="V213" s="22"/>
      <c r="W213" s="22"/>
      <c r="X213" s="22"/>
      <c r="Y213" s="22"/>
      <c r="Z213" s="22"/>
      <c r="AA213" s="22"/>
      <c r="AB213" s="22"/>
      <c r="AC213" s="22"/>
      <c r="AD213" s="22"/>
      <c r="AE213" s="22"/>
      <c r="AF213" s="22"/>
      <c r="AG213" s="22"/>
      <c r="AH213" s="22"/>
      <c r="AI213" s="22"/>
      <c r="AJ213" s="22"/>
      <c r="AK213" s="22"/>
      <c r="AL213" s="22"/>
      <c r="AM213" s="22"/>
      <c r="AN213" s="22"/>
      <c r="AO213" s="22"/>
      <c r="AP213" s="22"/>
      <c r="AQ213" s="22"/>
      <c r="AR213" s="22"/>
      <c r="AS213" s="22"/>
      <c r="AT213" s="22"/>
      <c r="AU213" s="22"/>
      <c r="AV213" s="22"/>
      <c r="AW213" s="22"/>
    </row>
    <row r="214" spans="2:49" x14ac:dyDescent="0.15">
      <c r="B214" s="22"/>
      <c r="C214" s="22"/>
      <c r="D214" s="22"/>
      <c r="E214" s="22"/>
      <c r="F214" s="22"/>
      <c r="G214" s="22"/>
      <c r="H214" s="22"/>
      <c r="I214" s="22"/>
      <c r="J214" s="22"/>
      <c r="K214" s="22"/>
      <c r="L214" s="22"/>
      <c r="M214" s="22"/>
      <c r="N214" s="22"/>
      <c r="O214" s="22"/>
      <c r="P214" s="22"/>
      <c r="Q214" s="22"/>
      <c r="R214" s="22"/>
      <c r="S214" s="22"/>
      <c r="T214" s="22"/>
      <c r="U214" s="22"/>
      <c r="V214" s="22"/>
      <c r="W214" s="22"/>
      <c r="X214" s="22"/>
      <c r="Y214" s="22"/>
      <c r="Z214" s="22"/>
      <c r="AA214" s="22"/>
      <c r="AB214" s="22"/>
      <c r="AC214" s="22"/>
      <c r="AD214" s="22"/>
      <c r="AE214" s="22"/>
      <c r="AF214" s="22"/>
      <c r="AG214" s="22"/>
      <c r="AH214" s="22"/>
      <c r="AI214" s="22"/>
      <c r="AJ214" s="22"/>
      <c r="AK214" s="22"/>
      <c r="AL214" s="22"/>
      <c r="AM214" s="22"/>
      <c r="AN214" s="22"/>
      <c r="AO214" s="22"/>
      <c r="AP214" s="22"/>
      <c r="AQ214" s="22"/>
      <c r="AR214" s="22"/>
      <c r="AS214" s="22"/>
      <c r="AT214" s="22"/>
      <c r="AU214" s="22"/>
      <c r="AV214" s="22"/>
      <c r="AW214" s="22"/>
    </row>
    <row r="215" spans="2:49" x14ac:dyDescent="0.15">
      <c r="B215" s="22"/>
      <c r="C215" s="22"/>
      <c r="D215" s="22"/>
      <c r="E215" s="22"/>
      <c r="F215" s="22"/>
      <c r="G215" s="22"/>
      <c r="H215" s="22"/>
      <c r="I215" s="22"/>
      <c r="J215" s="22"/>
      <c r="K215" s="22"/>
      <c r="L215" s="22"/>
      <c r="M215" s="22"/>
      <c r="N215" s="22"/>
      <c r="O215" s="22"/>
      <c r="P215" s="22"/>
      <c r="Q215" s="22"/>
      <c r="R215" s="22"/>
      <c r="S215" s="22"/>
      <c r="T215" s="22"/>
      <c r="U215" s="22"/>
      <c r="V215" s="22"/>
      <c r="W215" s="22"/>
      <c r="X215" s="22"/>
      <c r="Y215" s="22"/>
      <c r="Z215" s="22"/>
      <c r="AA215" s="22"/>
      <c r="AB215" s="22"/>
      <c r="AC215" s="22"/>
      <c r="AD215" s="22"/>
      <c r="AE215" s="22"/>
      <c r="AF215" s="22"/>
      <c r="AG215" s="22"/>
      <c r="AH215" s="22"/>
      <c r="AI215" s="22"/>
      <c r="AJ215" s="22"/>
      <c r="AK215" s="22"/>
      <c r="AL215" s="22"/>
      <c r="AM215" s="22"/>
      <c r="AN215" s="22"/>
      <c r="AO215" s="22"/>
      <c r="AP215" s="22"/>
      <c r="AQ215" s="22"/>
      <c r="AR215" s="22"/>
      <c r="AS215" s="22"/>
      <c r="AT215" s="22"/>
      <c r="AU215" s="22"/>
      <c r="AV215" s="22"/>
      <c r="AW215" s="22"/>
    </row>
    <row r="216" spans="2:49" x14ac:dyDescent="0.15">
      <c r="B216" s="22"/>
      <c r="C216" s="22"/>
      <c r="D216" s="22"/>
      <c r="E216" s="22"/>
      <c r="F216" s="22"/>
      <c r="G216" s="22"/>
      <c r="H216" s="22"/>
      <c r="I216" s="22"/>
      <c r="J216" s="22"/>
      <c r="K216" s="22"/>
      <c r="L216" s="22"/>
      <c r="M216" s="22"/>
      <c r="N216" s="22"/>
      <c r="O216" s="22"/>
      <c r="P216" s="22"/>
      <c r="Q216" s="22"/>
      <c r="R216" s="22"/>
      <c r="S216" s="22"/>
      <c r="T216" s="22"/>
      <c r="U216" s="22"/>
      <c r="V216" s="22"/>
      <c r="W216" s="22"/>
      <c r="X216" s="22"/>
      <c r="Y216" s="22"/>
      <c r="Z216" s="22"/>
      <c r="AA216" s="22"/>
      <c r="AB216" s="22"/>
      <c r="AC216" s="22"/>
      <c r="AD216" s="22"/>
      <c r="AE216" s="22"/>
      <c r="AF216" s="22"/>
      <c r="AG216" s="22"/>
      <c r="AH216" s="22"/>
      <c r="AI216" s="22"/>
      <c r="AJ216" s="22"/>
      <c r="AK216" s="22"/>
      <c r="AL216" s="22"/>
      <c r="AM216" s="22"/>
      <c r="AN216" s="22"/>
      <c r="AO216" s="22"/>
      <c r="AP216" s="22"/>
      <c r="AQ216" s="22"/>
      <c r="AR216" s="22"/>
      <c r="AS216" s="22"/>
      <c r="AT216" s="22"/>
      <c r="AU216" s="22"/>
      <c r="AV216" s="22"/>
      <c r="AW216" s="22"/>
    </row>
    <row r="217" spans="2:49" x14ac:dyDescent="0.15">
      <c r="B217" s="22"/>
      <c r="C217" s="22"/>
      <c r="D217" s="22"/>
      <c r="E217" s="22"/>
      <c r="F217" s="22"/>
      <c r="G217" s="22"/>
      <c r="H217" s="22"/>
      <c r="I217" s="22"/>
      <c r="J217" s="22"/>
      <c r="K217" s="22"/>
      <c r="L217" s="22"/>
      <c r="M217" s="22"/>
      <c r="N217" s="22"/>
      <c r="O217" s="22"/>
      <c r="P217" s="22"/>
      <c r="Q217" s="22"/>
      <c r="R217" s="22"/>
      <c r="S217" s="22"/>
      <c r="T217" s="22"/>
      <c r="U217" s="22"/>
      <c r="V217" s="22"/>
      <c r="W217" s="22"/>
      <c r="X217" s="22"/>
      <c r="Y217" s="22"/>
      <c r="Z217" s="22"/>
      <c r="AA217" s="22"/>
      <c r="AB217" s="22"/>
      <c r="AC217" s="22"/>
      <c r="AD217" s="22"/>
      <c r="AE217" s="22"/>
      <c r="AF217" s="22"/>
      <c r="AG217" s="22"/>
      <c r="AH217" s="22"/>
      <c r="AI217" s="22"/>
      <c r="AJ217" s="22"/>
      <c r="AK217" s="22"/>
      <c r="AL217" s="22"/>
      <c r="AM217" s="22"/>
      <c r="AN217" s="22"/>
      <c r="AO217" s="22"/>
      <c r="AP217" s="22"/>
      <c r="AQ217" s="22"/>
      <c r="AR217" s="22"/>
      <c r="AS217" s="22"/>
      <c r="AT217" s="22"/>
      <c r="AU217" s="22"/>
      <c r="AV217" s="22"/>
      <c r="AW217" s="22"/>
    </row>
    <row r="218" spans="2:49" x14ac:dyDescent="0.15">
      <c r="B218" s="22"/>
      <c r="C218" s="22"/>
      <c r="D218" s="22"/>
      <c r="E218" s="22"/>
      <c r="F218" s="22"/>
      <c r="G218" s="22"/>
      <c r="H218" s="22"/>
      <c r="I218" s="22"/>
      <c r="J218" s="22"/>
      <c r="K218" s="22"/>
      <c r="L218" s="22"/>
      <c r="M218" s="22"/>
      <c r="N218" s="22"/>
      <c r="O218" s="22"/>
      <c r="P218" s="22"/>
      <c r="Q218" s="22"/>
      <c r="R218" s="22"/>
      <c r="S218" s="22"/>
      <c r="T218" s="22"/>
      <c r="U218" s="22"/>
      <c r="V218" s="22"/>
      <c r="W218" s="22"/>
      <c r="X218" s="22"/>
      <c r="Y218" s="22"/>
      <c r="Z218" s="22"/>
      <c r="AA218" s="22"/>
      <c r="AB218" s="22"/>
      <c r="AC218" s="22"/>
      <c r="AD218" s="22"/>
      <c r="AE218" s="22"/>
      <c r="AF218" s="22"/>
      <c r="AG218" s="22"/>
      <c r="AH218" s="22"/>
      <c r="AI218" s="22"/>
      <c r="AJ218" s="22"/>
      <c r="AK218" s="22"/>
      <c r="AL218" s="22"/>
      <c r="AM218" s="22"/>
      <c r="AN218" s="22"/>
      <c r="AO218" s="22"/>
      <c r="AP218" s="22"/>
      <c r="AQ218" s="22"/>
      <c r="AR218" s="22"/>
      <c r="AS218" s="22"/>
      <c r="AT218" s="22"/>
      <c r="AU218" s="22"/>
      <c r="AV218" s="22"/>
      <c r="AW218" s="22"/>
    </row>
    <row r="219" spans="2:49" x14ac:dyDescent="0.15">
      <c r="B219" s="22"/>
      <c r="C219" s="22"/>
      <c r="D219" s="22"/>
      <c r="E219" s="22"/>
      <c r="F219" s="22"/>
      <c r="G219" s="22"/>
      <c r="H219" s="22"/>
      <c r="I219" s="22"/>
      <c r="J219" s="22"/>
      <c r="K219" s="22"/>
      <c r="L219" s="22"/>
      <c r="M219" s="22"/>
      <c r="N219" s="22"/>
      <c r="O219" s="22"/>
      <c r="P219" s="22"/>
      <c r="Q219" s="22"/>
      <c r="R219" s="22"/>
      <c r="S219" s="22"/>
      <c r="T219" s="22"/>
      <c r="U219" s="22"/>
      <c r="V219" s="22"/>
      <c r="W219" s="22"/>
      <c r="X219" s="22"/>
      <c r="Y219" s="22"/>
      <c r="Z219" s="22"/>
      <c r="AA219" s="22"/>
      <c r="AB219" s="22"/>
      <c r="AC219" s="22"/>
      <c r="AD219" s="22"/>
      <c r="AE219" s="22"/>
      <c r="AF219" s="22"/>
      <c r="AG219" s="22"/>
      <c r="AH219" s="22"/>
      <c r="AI219" s="22"/>
      <c r="AJ219" s="22"/>
      <c r="AK219" s="22"/>
      <c r="AL219" s="22"/>
      <c r="AM219" s="22"/>
      <c r="AN219" s="22"/>
      <c r="AO219" s="22"/>
      <c r="AP219" s="22"/>
      <c r="AQ219" s="22"/>
      <c r="AR219" s="22"/>
      <c r="AS219" s="22"/>
      <c r="AT219" s="22"/>
      <c r="AU219" s="22"/>
      <c r="AV219" s="22"/>
      <c r="AW219" s="22"/>
    </row>
    <row r="220" spans="2:49" x14ac:dyDescent="0.15">
      <c r="B220" s="22"/>
      <c r="C220" s="22"/>
      <c r="D220" s="22"/>
      <c r="E220" s="22"/>
      <c r="F220" s="22"/>
      <c r="G220" s="22"/>
      <c r="H220" s="22"/>
      <c r="I220" s="22"/>
      <c r="J220" s="22"/>
      <c r="K220" s="22"/>
      <c r="L220" s="22"/>
      <c r="M220" s="22"/>
      <c r="N220" s="22"/>
      <c r="O220" s="22"/>
      <c r="P220" s="22"/>
      <c r="Q220" s="22"/>
      <c r="R220" s="22"/>
      <c r="S220" s="22"/>
      <c r="T220" s="22"/>
      <c r="U220" s="22"/>
      <c r="V220" s="22"/>
      <c r="W220" s="22"/>
      <c r="X220" s="22"/>
      <c r="Y220" s="22"/>
      <c r="Z220" s="22"/>
      <c r="AA220" s="22"/>
      <c r="AB220" s="22"/>
      <c r="AC220" s="22"/>
      <c r="AD220" s="22"/>
      <c r="AE220" s="22"/>
      <c r="AF220" s="22"/>
      <c r="AG220" s="22"/>
      <c r="AH220" s="22"/>
      <c r="AI220" s="22"/>
      <c r="AJ220" s="22"/>
      <c r="AK220" s="22"/>
      <c r="AL220" s="22"/>
      <c r="AM220" s="22"/>
      <c r="AN220" s="22"/>
      <c r="AO220" s="22"/>
      <c r="AP220" s="22"/>
      <c r="AQ220" s="22"/>
      <c r="AR220" s="22"/>
      <c r="AS220" s="22"/>
      <c r="AT220" s="22"/>
      <c r="AU220" s="22"/>
      <c r="AV220" s="22"/>
      <c r="AW220" s="22"/>
    </row>
    <row r="221" spans="2:49" x14ac:dyDescent="0.15">
      <c r="B221" s="22"/>
      <c r="C221" s="22"/>
      <c r="D221" s="22"/>
      <c r="E221" s="22"/>
      <c r="F221" s="22"/>
      <c r="G221" s="22"/>
      <c r="H221" s="22"/>
      <c r="I221" s="22"/>
      <c r="J221" s="22"/>
      <c r="K221" s="22"/>
      <c r="L221" s="22"/>
      <c r="M221" s="22"/>
      <c r="N221" s="22"/>
      <c r="O221" s="22"/>
      <c r="P221" s="22"/>
      <c r="Q221" s="22"/>
      <c r="R221" s="22"/>
      <c r="S221" s="22"/>
      <c r="T221" s="22"/>
      <c r="U221" s="22"/>
      <c r="V221" s="22"/>
      <c r="W221" s="22"/>
      <c r="X221" s="22"/>
      <c r="Y221" s="22"/>
      <c r="Z221" s="22"/>
      <c r="AA221" s="22"/>
      <c r="AB221" s="22"/>
      <c r="AC221" s="22"/>
      <c r="AD221" s="22"/>
      <c r="AE221" s="22"/>
      <c r="AF221" s="22"/>
      <c r="AG221" s="22"/>
      <c r="AH221" s="22"/>
      <c r="AI221" s="22"/>
      <c r="AJ221" s="22"/>
      <c r="AK221" s="22"/>
      <c r="AL221" s="22"/>
      <c r="AM221" s="22"/>
      <c r="AN221" s="22"/>
      <c r="AO221" s="22"/>
      <c r="AP221" s="22"/>
      <c r="AQ221" s="22"/>
      <c r="AR221" s="22"/>
      <c r="AS221" s="22"/>
      <c r="AT221" s="22"/>
      <c r="AU221" s="22"/>
      <c r="AV221" s="22"/>
      <c r="AW221" s="22"/>
    </row>
    <row r="222" spans="2:49" x14ac:dyDescent="0.15">
      <c r="B222" s="22"/>
      <c r="C222" s="22"/>
      <c r="D222" s="22"/>
      <c r="E222" s="22"/>
      <c r="F222" s="22"/>
      <c r="G222" s="22"/>
      <c r="H222" s="22"/>
      <c r="I222" s="22"/>
      <c r="J222" s="22"/>
      <c r="K222" s="22"/>
      <c r="L222" s="22"/>
      <c r="M222" s="22"/>
      <c r="N222" s="22"/>
      <c r="O222" s="22"/>
      <c r="P222" s="22"/>
      <c r="Q222" s="22"/>
      <c r="R222" s="22"/>
      <c r="S222" s="22"/>
      <c r="T222" s="22"/>
      <c r="U222" s="22"/>
      <c r="V222" s="22"/>
      <c r="W222" s="22"/>
      <c r="X222" s="22"/>
      <c r="Y222" s="22"/>
      <c r="Z222" s="22"/>
      <c r="AA222" s="22"/>
      <c r="AB222" s="22"/>
      <c r="AC222" s="22"/>
      <c r="AD222" s="22"/>
      <c r="AE222" s="22"/>
      <c r="AF222" s="22"/>
      <c r="AG222" s="22"/>
      <c r="AH222" s="22"/>
      <c r="AI222" s="22"/>
      <c r="AJ222" s="22"/>
      <c r="AK222" s="22"/>
      <c r="AL222" s="22"/>
      <c r="AM222" s="22"/>
      <c r="AN222" s="22"/>
      <c r="AO222" s="22"/>
      <c r="AP222" s="22"/>
      <c r="AQ222" s="22"/>
      <c r="AR222" s="22"/>
      <c r="AS222" s="22"/>
      <c r="AT222" s="22"/>
      <c r="AU222" s="22"/>
      <c r="AV222" s="22"/>
      <c r="AW222" s="22"/>
    </row>
    <row r="223" spans="2:49" x14ac:dyDescent="0.15">
      <c r="B223" s="22"/>
      <c r="C223" s="22"/>
      <c r="D223" s="22"/>
      <c r="E223" s="22"/>
      <c r="F223" s="22"/>
      <c r="G223" s="22"/>
      <c r="H223" s="22"/>
      <c r="I223" s="22"/>
      <c r="J223" s="22"/>
      <c r="K223" s="22"/>
      <c r="L223" s="22"/>
      <c r="M223" s="22"/>
      <c r="N223" s="22"/>
      <c r="O223" s="22"/>
      <c r="P223" s="22"/>
      <c r="Q223" s="22"/>
      <c r="R223" s="22"/>
      <c r="S223" s="22"/>
      <c r="T223" s="22"/>
      <c r="U223" s="22"/>
      <c r="V223" s="22"/>
      <c r="W223" s="22"/>
      <c r="X223" s="22"/>
      <c r="Y223" s="22"/>
      <c r="Z223" s="22"/>
      <c r="AA223" s="22"/>
      <c r="AB223" s="22"/>
      <c r="AC223" s="22"/>
      <c r="AD223" s="22"/>
      <c r="AE223" s="22"/>
      <c r="AF223" s="22"/>
      <c r="AG223" s="22"/>
      <c r="AH223" s="22"/>
      <c r="AI223" s="22"/>
      <c r="AJ223" s="22"/>
      <c r="AK223" s="22"/>
      <c r="AL223" s="22"/>
      <c r="AM223" s="22"/>
      <c r="AN223" s="22"/>
      <c r="AO223" s="22"/>
      <c r="AP223" s="22"/>
      <c r="AQ223" s="22"/>
      <c r="AR223" s="22"/>
      <c r="AS223" s="22"/>
      <c r="AT223" s="22"/>
      <c r="AU223" s="22"/>
      <c r="AV223" s="22"/>
      <c r="AW223" s="22"/>
    </row>
    <row r="224" spans="2:49" x14ac:dyDescent="0.15">
      <c r="B224" s="22"/>
      <c r="C224" s="22"/>
      <c r="D224" s="22"/>
      <c r="E224" s="22"/>
      <c r="F224" s="22"/>
      <c r="G224" s="22"/>
      <c r="H224" s="22"/>
      <c r="I224" s="22"/>
      <c r="J224" s="22"/>
      <c r="K224" s="22"/>
      <c r="L224" s="22"/>
      <c r="M224" s="22"/>
      <c r="N224" s="22"/>
      <c r="O224" s="22"/>
      <c r="P224" s="22"/>
      <c r="Q224" s="22"/>
      <c r="R224" s="22"/>
      <c r="S224" s="22"/>
      <c r="T224" s="22"/>
      <c r="U224" s="22"/>
      <c r="V224" s="22"/>
      <c r="W224" s="22"/>
      <c r="X224" s="22"/>
      <c r="Y224" s="22"/>
      <c r="Z224" s="22"/>
      <c r="AA224" s="22"/>
      <c r="AB224" s="22"/>
      <c r="AC224" s="22"/>
      <c r="AD224" s="22"/>
      <c r="AE224" s="22"/>
      <c r="AF224" s="22"/>
      <c r="AG224" s="22"/>
      <c r="AH224" s="22"/>
      <c r="AI224" s="22"/>
      <c r="AJ224" s="22"/>
      <c r="AK224" s="22"/>
      <c r="AL224" s="22"/>
      <c r="AM224" s="22"/>
      <c r="AN224" s="22"/>
      <c r="AO224" s="22"/>
      <c r="AP224" s="22"/>
      <c r="AQ224" s="22"/>
      <c r="AR224" s="22"/>
      <c r="AS224" s="22"/>
      <c r="AT224" s="22"/>
      <c r="AU224" s="22"/>
      <c r="AV224" s="22"/>
      <c r="AW224" s="22"/>
    </row>
    <row r="225" spans="2:49" x14ac:dyDescent="0.15">
      <c r="B225" s="22"/>
      <c r="C225" s="22"/>
      <c r="D225" s="22"/>
      <c r="E225" s="22"/>
      <c r="F225" s="22"/>
      <c r="G225" s="22"/>
      <c r="H225" s="22"/>
      <c r="I225" s="22"/>
      <c r="J225" s="22"/>
      <c r="K225" s="22"/>
      <c r="L225" s="22"/>
      <c r="M225" s="22"/>
      <c r="N225" s="22"/>
      <c r="O225" s="22"/>
      <c r="P225" s="22"/>
      <c r="Q225" s="22"/>
      <c r="R225" s="22"/>
      <c r="S225" s="22"/>
      <c r="T225" s="22"/>
      <c r="U225" s="22"/>
      <c r="V225" s="22"/>
      <c r="W225" s="22"/>
      <c r="X225" s="22"/>
      <c r="Y225" s="22"/>
      <c r="Z225" s="22"/>
      <c r="AA225" s="22"/>
      <c r="AB225" s="22"/>
      <c r="AC225" s="22"/>
      <c r="AD225" s="22"/>
      <c r="AE225" s="22"/>
      <c r="AF225" s="22"/>
      <c r="AG225" s="22"/>
      <c r="AH225" s="22"/>
      <c r="AI225" s="22"/>
      <c r="AJ225" s="22"/>
      <c r="AK225" s="22"/>
      <c r="AL225" s="22"/>
      <c r="AM225" s="22"/>
      <c r="AN225" s="22"/>
      <c r="AO225" s="22"/>
      <c r="AP225" s="22"/>
      <c r="AQ225" s="22"/>
      <c r="AR225" s="22"/>
      <c r="AS225" s="22"/>
      <c r="AT225" s="22"/>
      <c r="AU225" s="22"/>
      <c r="AV225" s="22"/>
      <c r="AW225" s="22"/>
    </row>
    <row r="226" spans="2:49" x14ac:dyDescent="0.15">
      <c r="B226" s="22"/>
      <c r="C226" s="22"/>
      <c r="D226" s="22"/>
      <c r="E226" s="22"/>
      <c r="F226" s="22"/>
      <c r="G226" s="22"/>
      <c r="H226" s="22"/>
      <c r="I226" s="22"/>
      <c r="J226" s="22"/>
      <c r="K226" s="22"/>
      <c r="L226" s="22"/>
      <c r="M226" s="22"/>
      <c r="N226" s="22"/>
      <c r="O226" s="22"/>
      <c r="P226" s="22"/>
      <c r="Q226" s="22"/>
      <c r="R226" s="22"/>
      <c r="S226" s="22"/>
      <c r="T226" s="22"/>
      <c r="U226" s="22"/>
      <c r="V226" s="22"/>
      <c r="W226" s="22"/>
      <c r="X226" s="22"/>
      <c r="Y226" s="22"/>
      <c r="Z226" s="22"/>
      <c r="AA226" s="22"/>
      <c r="AB226" s="22"/>
      <c r="AC226" s="22"/>
      <c r="AD226" s="22"/>
      <c r="AE226" s="22"/>
      <c r="AF226" s="22"/>
      <c r="AG226" s="22"/>
      <c r="AH226" s="22"/>
      <c r="AI226" s="22"/>
      <c r="AJ226" s="22"/>
      <c r="AK226" s="22"/>
      <c r="AL226" s="22"/>
      <c r="AM226" s="22"/>
      <c r="AN226" s="22"/>
      <c r="AO226" s="22"/>
      <c r="AP226" s="22"/>
      <c r="AQ226" s="22"/>
      <c r="AR226" s="22"/>
      <c r="AS226" s="22"/>
      <c r="AT226" s="22"/>
      <c r="AU226" s="22"/>
      <c r="AV226" s="22"/>
      <c r="AW226" s="22"/>
    </row>
    <row r="227" spans="2:49" x14ac:dyDescent="0.15">
      <c r="B227" s="22"/>
      <c r="C227" s="22"/>
      <c r="D227" s="22"/>
      <c r="E227" s="22"/>
      <c r="F227" s="22"/>
      <c r="G227" s="22"/>
      <c r="H227" s="22"/>
      <c r="I227" s="22"/>
      <c r="J227" s="22"/>
      <c r="K227" s="22"/>
      <c r="L227" s="22"/>
      <c r="M227" s="22"/>
      <c r="N227" s="22"/>
      <c r="O227" s="22"/>
      <c r="P227" s="22"/>
      <c r="Q227" s="22"/>
      <c r="R227" s="22"/>
      <c r="S227" s="22"/>
      <c r="T227" s="22"/>
      <c r="U227" s="22"/>
      <c r="V227" s="22"/>
      <c r="W227" s="22"/>
      <c r="X227" s="22"/>
      <c r="Y227" s="22"/>
      <c r="Z227" s="22"/>
      <c r="AA227" s="22"/>
      <c r="AB227" s="22"/>
      <c r="AC227" s="22"/>
      <c r="AD227" s="22"/>
      <c r="AE227" s="22"/>
      <c r="AF227" s="22"/>
      <c r="AG227" s="22"/>
      <c r="AH227" s="22"/>
      <c r="AI227" s="22"/>
      <c r="AJ227" s="22"/>
      <c r="AK227" s="22"/>
      <c r="AL227" s="22"/>
      <c r="AM227" s="22"/>
      <c r="AN227" s="22"/>
      <c r="AO227" s="22"/>
      <c r="AP227" s="22"/>
      <c r="AQ227" s="22"/>
      <c r="AR227" s="22"/>
      <c r="AS227" s="22"/>
      <c r="AT227" s="22"/>
      <c r="AU227" s="22"/>
      <c r="AV227" s="22"/>
      <c r="AW227" s="22"/>
    </row>
    <row r="228" spans="2:49" x14ac:dyDescent="0.15">
      <c r="B228" s="22"/>
      <c r="C228" s="22"/>
      <c r="D228" s="22"/>
      <c r="E228" s="22"/>
      <c r="F228" s="22"/>
      <c r="G228" s="22"/>
      <c r="H228" s="22"/>
      <c r="I228" s="22"/>
      <c r="J228" s="22"/>
      <c r="K228" s="22"/>
      <c r="L228" s="22"/>
      <c r="M228" s="22"/>
      <c r="N228" s="22"/>
      <c r="O228" s="22"/>
      <c r="P228" s="22"/>
      <c r="Q228" s="22"/>
      <c r="R228" s="22"/>
      <c r="S228" s="22"/>
      <c r="T228" s="22"/>
      <c r="U228" s="22"/>
      <c r="V228" s="22"/>
      <c r="W228" s="22"/>
      <c r="X228" s="22"/>
      <c r="Y228" s="22"/>
      <c r="Z228" s="22"/>
      <c r="AA228" s="22"/>
      <c r="AB228" s="22"/>
      <c r="AC228" s="22"/>
      <c r="AD228" s="22"/>
      <c r="AE228" s="22"/>
      <c r="AF228" s="22"/>
      <c r="AG228" s="22"/>
      <c r="AH228" s="22"/>
      <c r="AI228" s="22"/>
      <c r="AJ228" s="22"/>
      <c r="AK228" s="22"/>
      <c r="AL228" s="22"/>
      <c r="AM228" s="22"/>
      <c r="AN228" s="22"/>
      <c r="AO228" s="22"/>
      <c r="AP228" s="22"/>
      <c r="AQ228" s="22"/>
      <c r="AR228" s="22"/>
      <c r="AS228" s="22"/>
      <c r="AT228" s="22"/>
      <c r="AU228" s="22"/>
      <c r="AV228" s="22"/>
      <c r="AW228" s="22"/>
    </row>
    <row r="229" spans="2:49" x14ac:dyDescent="0.15">
      <c r="B229" s="22"/>
      <c r="C229" s="22"/>
      <c r="D229" s="22"/>
      <c r="E229" s="22"/>
      <c r="F229" s="22"/>
      <c r="G229" s="22"/>
      <c r="H229" s="22"/>
      <c r="I229" s="22"/>
      <c r="J229" s="22"/>
      <c r="K229" s="22"/>
      <c r="L229" s="22"/>
      <c r="M229" s="22"/>
      <c r="N229" s="22"/>
      <c r="O229" s="22"/>
      <c r="P229" s="22"/>
      <c r="Q229" s="22"/>
      <c r="R229" s="22"/>
      <c r="S229" s="22"/>
      <c r="T229" s="22"/>
      <c r="U229" s="22"/>
      <c r="V229" s="22"/>
      <c r="W229" s="22"/>
      <c r="X229" s="22"/>
      <c r="Y229" s="22"/>
      <c r="Z229" s="22"/>
      <c r="AA229" s="22"/>
      <c r="AB229" s="22"/>
      <c r="AC229" s="22"/>
      <c r="AD229" s="22"/>
      <c r="AE229" s="22"/>
      <c r="AF229" s="22"/>
      <c r="AG229" s="22"/>
      <c r="AH229" s="22"/>
      <c r="AI229" s="22"/>
      <c r="AJ229" s="22"/>
      <c r="AK229" s="22"/>
      <c r="AL229" s="22"/>
      <c r="AM229" s="22"/>
      <c r="AN229" s="22"/>
      <c r="AO229" s="22"/>
      <c r="AP229" s="22"/>
      <c r="AQ229" s="22"/>
      <c r="AR229" s="22"/>
      <c r="AS229" s="22"/>
      <c r="AT229" s="22"/>
      <c r="AU229" s="22"/>
      <c r="AV229" s="22"/>
      <c r="AW229" s="22"/>
    </row>
    <row r="230" spans="2:49" x14ac:dyDescent="0.15">
      <c r="B230" s="22"/>
      <c r="C230" s="22"/>
      <c r="D230" s="22"/>
      <c r="E230" s="22"/>
      <c r="F230" s="22"/>
      <c r="G230" s="22"/>
      <c r="H230" s="22"/>
      <c r="I230" s="22"/>
      <c r="J230" s="22"/>
      <c r="K230" s="22"/>
      <c r="L230" s="22"/>
      <c r="M230" s="22"/>
      <c r="N230" s="22"/>
      <c r="O230" s="22"/>
      <c r="P230" s="22"/>
      <c r="Q230" s="22"/>
      <c r="R230" s="22"/>
      <c r="S230" s="22"/>
      <c r="T230" s="22"/>
      <c r="U230" s="22"/>
      <c r="V230" s="22"/>
      <c r="W230" s="22"/>
      <c r="X230" s="22"/>
      <c r="Y230" s="22"/>
      <c r="Z230" s="22"/>
      <c r="AA230" s="22"/>
      <c r="AB230" s="22"/>
      <c r="AC230" s="22"/>
      <c r="AD230" s="22"/>
      <c r="AE230" s="22"/>
      <c r="AF230" s="22"/>
      <c r="AG230" s="22"/>
      <c r="AH230" s="22"/>
      <c r="AI230" s="22"/>
      <c r="AJ230" s="22"/>
      <c r="AK230" s="22"/>
      <c r="AL230" s="22"/>
      <c r="AM230" s="22"/>
      <c r="AN230" s="22"/>
      <c r="AO230" s="22"/>
      <c r="AP230" s="22"/>
      <c r="AQ230" s="22"/>
      <c r="AR230" s="22"/>
      <c r="AS230" s="22"/>
      <c r="AT230" s="22"/>
      <c r="AU230" s="22"/>
      <c r="AV230" s="22"/>
      <c r="AW230" s="22"/>
    </row>
  </sheetData>
  <mergeCells count="14">
    <mergeCell ref="B2:B3"/>
    <mergeCell ref="C2:L2"/>
    <mergeCell ref="C3:D3"/>
    <mergeCell ref="E3:F3"/>
    <mergeCell ref="G3:H3"/>
    <mergeCell ref="I3:J3"/>
    <mergeCell ref="K3:L3"/>
    <mergeCell ref="B18:B19"/>
    <mergeCell ref="C18:L18"/>
    <mergeCell ref="C19:D19"/>
    <mergeCell ref="E19:F19"/>
    <mergeCell ref="G19:H19"/>
    <mergeCell ref="I19:J19"/>
    <mergeCell ref="K19:L19"/>
  </mergeCells>
  <phoneticPr fontId="2"/>
  <printOptions horizontalCentered="1"/>
  <pageMargins left="0.70866141732283472" right="0.70866141732283472" top="0.74803149606299213" bottom="0.74803149606299213" header="0.31496062992125984" footer="0.31496062992125984"/>
  <pageSetup paperSize="9" scale="93"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26625" r:id="rId4" name="Button 1">
              <controlPr defaultSize="0" print="0" autoFill="0" autoPict="0" macro="[0]!データ削除21">
                <anchor moveWithCells="1" sizeWithCells="1">
                  <from>
                    <xdr:col>31</xdr:col>
                    <xdr:colOff>314325</xdr:colOff>
                    <xdr:row>2</xdr:row>
                    <xdr:rowOff>228600</xdr:rowOff>
                  </from>
                  <to>
                    <xdr:col>50</xdr:col>
                    <xdr:colOff>38100</xdr:colOff>
                    <xdr:row>4</xdr:row>
                    <xdr:rowOff>161925</xdr:rowOff>
                  </to>
                </anchor>
              </controlPr>
            </control>
          </mc:Choice>
        </mc:AlternateContent>
      </controls>
    </mc:Choice>
  </mc:AlternateContent>
  <tableParts count="4">
    <tablePart r:id="rId5"/>
    <tablePart r:id="rId6"/>
    <tablePart r:id="rId7"/>
    <tablePart r:id="rId8"/>
  </tableParts>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2">
    <tabColor rgb="FFFF0000"/>
    <pageSetUpPr fitToPage="1"/>
  </sheetPr>
  <dimension ref="B1:BA230"/>
  <sheetViews>
    <sheetView view="pageBreakPreview" zoomScale="80" zoomScaleNormal="100" zoomScaleSheetLayoutView="80" workbookViewId="0">
      <selection activeCell="L12" sqref="L12"/>
    </sheetView>
  </sheetViews>
  <sheetFormatPr defaultRowHeight="18.75" x14ac:dyDescent="0.15"/>
  <cols>
    <col min="1" max="1" width="4" style="1" customWidth="1"/>
    <col min="2" max="2" width="12.5" style="1" customWidth="1"/>
    <col min="3" max="12" width="8.75" style="1" customWidth="1"/>
    <col min="13" max="13" width="16.5" style="1" customWidth="1"/>
    <col min="14" max="14" width="2.5" style="1" customWidth="1"/>
    <col min="15" max="15" width="17.75" style="1" hidden="1" customWidth="1"/>
    <col min="16" max="31" width="11.125" style="1" hidden="1" customWidth="1"/>
    <col min="32" max="33" width="0" style="1" hidden="1" customWidth="1"/>
    <col min="34" max="51" width="9" style="1" hidden="1" customWidth="1"/>
    <col min="52" max="53" width="0" style="1" hidden="1" customWidth="1"/>
    <col min="54" max="16384" width="9" style="1"/>
  </cols>
  <sheetData>
    <row r="1" spans="2:53" ht="19.5" customHeight="1" x14ac:dyDescent="0.15">
      <c r="B1" s="2" t="s">
        <v>164</v>
      </c>
    </row>
    <row r="2" spans="2:53" ht="18.75" customHeight="1" thickBot="1" x14ac:dyDescent="0.2">
      <c r="B2" s="688" t="s">
        <v>65</v>
      </c>
      <c r="C2" s="690" t="s">
        <v>64</v>
      </c>
      <c r="D2" s="691"/>
      <c r="E2" s="691"/>
      <c r="F2" s="691"/>
      <c r="G2" s="691"/>
      <c r="H2" s="691"/>
      <c r="I2" s="691"/>
      <c r="J2" s="691"/>
      <c r="K2" s="691"/>
      <c r="L2" s="692"/>
      <c r="O2" s="34" t="s">
        <v>63</v>
      </c>
    </row>
    <row r="3" spans="2:53" ht="18.75" customHeight="1" thickTop="1" thickBot="1" x14ac:dyDescent="0.2">
      <c r="B3" s="689"/>
      <c r="C3" s="693" t="s">
        <v>69</v>
      </c>
      <c r="D3" s="694"/>
      <c r="E3" s="693" t="s">
        <v>70</v>
      </c>
      <c r="F3" s="694"/>
      <c r="G3" s="693" t="s">
        <v>71</v>
      </c>
      <c r="H3" s="694"/>
      <c r="I3" s="693" t="s">
        <v>72</v>
      </c>
      <c r="J3" s="694"/>
      <c r="K3" s="693" t="s">
        <v>62</v>
      </c>
      <c r="L3" s="694"/>
      <c r="O3" s="430" t="s">
        <v>371</v>
      </c>
      <c r="P3" s="504" t="s">
        <v>183</v>
      </c>
      <c r="Q3" s="504" t="s">
        <v>184</v>
      </c>
      <c r="R3" s="504" t="s">
        <v>185</v>
      </c>
      <c r="S3" s="504" t="s">
        <v>186</v>
      </c>
      <c r="T3" s="504" t="s">
        <v>187</v>
      </c>
      <c r="U3" s="504" t="s">
        <v>188</v>
      </c>
      <c r="V3" s="504" t="s">
        <v>189</v>
      </c>
      <c r="W3" s="504" t="s">
        <v>190</v>
      </c>
      <c r="X3" s="504" t="s">
        <v>191</v>
      </c>
      <c r="Y3" s="504" t="s">
        <v>192</v>
      </c>
      <c r="Z3" s="504" t="s">
        <v>193</v>
      </c>
      <c r="AA3" s="504" t="s">
        <v>194</v>
      </c>
      <c r="AB3" s="504" t="s">
        <v>195</v>
      </c>
      <c r="AC3" s="504" t="s">
        <v>196</v>
      </c>
      <c r="AD3" s="504" t="s">
        <v>197</v>
      </c>
      <c r="AE3" s="56" t="s">
        <v>198</v>
      </c>
      <c r="AL3" s="487" t="s">
        <v>183</v>
      </c>
      <c r="AM3" s="488" t="s">
        <v>184</v>
      </c>
      <c r="AN3" s="488" t="s">
        <v>185</v>
      </c>
      <c r="AO3" s="488" t="s">
        <v>186</v>
      </c>
      <c r="AP3" s="488" t="s">
        <v>187</v>
      </c>
      <c r="AQ3" s="488" t="s">
        <v>188</v>
      </c>
      <c r="AR3" s="488" t="s">
        <v>189</v>
      </c>
      <c r="AS3" s="488" t="s">
        <v>190</v>
      </c>
      <c r="AT3" s="488" t="s">
        <v>191</v>
      </c>
      <c r="AU3" s="488" t="s">
        <v>192</v>
      </c>
      <c r="AV3" s="488" t="s">
        <v>193</v>
      </c>
      <c r="AW3" s="488" t="s">
        <v>194</v>
      </c>
      <c r="AX3" s="488" t="s">
        <v>195</v>
      </c>
      <c r="AY3" s="488" t="s">
        <v>196</v>
      </c>
      <c r="AZ3" s="488" t="s">
        <v>197</v>
      </c>
      <c r="BA3" s="487" t="s">
        <v>198</v>
      </c>
    </row>
    <row r="4" spans="2:53" s="22" customFormat="1" ht="18.75" customHeight="1" thickTop="1" x14ac:dyDescent="0.15">
      <c r="B4" s="228" t="s">
        <v>2</v>
      </c>
      <c r="C4" s="229">
        <f>IFERROR(INDEX(年齢階層×在院期間区分F00F01[#All],MATCH($AK4,年齢階層×在院期間区分F00F01[[#All],[行ラベル]],0),MATCH($AL$3,年齢階層×在院期間区分F00F01[#Headers],0)),0)+IFERROR(INDEX(年齢階層×在院期間区分F00F01[#All],MATCH($AK4,年齢階層×在院期間区分F00F01[[#All],[行ラベル]],0),MATCH($AM$3,年齢階層×在院期間区分F00F01[#Headers],0)),0)+IFERROR(INDEX(年齢階層×在院期間区分F00F01[#All],MATCH($AK4,年齢階層×在院期間区分F00F01[[#All],[行ラベル]],0),MATCH($AN$3,年齢階層×在院期間区分F00F01[#Headers],0)),0)+IFERROR(INDEX(年齢階層×在院期間区分F00F01[#All],MATCH($AK4,年齢階層×在院期間区分F00F01[[#All],[行ラベル]],0),MATCH($AO$3,年齢階層×在院期間区分F00F01[#Headers],0)),0)</f>
        <v>0</v>
      </c>
      <c r="D4" s="224">
        <f t="shared" ref="D4:D12" si="0">IFERROR(C4/$C$13,"-")</f>
        <v>0</v>
      </c>
      <c r="E4" s="229">
        <f>IFERROR(INDEX(年齢階層×在院期間区分F00F01[#All],MATCH($AK4,年齢階層×在院期間区分F00F01[[#All],[行ラベル]],0),MATCH($AP$3,年齢階層×在院期間区分F00F01[#Headers],0)),0)+IFERROR(INDEX(年齢階層×在院期間区分F00F01[#All],MATCH($AK4,年齢階層×在院期間区分F00F01[[#All],[行ラベル]],0),MATCH($AQ$3,年齢階層×在院期間区分F00F01[#Headers],0)),0)+IFERROR(INDEX(年齢階層×在院期間区分F00F01[#All],MATCH($AK4,年齢階層×在院期間区分F00F01[[#All],[行ラベル]],0),MATCH($AR$3,年齢階層×在院期間区分F00F01[#Headers],0)),0)+IFERROR(INDEX(年齢階層×在院期間区分F00F01[#All],MATCH($AK4,年齢階層×在院期間区分F00F01[[#All],[行ラベル]],0),MATCH($AS$3,年齢階層×在院期間区分F00F01[#Headers],0)),0)+IFERROR(INDEX(年齢階層×在院期間区分F00F01[#All],MATCH($AK4,年齢階層×在院期間区分F00F01[[#All],[行ラベル]],0),MATCH($AT$3,年齢階層×在院期間区分F00F01[#Headers],0)),0)</f>
        <v>0</v>
      </c>
      <c r="F4" s="224">
        <f t="shared" ref="F4:F12" si="1">IFERROR(E4/$E$13,"-")</f>
        <v>0</v>
      </c>
      <c r="G4" s="229">
        <f>IFERROR(INDEX(年齢階層×在院期間区分F00F01[#All],MATCH($AK4,年齢階層×在院期間区分F00F01[[#All],[行ラベル]],0),MATCH($AU$3,年齢階層×在院期間区分F00F01[#Headers],0)),0)+IFERROR(INDEX(年齢階層×在院期間区分F00F01[#All],MATCH($AK4,年齢階層×在院期間区分F00F01[[#All],[行ラベル]],0),MATCH($AV$3,年齢階層×在院期間区分F00F01[#Headers],0)),0)+IFERROR(INDEX(年齢階層×在院期間区分F00F01[#All],MATCH($AK4,年齢階層×在院期間区分F00F01[[#All],[行ラベル]],0),MATCH($AW$3,年齢階層×在院期間区分F00F01[#Headers],0)),0)+IFERROR(INDEX(年齢階層×在院期間区分F00F01[#All],MATCH($AK4,年齢階層×在院期間区分F00F01[[#All],[行ラベル]],0),MATCH($AX$3,年齢階層×在院期間区分F00F01[#Headers],0)),0)+IFERROR(INDEX(年齢階層×在院期間区分F00F01[#All],MATCH($AK4,年齢階層×在院期間区分F00F01[[#All],[行ラベル]],0),MATCH($AY$3,年齢階層×在院期間区分F00F01[#Headers],0)),0)</f>
        <v>0</v>
      </c>
      <c r="H4" s="224">
        <f t="shared" ref="H4:H12" si="2">IFERROR(G4/$G$13,"-")</f>
        <v>0</v>
      </c>
      <c r="I4" s="223">
        <f>IFERROR(INDEX(年齢階層×在院期間区分F00F01[#All],MATCH($AK4,年齢階層×在院期間区分F00F01[[#All],[行ラベル]],0),MATCH($AZ$3,年齢階層×在院期間区分F00F01[#Headers],0)),0)+IFERROR(INDEX(年齢階層×在院期間区分F00F01[#All],MATCH($AK4,年齢階層×在院期間区分F00F01[[#All],[行ラベル]],0),MATCH($BA$3,年齢階層×在院期間区分F00F01[#Headers],0)),0)</f>
        <v>0</v>
      </c>
      <c r="J4" s="224">
        <f t="shared" ref="J4:J12" si="3">IFERROR(I4/$I$13,"-")</f>
        <v>0</v>
      </c>
      <c r="K4" s="223">
        <f t="shared" ref="K4:K12" si="4">SUM(C4,E4,G4,I4)</f>
        <v>0</v>
      </c>
      <c r="L4" s="224">
        <f t="shared" ref="L4:L12" si="5">IFERROR(K4/$K$13,"-")</f>
        <v>0</v>
      </c>
      <c r="O4" s="54" t="s">
        <v>3</v>
      </c>
      <c r="P4" s="66">
        <v>0</v>
      </c>
      <c r="Q4" s="66">
        <v>0</v>
      </c>
      <c r="R4" s="66">
        <v>1</v>
      </c>
      <c r="S4" s="66">
        <v>0</v>
      </c>
      <c r="T4" s="66">
        <v>0</v>
      </c>
      <c r="U4" s="66">
        <v>0</v>
      </c>
      <c r="V4" s="66">
        <v>0</v>
      </c>
      <c r="W4" s="66">
        <v>0</v>
      </c>
      <c r="X4" s="66">
        <v>0</v>
      </c>
      <c r="Y4" s="66">
        <v>0</v>
      </c>
      <c r="Z4" s="66">
        <v>0</v>
      </c>
      <c r="AA4" s="66">
        <v>0</v>
      </c>
      <c r="AB4" s="66">
        <v>0</v>
      </c>
      <c r="AC4" s="66">
        <v>0</v>
      </c>
      <c r="AD4" s="66">
        <v>0</v>
      </c>
      <c r="AE4" s="66">
        <v>0</v>
      </c>
      <c r="AK4" s="54" t="s">
        <v>2</v>
      </c>
      <c r="AL4" s="67"/>
      <c r="AO4" s="81"/>
    </row>
    <row r="5" spans="2:53" s="22" customFormat="1" ht="18.75" customHeight="1" x14ac:dyDescent="0.15">
      <c r="B5" s="230" t="s">
        <v>3</v>
      </c>
      <c r="C5" s="231">
        <f>IFERROR(INDEX(年齢階層×在院期間区分F00F01[#All],MATCH($AK5,年齢階層×在院期間区分F00F01[[#All],[行ラベル]],0),MATCH($AL$3,年齢階層×在院期間区分F00F01[#Headers],0)),0)+IFERROR(INDEX(年齢階層×在院期間区分F00F01[#All],MATCH($AK5,年齢階層×在院期間区分F00F01[[#All],[行ラベル]],0),MATCH($AM$3,年齢階層×在院期間区分F00F01[#Headers],0)),0)+IFERROR(INDEX(年齢階層×在院期間区分F00F01[#All],MATCH($AK5,年齢階層×在院期間区分F00F01[[#All],[行ラベル]],0),MATCH($AN$3,年齢階層×在院期間区分F00F01[#Headers],0)),0)+IFERROR(INDEX(年齢階層×在院期間区分F00F01[#All],MATCH($AK5,年齢階層×在院期間区分F00F01[[#All],[行ラベル]],0),MATCH($AO$3,年齢階層×在院期間区分F00F01[#Headers],0)),0)</f>
        <v>1</v>
      </c>
      <c r="D5" s="209">
        <f t="shared" si="0"/>
        <v>8.6655112651646442E-4</v>
      </c>
      <c r="E5" s="208">
        <f>IFERROR(INDEX(年齢階層×在院期間区分F00F01[#All],MATCH($AK5,年齢階層×在院期間区分F00F01[[#All],[行ラベル]],0),MATCH($AP$3,年齢階層×在院期間区分F00F01[#Headers],0)),0)+IFERROR(INDEX(年齢階層×在院期間区分F00F01[#All],MATCH($AK5,年齢階層×在院期間区分F00F01[[#All],[行ラベル]],0),MATCH($AQ$3,年齢階層×在院期間区分F00F01[#Headers],0)),0)+IFERROR(INDEX(年齢階層×在院期間区分F00F01[#All],MATCH($AK5,年齢階層×在院期間区分F00F01[[#All],[行ラベル]],0),MATCH($AR$3,年齢階層×在院期間区分F00F01[#Headers],0)),0)+IFERROR(INDEX(年齢階層×在院期間区分F00F01[#All],MATCH($AK5,年齢階層×在院期間区分F00F01[[#All],[行ラベル]],0),MATCH($AS$3,年齢階層×在院期間区分F00F01[#Headers],0)),0)+IFERROR(INDEX(年齢階層×在院期間区分F00F01[#All],MATCH($AK5,年齢階層×在院期間区分F00F01[[#All],[行ラベル]],0),MATCH($AT$3,年齢階層×在院期間区分F00F01[#Headers],0)),0)</f>
        <v>0</v>
      </c>
      <c r="F5" s="209">
        <f t="shared" si="1"/>
        <v>0</v>
      </c>
      <c r="G5" s="231">
        <f>IFERROR(INDEX(年齢階層×在院期間区分F00F01[#All],MATCH($AK5,年齢階層×在院期間区分F00F01[[#All],[行ラベル]],0),MATCH($AU$3,年齢階層×在院期間区分F00F01[#Headers],0)),0)+IFERROR(INDEX(年齢階層×在院期間区分F00F01[#All],MATCH($AK5,年齢階層×在院期間区分F00F01[[#All],[行ラベル]],0),MATCH($AV$3,年齢階層×在院期間区分F00F01[#Headers],0)),0)+IFERROR(INDEX(年齢階層×在院期間区分F00F01[#All],MATCH($AK5,年齢階層×在院期間区分F00F01[[#All],[行ラベル]],0),MATCH($AW$3,年齢階層×在院期間区分F00F01[#Headers],0)),0)+IFERROR(INDEX(年齢階層×在院期間区分F00F01[#All],MATCH($AK5,年齢階層×在院期間区分F00F01[[#All],[行ラベル]],0),MATCH($AX$3,年齢階層×在院期間区分F00F01[#Headers],0)),0)+IFERROR(INDEX(年齢階層×在院期間区分F00F01[#All],MATCH($AK5,年齢階層×在院期間区分F00F01[[#All],[行ラベル]],0),MATCH($AY$3,年齢階層×在院期間区分F00F01[#Headers],0)),0)</f>
        <v>0</v>
      </c>
      <c r="H5" s="209">
        <f t="shared" si="2"/>
        <v>0</v>
      </c>
      <c r="I5" s="232">
        <f>IFERROR(INDEX(年齢階層×在院期間区分F00F01[#All],MATCH($AK5,年齢階層×在院期間区分F00F01[[#All],[行ラベル]],0),MATCH($AZ$3,年齢階層×在院期間区分F00F01[#Headers],0)),0)+IFERROR(INDEX(年齢階層×在院期間区分F00F01[#All],MATCH($AK5,年齢階層×在院期間区分F00F01[[#All],[行ラベル]],0),MATCH($BA$3,年齢階層×在院期間区分F00F01[#Headers],0)),0)</f>
        <v>0</v>
      </c>
      <c r="J5" s="209">
        <f t="shared" si="3"/>
        <v>0</v>
      </c>
      <c r="K5" s="208">
        <f t="shared" si="4"/>
        <v>1</v>
      </c>
      <c r="L5" s="209">
        <f t="shared" si="5"/>
        <v>4.2517006802721087E-4</v>
      </c>
      <c r="O5" s="54" t="s">
        <v>4</v>
      </c>
      <c r="P5" s="66">
        <v>0</v>
      </c>
      <c r="Q5" s="66">
        <v>0</v>
      </c>
      <c r="R5" s="66">
        <v>0</v>
      </c>
      <c r="S5" s="66">
        <v>0</v>
      </c>
      <c r="T5" s="66">
        <v>0</v>
      </c>
      <c r="U5" s="66">
        <v>0</v>
      </c>
      <c r="V5" s="66">
        <v>1</v>
      </c>
      <c r="W5" s="66">
        <v>0</v>
      </c>
      <c r="X5" s="66">
        <v>0</v>
      </c>
      <c r="Y5" s="66">
        <v>0</v>
      </c>
      <c r="Z5" s="66">
        <v>0</v>
      </c>
      <c r="AA5" s="66">
        <v>0</v>
      </c>
      <c r="AB5" s="66">
        <v>0</v>
      </c>
      <c r="AC5" s="66">
        <v>0</v>
      </c>
      <c r="AD5" s="66">
        <v>0</v>
      </c>
      <c r="AE5" s="66">
        <v>0</v>
      </c>
      <c r="AK5" s="54" t="s">
        <v>3</v>
      </c>
      <c r="AL5" s="67"/>
      <c r="AM5" s="67"/>
      <c r="AO5" s="81"/>
    </row>
    <row r="6" spans="2:53" s="22" customFormat="1" ht="18.75" customHeight="1" x14ac:dyDescent="0.15">
      <c r="B6" s="230" t="s">
        <v>4</v>
      </c>
      <c r="C6" s="231">
        <f>IFERROR(INDEX(年齢階層×在院期間区分F00F01[#All],MATCH($AK6,年齢階層×在院期間区分F00F01[[#All],[行ラベル]],0),MATCH($AL$3,年齢階層×在院期間区分F00F01[#Headers],0)),0)+IFERROR(INDEX(年齢階層×在院期間区分F00F01[#All],MATCH($AK6,年齢階層×在院期間区分F00F01[[#All],[行ラベル]],0),MATCH($AM$3,年齢階層×在院期間区分F00F01[#Headers],0)),0)+IFERROR(INDEX(年齢階層×在院期間区分F00F01[#All],MATCH($AK6,年齢階層×在院期間区分F00F01[[#All],[行ラベル]],0),MATCH($AN$3,年齢階層×在院期間区分F00F01[#Headers],0)),0)+IFERROR(INDEX(年齢階層×在院期間区分F00F01[#All],MATCH($AK6,年齢階層×在院期間区分F00F01[[#All],[行ラベル]],0),MATCH($AO$3,年齢階層×在院期間区分F00F01[#Headers],0)),0)</f>
        <v>0</v>
      </c>
      <c r="D6" s="209">
        <f t="shared" si="0"/>
        <v>0</v>
      </c>
      <c r="E6" s="232">
        <f>IFERROR(INDEX(年齢階層×在院期間区分F00F01[#All],MATCH($AK6,年齢階層×在院期間区分F00F01[[#All],[行ラベル]],0),MATCH($AP$3,年齢階層×在院期間区分F00F01[#Headers],0)),0)+IFERROR(INDEX(年齢階層×在院期間区分F00F01[#All],MATCH($AK6,年齢階層×在院期間区分F00F01[[#All],[行ラベル]],0),MATCH($AQ$3,年齢階層×在院期間区分F00F01[#Headers],0)),0)+IFERROR(INDEX(年齢階層×在院期間区分F00F01[#All],MATCH($AK6,年齢階層×在院期間区分F00F01[[#All],[行ラベル]],0),MATCH($AR$3,年齢階層×在院期間区分F00F01[#Headers],0)),0)+IFERROR(INDEX(年齢階層×在院期間区分F00F01[#All],MATCH($AK6,年齢階層×在院期間区分F00F01[[#All],[行ラベル]],0),MATCH($AS$3,年齢階層×在院期間区分F00F01[#Headers],0)),0)+IFERROR(INDEX(年齢階層×在院期間区分F00F01[#All],MATCH($AK6,年齢階層×在院期間区分F00F01[[#All],[行ラベル]],0),MATCH($AT$3,年齢階層×在院期間区分F00F01[#Headers],0)),0)</f>
        <v>1</v>
      </c>
      <c r="F6" s="209">
        <f t="shared" si="1"/>
        <v>1.0706638115631692E-3</v>
      </c>
      <c r="G6" s="231">
        <f>IFERROR(INDEX(年齢階層×在院期間区分F00F01[#All],MATCH($AK6,年齢階層×在院期間区分F00F01[[#All],[行ラベル]],0),MATCH($AU$3,年齢階層×在院期間区分F00F01[#Headers],0)),0)+IFERROR(INDEX(年齢階層×在院期間区分F00F01[#All],MATCH($AK6,年齢階層×在院期間区分F00F01[[#All],[行ラベル]],0),MATCH($AV$3,年齢階層×在院期間区分F00F01[#Headers],0)),0)+IFERROR(INDEX(年齢階層×在院期間区分F00F01[#All],MATCH($AK6,年齢階層×在院期間区分F00F01[[#All],[行ラベル]],0),MATCH($AW$3,年齢階層×在院期間区分F00F01[#Headers],0)),0)+IFERROR(INDEX(年齢階層×在院期間区分F00F01[#All],MATCH($AK6,年齢階層×在院期間区分F00F01[[#All],[行ラベル]],0),MATCH($AX$3,年齢階層×在院期間区分F00F01[#Headers],0)),0)+IFERROR(INDEX(年齢階層×在院期間区分F00F01[#All],MATCH($AK6,年齢階層×在院期間区分F00F01[[#All],[行ラベル]],0),MATCH($AY$3,年齢階層×在院期間区分F00F01[#Headers],0)),0)</f>
        <v>0</v>
      </c>
      <c r="H6" s="209">
        <f t="shared" si="2"/>
        <v>0</v>
      </c>
      <c r="I6" s="208">
        <f>IFERROR(INDEX(年齢階層×在院期間区分F00F01[#All],MATCH($AK6,年齢階層×在院期間区分F00F01[[#All],[行ラベル]],0),MATCH($AZ$3,年齢階層×在院期間区分F00F01[#Headers],0)),0)+IFERROR(INDEX(年齢階層×在院期間区分F00F01[#All],MATCH($AK6,年齢階層×在院期間区分F00F01[[#All],[行ラベル]],0),MATCH($BA$3,年齢階層×在院期間区分F00F01[#Headers],0)),0)</f>
        <v>0</v>
      </c>
      <c r="J6" s="209">
        <f t="shared" si="3"/>
        <v>0</v>
      </c>
      <c r="K6" s="208">
        <f t="shared" si="4"/>
        <v>1</v>
      </c>
      <c r="L6" s="209">
        <f t="shared" si="5"/>
        <v>4.2517006802721087E-4</v>
      </c>
      <c r="O6" s="54" t="s">
        <v>5</v>
      </c>
      <c r="P6" s="66">
        <v>0</v>
      </c>
      <c r="Q6" s="66">
        <v>0</v>
      </c>
      <c r="R6" s="66">
        <v>0</v>
      </c>
      <c r="S6" s="66">
        <v>1</v>
      </c>
      <c r="T6" s="66">
        <v>0</v>
      </c>
      <c r="U6" s="66">
        <v>0</v>
      </c>
      <c r="V6" s="66">
        <v>0</v>
      </c>
      <c r="W6" s="66">
        <v>1</v>
      </c>
      <c r="X6" s="66">
        <v>0</v>
      </c>
      <c r="Y6" s="66">
        <v>0</v>
      </c>
      <c r="Z6" s="66">
        <v>0</v>
      </c>
      <c r="AA6" s="66">
        <v>0</v>
      </c>
      <c r="AB6" s="66">
        <v>0</v>
      </c>
      <c r="AC6" s="66">
        <v>0</v>
      </c>
      <c r="AD6" s="66">
        <v>0</v>
      </c>
      <c r="AE6" s="66">
        <v>0</v>
      </c>
      <c r="AK6" s="54" t="s">
        <v>4</v>
      </c>
      <c r="AL6" s="67"/>
      <c r="AM6" s="67"/>
      <c r="AO6" s="81"/>
    </row>
    <row r="7" spans="2:53" s="22" customFormat="1" ht="18.75" customHeight="1" x14ac:dyDescent="0.15">
      <c r="B7" s="230" t="s">
        <v>5</v>
      </c>
      <c r="C7" s="208">
        <f>IFERROR(INDEX(年齢階層×在院期間区分F00F01[#All],MATCH($AK7,年齢階層×在院期間区分F00F01[[#All],[行ラベル]],0),MATCH($AL$3,年齢階層×在院期間区分F00F01[#Headers],0)),0)+IFERROR(INDEX(年齢階層×在院期間区分F00F01[#All],MATCH($AK7,年齢階層×在院期間区分F00F01[[#All],[行ラベル]],0),MATCH($AM$3,年齢階層×在院期間区分F00F01[#Headers],0)),0)+IFERROR(INDEX(年齢階層×在院期間区分F00F01[#All],MATCH($AK7,年齢階層×在院期間区分F00F01[[#All],[行ラベル]],0),MATCH($AN$3,年齢階層×在院期間区分F00F01[#Headers],0)),0)+IFERROR(INDEX(年齢階層×在院期間区分F00F01[#All],MATCH($AK7,年齢階層×在院期間区分F00F01[[#All],[行ラベル]],0),MATCH($AO$3,年齢階層×在院期間区分F00F01[#Headers],0)),0)</f>
        <v>1</v>
      </c>
      <c r="D7" s="209">
        <f t="shared" si="0"/>
        <v>8.6655112651646442E-4</v>
      </c>
      <c r="E7" s="208">
        <f>IFERROR(INDEX(年齢階層×在院期間区分F00F01[#All],MATCH($AK7,年齢階層×在院期間区分F00F01[[#All],[行ラベル]],0),MATCH($AP$3,年齢階層×在院期間区分F00F01[#Headers],0)),0)+IFERROR(INDEX(年齢階層×在院期間区分F00F01[#All],MATCH($AK7,年齢階層×在院期間区分F00F01[[#All],[行ラベル]],0),MATCH($AQ$3,年齢階層×在院期間区分F00F01[#Headers],0)),0)+IFERROR(INDEX(年齢階層×在院期間区分F00F01[#All],MATCH($AK7,年齢階層×在院期間区分F00F01[[#All],[行ラベル]],0),MATCH($AR$3,年齢階層×在院期間区分F00F01[#Headers],0)),0)+IFERROR(INDEX(年齢階層×在院期間区分F00F01[#All],MATCH($AK7,年齢階層×在院期間区分F00F01[[#All],[行ラベル]],0),MATCH($AS$3,年齢階層×在院期間区分F00F01[#Headers],0)),0)+IFERROR(INDEX(年齢階層×在院期間区分F00F01[#All],MATCH($AK7,年齢階層×在院期間区分F00F01[[#All],[行ラベル]],0),MATCH($AT$3,年齢階層×在院期間区分F00F01[#Headers],0)),0)</f>
        <v>1</v>
      </c>
      <c r="F7" s="209">
        <f t="shared" si="1"/>
        <v>1.0706638115631692E-3</v>
      </c>
      <c r="G7" s="231">
        <f>IFERROR(INDEX(年齢階層×在院期間区分F00F01[#All],MATCH($AK7,年齢階層×在院期間区分F00F01[[#All],[行ラベル]],0),MATCH($AU$3,年齢階層×在院期間区分F00F01[#Headers],0)),0)+IFERROR(INDEX(年齢階層×在院期間区分F00F01[#All],MATCH($AK7,年齢階層×在院期間区分F00F01[[#All],[行ラベル]],0),MATCH($AV$3,年齢階層×在院期間区分F00F01[#Headers],0)),0)+IFERROR(INDEX(年齢階層×在院期間区分F00F01[#All],MATCH($AK7,年齢階層×在院期間区分F00F01[[#All],[行ラベル]],0),MATCH($AW$3,年齢階層×在院期間区分F00F01[#Headers],0)),0)+IFERROR(INDEX(年齢階層×在院期間区分F00F01[#All],MATCH($AK7,年齢階層×在院期間区分F00F01[[#All],[行ラベル]],0),MATCH($AX$3,年齢階層×在院期間区分F00F01[#Headers],0)),0)+IFERROR(INDEX(年齢階層×在院期間区分F00F01[#All],MATCH($AK7,年齢階層×在院期間区分F00F01[[#All],[行ラベル]],0),MATCH($AY$3,年齢階層×在院期間区分F00F01[#Headers],0)),0)</f>
        <v>0</v>
      </c>
      <c r="H7" s="209">
        <f t="shared" si="2"/>
        <v>0</v>
      </c>
      <c r="I7" s="232">
        <f>IFERROR(INDEX(年齢階層×在院期間区分F00F01[#All],MATCH($AK7,年齢階層×在院期間区分F00F01[[#All],[行ラベル]],0),MATCH($AZ$3,年齢階層×在院期間区分F00F01[#Headers],0)),0)+IFERROR(INDEX(年齢階層×在院期間区分F00F01[#All],MATCH($AK7,年齢階層×在院期間区分F00F01[[#All],[行ラベル]],0),MATCH($BA$3,年齢階層×在院期間区分F00F01[#Headers],0)),0)</f>
        <v>0</v>
      </c>
      <c r="J7" s="209">
        <f t="shared" si="3"/>
        <v>0</v>
      </c>
      <c r="K7" s="208">
        <f t="shared" si="4"/>
        <v>2</v>
      </c>
      <c r="L7" s="209">
        <f t="shared" si="5"/>
        <v>8.5034013605442174E-4</v>
      </c>
      <c r="O7" s="54" t="s">
        <v>6</v>
      </c>
      <c r="P7" s="66">
        <v>2</v>
      </c>
      <c r="Q7" s="66">
        <v>4</v>
      </c>
      <c r="R7" s="66">
        <v>2</v>
      </c>
      <c r="S7" s="66">
        <v>5</v>
      </c>
      <c r="T7" s="66">
        <v>2</v>
      </c>
      <c r="U7" s="66">
        <v>2</v>
      </c>
      <c r="V7" s="66">
        <v>4</v>
      </c>
      <c r="W7" s="66">
        <v>2</v>
      </c>
      <c r="X7" s="66">
        <v>1</v>
      </c>
      <c r="Y7" s="66">
        <v>0</v>
      </c>
      <c r="Z7" s="66">
        <v>0</v>
      </c>
      <c r="AA7" s="66">
        <v>0</v>
      </c>
      <c r="AB7" s="66">
        <v>0</v>
      </c>
      <c r="AC7" s="66">
        <v>0</v>
      </c>
      <c r="AD7" s="66">
        <v>3</v>
      </c>
      <c r="AE7" s="66">
        <v>0</v>
      </c>
      <c r="AK7" s="54" t="s">
        <v>5</v>
      </c>
      <c r="AL7" s="67"/>
      <c r="AM7" s="67"/>
      <c r="AO7" s="81"/>
    </row>
    <row r="8" spans="2:53" s="22" customFormat="1" ht="18.75" customHeight="1" x14ac:dyDescent="0.15">
      <c r="B8" s="230" t="s">
        <v>6</v>
      </c>
      <c r="C8" s="208">
        <f>IFERROR(INDEX(年齢階層×在院期間区分F00F01[#All],MATCH($AK8,年齢階層×在院期間区分F00F01[[#All],[行ラベル]],0),MATCH($AL$3,年齢階層×在院期間区分F00F01[#Headers],0)),0)+IFERROR(INDEX(年齢階層×在院期間区分F00F01[#All],MATCH($AK8,年齢階層×在院期間区分F00F01[[#All],[行ラベル]],0),MATCH($AM$3,年齢階層×在院期間区分F00F01[#Headers],0)),0)+IFERROR(INDEX(年齢階層×在院期間区分F00F01[#All],MATCH($AK8,年齢階層×在院期間区分F00F01[[#All],[行ラベル]],0),MATCH($AN$3,年齢階層×在院期間区分F00F01[#Headers],0)),0)+IFERROR(INDEX(年齢階層×在院期間区分F00F01[#All],MATCH($AK8,年齢階層×在院期間区分F00F01[[#All],[行ラベル]],0),MATCH($AO$3,年齢階層×在院期間区分F00F01[#Headers],0)),0)</f>
        <v>13</v>
      </c>
      <c r="D8" s="209">
        <f t="shared" si="0"/>
        <v>1.1265164644714038E-2</v>
      </c>
      <c r="E8" s="208">
        <f>IFERROR(INDEX(年齢階層×在院期間区分F00F01[#All],MATCH($AK8,年齢階層×在院期間区分F00F01[[#All],[行ラベル]],0),MATCH($AP$3,年齢階層×在院期間区分F00F01[#Headers],0)),0)+IFERROR(INDEX(年齢階層×在院期間区分F00F01[#All],MATCH($AK8,年齢階層×在院期間区分F00F01[[#All],[行ラベル]],0),MATCH($AQ$3,年齢階層×在院期間区分F00F01[#Headers],0)),0)+IFERROR(INDEX(年齢階層×在院期間区分F00F01[#All],MATCH($AK8,年齢階層×在院期間区分F00F01[[#All],[行ラベル]],0),MATCH($AR$3,年齢階層×在院期間区分F00F01[#Headers],0)),0)+IFERROR(INDEX(年齢階層×在院期間区分F00F01[#All],MATCH($AK8,年齢階層×在院期間区分F00F01[[#All],[行ラベル]],0),MATCH($AS$3,年齢階層×在院期間区分F00F01[#Headers],0)),0)+IFERROR(INDEX(年齢階層×在院期間区分F00F01[#All],MATCH($AK8,年齢階層×在院期間区分F00F01[[#All],[行ラベル]],0),MATCH($AT$3,年齢階層×在院期間区分F00F01[#Headers],0)),0)</f>
        <v>11</v>
      </c>
      <c r="F8" s="209">
        <f t="shared" si="1"/>
        <v>1.1777301927194861E-2</v>
      </c>
      <c r="G8" s="231">
        <f>IFERROR(INDEX(年齢階層×在院期間区分F00F01[#All],MATCH($AK8,年齢階層×在院期間区分F00F01[[#All],[行ラベル]],0),MATCH($AU$3,年齢階層×在院期間区分F00F01[#Headers],0)),0)+IFERROR(INDEX(年齢階層×在院期間区分F00F01[#All],MATCH($AK8,年齢階層×在院期間区分F00F01[[#All],[行ラベル]],0),MATCH($AV$3,年齢階層×在院期間区分F00F01[#Headers],0)),0)+IFERROR(INDEX(年齢階層×在院期間区分F00F01[#All],MATCH($AK8,年齢階層×在院期間区分F00F01[[#All],[行ラベル]],0),MATCH($AW$3,年齢階層×在院期間区分F00F01[#Headers],0)),0)+IFERROR(INDEX(年齢階層×在院期間区分F00F01[#All],MATCH($AK8,年齢階層×在院期間区分F00F01[[#All],[行ラベル]],0),MATCH($AX$3,年齢階層×在院期間区分F00F01[#Headers],0)),0)+IFERROR(INDEX(年齢階層×在院期間区分F00F01[#All],MATCH($AK8,年齢階層×在院期間区分F00F01[[#All],[行ラベル]],0),MATCH($AY$3,年齢階層×在院期間区分F00F01[#Headers],0)),0)</f>
        <v>0</v>
      </c>
      <c r="H8" s="209">
        <f t="shared" si="2"/>
        <v>0</v>
      </c>
      <c r="I8" s="231">
        <f>IFERROR(INDEX(年齢階層×在院期間区分F00F01[#All],MATCH($AK8,年齢階層×在院期間区分F00F01[[#All],[行ラベル]],0),MATCH($AZ$3,年齢階層×在院期間区分F00F01[#Headers],0)),0)+IFERROR(INDEX(年齢階層×在院期間区分F00F01[#All],MATCH($AK8,年齢階層×在院期間区分F00F01[[#All],[行ラベル]],0),MATCH($BA$3,年齢階層×在院期間区分F00F01[#Headers],0)),0)</f>
        <v>3</v>
      </c>
      <c r="J8" s="209">
        <f t="shared" si="3"/>
        <v>4.0540540540540543E-2</v>
      </c>
      <c r="K8" s="208">
        <f t="shared" si="4"/>
        <v>27</v>
      </c>
      <c r="L8" s="209">
        <f t="shared" si="5"/>
        <v>1.1479591836734694E-2</v>
      </c>
      <c r="O8" s="54" t="s">
        <v>7</v>
      </c>
      <c r="P8" s="66">
        <v>11</v>
      </c>
      <c r="Q8" s="66">
        <v>20</v>
      </c>
      <c r="R8" s="66">
        <v>14</v>
      </c>
      <c r="S8" s="66">
        <v>25</v>
      </c>
      <c r="T8" s="66">
        <v>17</v>
      </c>
      <c r="U8" s="66">
        <v>7</v>
      </c>
      <c r="V8" s="66">
        <v>11</v>
      </c>
      <c r="W8" s="66">
        <v>4</v>
      </c>
      <c r="X8" s="66">
        <v>4</v>
      </c>
      <c r="Y8" s="66">
        <v>6</v>
      </c>
      <c r="Z8" s="66">
        <v>4</v>
      </c>
      <c r="AA8" s="66">
        <v>1</v>
      </c>
      <c r="AB8" s="66">
        <v>1</v>
      </c>
      <c r="AC8" s="66">
        <v>1</v>
      </c>
      <c r="AD8" s="66">
        <v>5</v>
      </c>
      <c r="AE8" s="66">
        <v>2</v>
      </c>
      <c r="AK8" s="54" t="s">
        <v>6</v>
      </c>
      <c r="AL8" s="67"/>
      <c r="AM8" s="67"/>
      <c r="AO8" s="81"/>
    </row>
    <row r="9" spans="2:53" s="22" customFormat="1" ht="18.75" customHeight="1" x14ac:dyDescent="0.15">
      <c r="B9" s="230" t="s">
        <v>7</v>
      </c>
      <c r="C9" s="208">
        <f>IFERROR(INDEX(年齢階層×在院期間区分F00F01[#All],MATCH($AK9,年齢階層×在院期間区分F00F01[[#All],[行ラベル]],0),MATCH($AL$3,年齢階層×在院期間区分F00F01[#Headers],0)),0)+IFERROR(INDEX(年齢階層×在院期間区分F00F01[#All],MATCH($AK9,年齢階層×在院期間区分F00F01[[#All],[行ラベル]],0),MATCH($AM$3,年齢階層×在院期間区分F00F01[#Headers],0)),0)+IFERROR(INDEX(年齢階層×在院期間区分F00F01[#All],MATCH($AK9,年齢階層×在院期間区分F00F01[[#All],[行ラベル]],0),MATCH($AN$3,年齢階層×在院期間区分F00F01[#Headers],0)),0)+IFERROR(INDEX(年齢階層×在院期間区分F00F01[#All],MATCH($AK9,年齢階層×在院期間区分F00F01[[#All],[行ラベル]],0),MATCH($AO$3,年齢階層×在院期間区分F00F01[#Headers],0)),0)</f>
        <v>70</v>
      </c>
      <c r="D9" s="209">
        <f t="shared" si="0"/>
        <v>6.0658578856152515E-2</v>
      </c>
      <c r="E9" s="232">
        <f>IFERROR(INDEX(年齢階層×在院期間区分F00F01[#All],MATCH($AK9,年齢階層×在院期間区分F00F01[[#All],[行ラベル]],0),MATCH($AP$3,年齢階層×在院期間区分F00F01[#Headers],0)),0)+IFERROR(INDEX(年齢階層×在院期間区分F00F01[#All],MATCH($AK9,年齢階層×在院期間区分F00F01[[#All],[行ラベル]],0),MATCH($AQ$3,年齢階層×在院期間区分F00F01[#Headers],0)),0)+IFERROR(INDEX(年齢階層×在院期間区分F00F01[#All],MATCH($AK9,年齢階層×在院期間区分F00F01[[#All],[行ラベル]],0),MATCH($AR$3,年齢階層×在院期間区分F00F01[#Headers],0)),0)+IFERROR(INDEX(年齢階層×在院期間区分F00F01[#All],MATCH($AK9,年齢階層×在院期間区分F00F01[[#All],[行ラベル]],0),MATCH($AS$3,年齢階層×在院期間区分F00F01[#Headers],0)),0)+IFERROR(INDEX(年齢階層×在院期間区分F00F01[#All],MATCH($AK9,年齢階層×在院期間区分F00F01[[#All],[行ラベル]],0),MATCH($AT$3,年齢階層×在院期間区分F00F01[#Headers],0)),0)</f>
        <v>43</v>
      </c>
      <c r="F9" s="209">
        <f t="shared" si="1"/>
        <v>4.6038543897216275E-2</v>
      </c>
      <c r="G9" s="231">
        <f>IFERROR(INDEX(年齢階層×在院期間区分F00F01[#All],MATCH($AK9,年齢階層×在院期間区分F00F01[[#All],[行ラベル]],0),MATCH($AU$3,年齢階層×在院期間区分F00F01[#Headers],0)),0)+IFERROR(INDEX(年齢階層×在院期間区分F00F01[#All],MATCH($AK9,年齢階層×在院期間区分F00F01[[#All],[行ラベル]],0),MATCH($AV$3,年齢階層×在院期間区分F00F01[#Headers],0)),0)+IFERROR(INDEX(年齢階層×在院期間区分F00F01[#All],MATCH($AK9,年齢階層×在院期間区分F00F01[[#All],[行ラベル]],0),MATCH($AW$3,年齢階層×在院期間区分F00F01[#Headers],0)),0)+IFERROR(INDEX(年齢階層×在院期間区分F00F01[#All],MATCH($AK9,年齢階層×在院期間区分F00F01[[#All],[行ラベル]],0),MATCH($AX$3,年齢階層×在院期間区分F00F01[#Headers],0)),0)+IFERROR(INDEX(年齢階層×在院期間区分F00F01[#All],MATCH($AK9,年齢階層×在院期間区分F00F01[[#All],[行ラベル]],0),MATCH($AY$3,年齢階層×在院期間区分F00F01[#Headers],0)),0)</f>
        <v>13</v>
      </c>
      <c r="H9" s="209">
        <f t="shared" si="2"/>
        <v>6.8421052631578952E-2</v>
      </c>
      <c r="I9" s="208">
        <f>IFERROR(INDEX(年齢階層×在院期間区分F00F01[#All],MATCH($AK9,年齢階層×在院期間区分F00F01[[#All],[行ラベル]],0),MATCH($AZ$3,年齢階層×在院期間区分F00F01[#Headers],0)),0)+IFERROR(INDEX(年齢階層×在院期間区分F00F01[#All],MATCH($AK9,年齢階層×在院期間区分F00F01[[#All],[行ラベル]],0),MATCH($BA$3,年齢階層×在院期間区分F00F01[#Headers],0)),0)</f>
        <v>7</v>
      </c>
      <c r="J9" s="209">
        <f t="shared" si="3"/>
        <v>9.45945945945946E-2</v>
      </c>
      <c r="K9" s="208">
        <f t="shared" si="4"/>
        <v>133</v>
      </c>
      <c r="L9" s="209">
        <f t="shared" si="5"/>
        <v>5.6547619047619048E-2</v>
      </c>
      <c r="O9" s="54" t="s">
        <v>8</v>
      </c>
      <c r="P9" s="66">
        <v>67</v>
      </c>
      <c r="Q9" s="66">
        <v>88</v>
      </c>
      <c r="R9" s="66">
        <v>85</v>
      </c>
      <c r="S9" s="66">
        <v>95</v>
      </c>
      <c r="T9" s="66">
        <v>64</v>
      </c>
      <c r="U9" s="66">
        <v>49</v>
      </c>
      <c r="V9" s="66">
        <v>63</v>
      </c>
      <c r="W9" s="66">
        <v>35</v>
      </c>
      <c r="X9" s="66">
        <v>19</v>
      </c>
      <c r="Y9" s="66">
        <v>19</v>
      </c>
      <c r="Z9" s="66">
        <v>12</v>
      </c>
      <c r="AA9" s="66">
        <v>10</v>
      </c>
      <c r="AB9" s="66">
        <v>6</v>
      </c>
      <c r="AC9" s="66">
        <v>4</v>
      </c>
      <c r="AD9" s="66">
        <v>17</v>
      </c>
      <c r="AE9" s="66">
        <v>6</v>
      </c>
      <c r="AK9" s="54" t="s">
        <v>7</v>
      </c>
      <c r="AL9" s="67"/>
      <c r="AM9" s="67"/>
      <c r="AO9" s="81"/>
    </row>
    <row r="10" spans="2:53" s="22" customFormat="1" ht="18.75" customHeight="1" x14ac:dyDescent="0.15">
      <c r="B10" s="230" t="s">
        <v>8</v>
      </c>
      <c r="C10" s="232">
        <f>IFERROR(INDEX(年齢階層×在院期間区分F00F01[#All],MATCH($AK10,年齢階層×在院期間区分F00F01[[#All],[行ラベル]],0),MATCH($AL$3,年齢階層×在院期間区分F00F01[#Headers],0)),0)+IFERROR(INDEX(年齢階層×在院期間区分F00F01[#All],MATCH($AK10,年齢階層×在院期間区分F00F01[[#All],[行ラベル]],0),MATCH($AM$3,年齢階層×在院期間区分F00F01[#Headers],0)),0)+IFERROR(INDEX(年齢階層×在院期間区分F00F01[#All],MATCH($AK10,年齢階層×在院期間区分F00F01[[#All],[行ラベル]],0),MATCH($AN$3,年齢階層×在院期間区分F00F01[#Headers],0)),0)+IFERROR(INDEX(年齢階層×在院期間区分F00F01[#All],MATCH($AK10,年齢階層×在院期間区分F00F01[[#All],[行ラベル]],0),MATCH($AO$3,年齢階層×在院期間区分F00F01[#Headers],0)),0)</f>
        <v>335</v>
      </c>
      <c r="D10" s="209">
        <f t="shared" si="0"/>
        <v>0.29029462738301559</v>
      </c>
      <c r="E10" s="231">
        <f>IFERROR(INDEX(年齢階層×在院期間区分F00F01[#All],MATCH($AK10,年齢階層×在院期間区分F00F01[[#All],[行ラベル]],0),MATCH($AP$3,年齢階層×在院期間区分F00F01[#Headers],0)),0)+IFERROR(INDEX(年齢階層×在院期間区分F00F01[#All],MATCH($AK10,年齢階層×在院期間区分F00F01[[#All],[行ラベル]],0),MATCH($AQ$3,年齢階層×在院期間区分F00F01[#Headers],0)),0)+IFERROR(INDEX(年齢階層×在院期間区分F00F01[#All],MATCH($AK10,年齢階層×在院期間区分F00F01[[#All],[行ラベル]],0),MATCH($AR$3,年齢階層×在院期間区分F00F01[#Headers],0)),0)+IFERROR(INDEX(年齢階層×在院期間区分F00F01[#All],MATCH($AK10,年齢階層×在院期間区分F00F01[[#All],[行ラベル]],0),MATCH($AS$3,年齢階層×在院期間区分F00F01[#Headers],0)),0)+IFERROR(INDEX(年齢階層×在院期間区分F00F01[#All],MATCH($AK10,年齢階層×在院期間区分F00F01[[#All],[行ラベル]],0),MATCH($AT$3,年齢階層×在院期間区分F00F01[#Headers],0)),0)</f>
        <v>230</v>
      </c>
      <c r="F10" s="209">
        <f t="shared" si="1"/>
        <v>0.24625267665952891</v>
      </c>
      <c r="G10" s="231">
        <f>IFERROR(INDEX(年齢階層×在院期間区分F00F01[#All],MATCH($AK10,年齢階層×在院期間区分F00F01[[#All],[行ラベル]],0),MATCH($AU$3,年齢階層×在院期間区分F00F01[#Headers],0)),0)+IFERROR(INDEX(年齢階層×在院期間区分F00F01[#All],MATCH($AK10,年齢階層×在院期間区分F00F01[[#All],[行ラベル]],0),MATCH($AV$3,年齢階層×在院期間区分F00F01[#Headers],0)),0)+IFERROR(INDEX(年齢階層×在院期間区分F00F01[#All],MATCH($AK10,年齢階層×在院期間区分F00F01[[#All],[行ラベル]],0),MATCH($AW$3,年齢階層×在院期間区分F00F01[#Headers],0)),0)+IFERROR(INDEX(年齢階層×在院期間区分F00F01[#All],MATCH($AK10,年齢階層×在院期間区分F00F01[[#All],[行ラベル]],0),MATCH($AX$3,年齢階層×在院期間区分F00F01[#Headers],0)),0)+IFERROR(INDEX(年齢階層×在院期間区分F00F01[#All],MATCH($AK10,年齢階層×在院期間区分F00F01[[#All],[行ラベル]],0),MATCH($AY$3,年齢階層×在院期間区分F00F01[#Headers],0)),0)</f>
        <v>51</v>
      </c>
      <c r="H10" s="209">
        <f t="shared" si="2"/>
        <v>0.26842105263157895</v>
      </c>
      <c r="I10" s="208">
        <f>IFERROR(INDEX(年齢階層×在院期間区分F00F01[#All],MATCH($AK10,年齢階層×在院期間区分F00F01[[#All],[行ラベル]],0),MATCH($AZ$3,年齢階層×在院期間区分F00F01[#Headers],0)),0)+IFERROR(INDEX(年齢階層×在院期間区分F00F01[#All],MATCH($AK10,年齢階層×在院期間区分F00F01[[#All],[行ラベル]],0),MATCH($BA$3,年齢階層×在院期間区分F00F01[#Headers],0)),0)</f>
        <v>23</v>
      </c>
      <c r="J10" s="209">
        <f t="shared" si="3"/>
        <v>0.3108108108108108</v>
      </c>
      <c r="K10" s="208">
        <f t="shared" si="4"/>
        <v>639</v>
      </c>
      <c r="L10" s="209">
        <f t="shared" si="5"/>
        <v>0.27168367346938777</v>
      </c>
      <c r="O10" s="54" t="s">
        <v>9</v>
      </c>
      <c r="P10" s="66">
        <v>115</v>
      </c>
      <c r="Q10" s="66">
        <v>148</v>
      </c>
      <c r="R10" s="66">
        <v>144</v>
      </c>
      <c r="S10" s="66">
        <v>192</v>
      </c>
      <c r="T10" s="66">
        <v>136</v>
      </c>
      <c r="U10" s="66">
        <v>95</v>
      </c>
      <c r="V10" s="66">
        <v>126</v>
      </c>
      <c r="W10" s="66">
        <v>104</v>
      </c>
      <c r="X10" s="66">
        <v>40</v>
      </c>
      <c r="Y10" s="66">
        <v>15</v>
      </c>
      <c r="Z10" s="66">
        <v>22</v>
      </c>
      <c r="AA10" s="66">
        <v>19</v>
      </c>
      <c r="AB10" s="66">
        <v>10</v>
      </c>
      <c r="AC10" s="66">
        <v>11</v>
      </c>
      <c r="AD10" s="66">
        <v>20</v>
      </c>
      <c r="AE10" s="66">
        <v>6</v>
      </c>
      <c r="AK10" s="54" t="s">
        <v>8</v>
      </c>
      <c r="AL10" s="67"/>
      <c r="AM10" s="67"/>
      <c r="AO10" s="81"/>
    </row>
    <row r="11" spans="2:53" s="22" customFormat="1" ht="18.75" customHeight="1" x14ac:dyDescent="0.15">
      <c r="B11" s="230" t="s">
        <v>9</v>
      </c>
      <c r="C11" s="208">
        <f>IFERROR(INDEX(年齢階層×在院期間区分F00F01[#All],MATCH($AK11,年齢階層×在院期間区分F00F01[[#All],[行ラベル]],0),MATCH($AL$3,年齢階層×在院期間区分F00F01[#Headers],0)),0)+IFERROR(INDEX(年齢階層×在院期間区分F00F01[#All],MATCH($AK11,年齢階層×在院期間区分F00F01[[#All],[行ラベル]],0),MATCH($AM$3,年齢階層×在院期間区分F00F01[#Headers],0)),0)+IFERROR(INDEX(年齢階層×在院期間区分F00F01[#All],MATCH($AK11,年齢階層×在院期間区分F00F01[[#All],[行ラベル]],0),MATCH($AN$3,年齢階層×在院期間区分F00F01[#Headers],0)),0)+IFERROR(INDEX(年齢階層×在院期間区分F00F01[#All],MATCH($AK11,年齢階層×在院期間区分F00F01[[#All],[行ラベル]],0),MATCH($AO$3,年齢階層×在院期間区分F00F01[#Headers],0)),0)</f>
        <v>599</v>
      </c>
      <c r="D11" s="209">
        <f t="shared" si="0"/>
        <v>0.51906412478336217</v>
      </c>
      <c r="E11" s="231">
        <f>IFERROR(INDEX(年齢階層×在院期間区分F00F01[#All],MATCH($AK11,年齢階層×在院期間区分F00F01[[#All],[行ラベル]],0),MATCH($AP$3,年齢階層×在院期間区分F00F01[#Headers],0)),0)+IFERROR(INDEX(年齢階層×在院期間区分F00F01[#All],MATCH($AK11,年齢階層×在院期間区分F00F01[[#All],[行ラベル]],0),MATCH($AQ$3,年齢階層×在院期間区分F00F01[#Headers],0)),0)+IFERROR(INDEX(年齢階層×在院期間区分F00F01[#All],MATCH($AK11,年齢階層×在院期間区分F00F01[[#All],[行ラベル]],0),MATCH($AR$3,年齢階層×在院期間区分F00F01[#Headers],0)),0)+IFERROR(INDEX(年齢階層×在院期間区分F00F01[#All],MATCH($AK11,年齢階層×在院期間区分F00F01[[#All],[行ラベル]],0),MATCH($AS$3,年齢階層×在院期間区分F00F01[#Headers],0)),0)+IFERROR(INDEX(年齢階層×在院期間区分F00F01[#All],MATCH($AK11,年齢階層×在院期間区分F00F01[[#All],[行ラベル]],0),MATCH($AT$3,年齢階層×在院期間区分F00F01[#Headers],0)),0)</f>
        <v>501</v>
      </c>
      <c r="F11" s="209">
        <f t="shared" si="1"/>
        <v>0.5364025695931478</v>
      </c>
      <c r="G11" s="231">
        <f>IFERROR(INDEX(年齢階層×在院期間区分F00F01[#All],MATCH($AK11,年齢階層×在院期間区分F00F01[[#All],[行ラベル]],0),MATCH($AU$3,年齢階層×在院期間区分F00F01[#Headers],0)),0)+IFERROR(INDEX(年齢階層×在院期間区分F00F01[#All],MATCH($AK11,年齢階層×在院期間区分F00F01[[#All],[行ラベル]],0),MATCH($AV$3,年齢階層×在院期間区分F00F01[#Headers],0)),0)+IFERROR(INDEX(年齢階層×在院期間区分F00F01[#All],MATCH($AK11,年齢階層×在院期間区分F00F01[[#All],[行ラベル]],0),MATCH($AW$3,年齢階層×在院期間区分F00F01[#Headers],0)),0)+IFERROR(INDEX(年齢階層×在院期間区分F00F01[#All],MATCH($AK11,年齢階層×在院期間区分F00F01[[#All],[行ラベル]],0),MATCH($AX$3,年齢階層×在院期間区分F00F01[#Headers],0)),0)+IFERROR(INDEX(年齢階層×在院期間区分F00F01[#All],MATCH($AK11,年齢階層×在院期間区分F00F01[[#All],[行ラベル]],0),MATCH($AY$3,年齢階層×在院期間区分F00F01[#Headers],0)),0)</f>
        <v>77</v>
      </c>
      <c r="H11" s="209">
        <f t="shared" si="2"/>
        <v>0.40526315789473683</v>
      </c>
      <c r="I11" s="232">
        <f>IFERROR(INDEX(年齢階層×在院期間区分F00F01[#All],MATCH($AK11,年齢階層×在院期間区分F00F01[[#All],[行ラベル]],0),MATCH($AZ$3,年齢階層×在院期間区分F00F01[#Headers],0)),0)+IFERROR(INDEX(年齢階層×在院期間区分F00F01[#All],MATCH($AK11,年齢階層×在院期間区分F00F01[[#All],[行ラベル]],0),MATCH($BA$3,年齢階層×在院期間区分F00F01[#Headers],0)),0)</f>
        <v>26</v>
      </c>
      <c r="J11" s="209">
        <f t="shared" si="3"/>
        <v>0.35135135135135137</v>
      </c>
      <c r="K11" s="208">
        <f t="shared" si="4"/>
        <v>1203</v>
      </c>
      <c r="L11" s="209">
        <f t="shared" si="5"/>
        <v>0.51147959183673475</v>
      </c>
      <c r="O11" s="54" t="s">
        <v>10</v>
      </c>
      <c r="P11" s="66">
        <v>22</v>
      </c>
      <c r="Q11" s="66">
        <v>29</v>
      </c>
      <c r="R11" s="66">
        <v>37</v>
      </c>
      <c r="S11" s="66">
        <v>47</v>
      </c>
      <c r="T11" s="66">
        <v>34</v>
      </c>
      <c r="U11" s="66">
        <v>24</v>
      </c>
      <c r="V11" s="66">
        <v>40</v>
      </c>
      <c r="W11" s="66">
        <v>33</v>
      </c>
      <c r="X11" s="66">
        <v>16</v>
      </c>
      <c r="Y11" s="66">
        <v>15</v>
      </c>
      <c r="Z11" s="66">
        <v>14</v>
      </c>
      <c r="AA11" s="66">
        <v>7</v>
      </c>
      <c r="AB11" s="66">
        <v>6</v>
      </c>
      <c r="AC11" s="66">
        <v>7</v>
      </c>
      <c r="AD11" s="66">
        <v>13</v>
      </c>
      <c r="AE11" s="66">
        <v>2</v>
      </c>
      <c r="AK11" s="54" t="s">
        <v>9</v>
      </c>
      <c r="AL11" s="67"/>
      <c r="AM11" s="67"/>
      <c r="AO11" s="81"/>
    </row>
    <row r="12" spans="2:53" s="22" customFormat="1" ht="18.75" customHeight="1" thickBot="1" x14ac:dyDescent="0.2">
      <c r="B12" s="233" t="s">
        <v>10</v>
      </c>
      <c r="C12" s="234">
        <f>IFERROR(INDEX(年齢階層×在院期間区分F00F01[#All],MATCH($AK12,年齢階層×在院期間区分F00F01[[#All],[行ラベル]],0),MATCH($AL$3,年齢階層×在院期間区分F00F01[#Headers],0)),0)+IFERROR(INDEX(年齢階層×在院期間区分F00F01[#All],MATCH($AK12,年齢階層×在院期間区分F00F01[[#All],[行ラベル]],0),MATCH($AM$3,年齢階層×在院期間区分F00F01[#Headers],0)),0)+IFERROR(INDEX(年齢階層×在院期間区分F00F01[#All],MATCH($AK12,年齢階層×在院期間区分F00F01[[#All],[行ラベル]],0),MATCH($AN$3,年齢階層×在院期間区分F00F01[#Headers],0)),0)+IFERROR(INDEX(年齢階層×在院期間区分F00F01[#All],MATCH($AK12,年齢階層×在院期間区分F00F01[[#All],[行ラベル]],0),MATCH($AO$3,年齢階層×在院期間区分F00F01[#Headers],0)),0)</f>
        <v>135</v>
      </c>
      <c r="D12" s="225">
        <f t="shared" si="0"/>
        <v>0.1169844020797227</v>
      </c>
      <c r="E12" s="211">
        <f>IFERROR(INDEX(年齢階層×在院期間区分F00F01[#All],MATCH($AK12,年齢階層×在院期間区分F00F01[[#All],[行ラベル]],0),MATCH($AP$3,年齢階層×在院期間区分F00F01[#Headers],0)),0)+IFERROR(INDEX(年齢階層×在院期間区分F00F01[#All],MATCH($AK12,年齢階層×在院期間区分F00F01[[#All],[行ラベル]],0),MATCH($AQ$3,年齢階層×在院期間区分F00F01[#Headers],0)),0)+IFERROR(INDEX(年齢階層×在院期間区分F00F01[#All],MATCH($AK12,年齢階層×在院期間区分F00F01[[#All],[行ラベル]],0),MATCH($AR$3,年齢階層×在院期間区分F00F01[#Headers],0)),0)+IFERROR(INDEX(年齢階層×在院期間区分F00F01[#All],MATCH($AK12,年齢階層×在院期間区分F00F01[[#All],[行ラベル]],0),MATCH($AS$3,年齢階層×在院期間区分F00F01[#Headers],0)),0)+IFERROR(INDEX(年齢階層×在院期間区分F00F01[#All],MATCH($AK12,年齢階層×在院期間区分F00F01[[#All],[行ラベル]],0),MATCH($AT$3,年齢階層×在院期間区分F00F01[#Headers],0)),0)</f>
        <v>147</v>
      </c>
      <c r="F12" s="225">
        <f t="shared" si="1"/>
        <v>0.15738758029978586</v>
      </c>
      <c r="G12" s="211">
        <f>IFERROR(INDEX(年齢階層×在院期間区分F00F01[#All],MATCH($AK12,年齢階層×在院期間区分F00F01[[#All],[行ラベル]],0),MATCH($AU$3,年齢階層×在院期間区分F00F01[#Headers],0)),0)+IFERROR(INDEX(年齢階層×在院期間区分F00F01[#All],MATCH($AK12,年齢階層×在院期間区分F00F01[[#All],[行ラベル]],0),MATCH($AV$3,年齢階層×在院期間区分F00F01[#Headers],0)),0)+IFERROR(INDEX(年齢階層×在院期間区分F00F01[#All],MATCH($AK12,年齢階層×在院期間区分F00F01[[#All],[行ラベル]],0),MATCH($AW$3,年齢階層×在院期間区分F00F01[#Headers],0)),0)+IFERROR(INDEX(年齢階層×在院期間区分F00F01[#All],MATCH($AK12,年齢階層×在院期間区分F00F01[[#All],[行ラベル]],0),MATCH($AX$3,年齢階層×在院期間区分F00F01[#Headers],0)),0)+IFERROR(INDEX(年齢階層×在院期間区分F00F01[#All],MATCH($AK12,年齢階層×在院期間区分F00F01[[#All],[行ラベル]],0),MATCH($AY$3,年齢階層×在院期間区分F00F01[#Headers],0)),0)</f>
        <v>49</v>
      </c>
      <c r="H12" s="225">
        <f t="shared" si="2"/>
        <v>0.25789473684210529</v>
      </c>
      <c r="I12" s="211">
        <f>IFERROR(INDEX(年齢階層×在院期間区分F00F01[#All],MATCH($AK12,年齢階層×在院期間区分F00F01[[#All],[行ラベル]],0),MATCH($AZ$3,年齢階層×在院期間区分F00F01[#Headers],0)),0)+IFERROR(INDEX(年齢階層×在院期間区分F00F01[#All],MATCH($AK12,年齢階層×在院期間区分F00F01[[#All],[行ラベル]],0),MATCH($BA$3,年齢階層×在院期間区分F00F01[#Headers],0)),0)</f>
        <v>15</v>
      </c>
      <c r="J12" s="225">
        <f t="shared" si="3"/>
        <v>0.20270270270270271</v>
      </c>
      <c r="K12" s="211">
        <f t="shared" si="4"/>
        <v>346</v>
      </c>
      <c r="L12" s="225">
        <f t="shared" si="5"/>
        <v>0.14710884353741496</v>
      </c>
      <c r="O12" s="54"/>
      <c r="P12" s="66"/>
      <c r="Q12" s="66"/>
      <c r="R12" s="66"/>
      <c r="S12" s="66"/>
      <c r="T12" s="66"/>
      <c r="U12" s="66"/>
      <c r="V12" s="66"/>
      <c r="W12" s="66"/>
      <c r="X12" s="66"/>
      <c r="Y12" s="66"/>
      <c r="Z12" s="66"/>
      <c r="AA12" s="66"/>
      <c r="AB12" s="66"/>
      <c r="AC12" s="66"/>
      <c r="AD12" s="66"/>
      <c r="AE12" s="66"/>
      <c r="AK12" s="54" t="s">
        <v>10</v>
      </c>
      <c r="AL12" s="67"/>
      <c r="AM12" s="67"/>
      <c r="AO12" s="81"/>
    </row>
    <row r="13" spans="2:53" s="22" customFormat="1" ht="18.75" customHeight="1" thickTop="1" thickBot="1" x14ac:dyDescent="0.2">
      <c r="B13" s="235" t="s">
        <v>162</v>
      </c>
      <c r="C13" s="236">
        <f t="shared" ref="C13:L13" si="6">SUM(C4:C12)</f>
        <v>1154</v>
      </c>
      <c r="D13" s="237">
        <f t="shared" si="6"/>
        <v>0.99999999999999989</v>
      </c>
      <c r="E13" s="236">
        <f t="shared" si="6"/>
        <v>934</v>
      </c>
      <c r="F13" s="237">
        <f t="shared" si="6"/>
        <v>1</v>
      </c>
      <c r="G13" s="236">
        <f t="shared" si="6"/>
        <v>190</v>
      </c>
      <c r="H13" s="237">
        <f t="shared" si="6"/>
        <v>1</v>
      </c>
      <c r="I13" s="236">
        <f t="shared" si="6"/>
        <v>74</v>
      </c>
      <c r="J13" s="237">
        <f t="shared" si="6"/>
        <v>1</v>
      </c>
      <c r="K13" s="236">
        <f t="shared" si="6"/>
        <v>2352</v>
      </c>
      <c r="L13" s="237">
        <f t="shared" si="6"/>
        <v>1</v>
      </c>
      <c r="O13" s="430" t="s">
        <v>309</v>
      </c>
      <c r="P13" s="504" t="s">
        <v>183</v>
      </c>
      <c r="Q13" s="504" t="s">
        <v>184</v>
      </c>
      <c r="R13" s="504" t="s">
        <v>185</v>
      </c>
      <c r="S13" s="504" t="s">
        <v>186</v>
      </c>
      <c r="T13" s="504" t="s">
        <v>187</v>
      </c>
      <c r="U13" s="504" t="s">
        <v>188</v>
      </c>
      <c r="V13" s="504" t="s">
        <v>189</v>
      </c>
      <c r="W13" s="504" t="s">
        <v>190</v>
      </c>
      <c r="X13" s="504" t="s">
        <v>191</v>
      </c>
      <c r="Y13" s="504" t="s">
        <v>192</v>
      </c>
      <c r="Z13" s="504" t="s">
        <v>193</v>
      </c>
      <c r="AA13" s="504" t="s">
        <v>194</v>
      </c>
      <c r="AB13" s="504" t="s">
        <v>195</v>
      </c>
      <c r="AC13" s="504" t="s">
        <v>196</v>
      </c>
      <c r="AD13" s="504" t="s">
        <v>197</v>
      </c>
      <c r="AE13" s="56" t="s">
        <v>198</v>
      </c>
      <c r="AK13" s="81"/>
      <c r="AL13" s="81"/>
      <c r="AO13" s="81"/>
    </row>
    <row r="14" spans="2:53" s="22" customFormat="1" ht="18.75" customHeight="1" thickTop="1" x14ac:dyDescent="0.15">
      <c r="B14" s="238" t="s">
        <v>93</v>
      </c>
      <c r="C14" s="239">
        <f>IFERROR(INDEX(年齢階層×在院期間区分F00F01_65歳未満以上[#All],MATCH($AK14,年齢階層×在院期間区分F00F01_65歳未満以上[[#All],[列1]],0),MATCH($AL$3,年齢階層×在院期間区分F00F01_65歳未満以上[#Headers],0)),0)+IFERROR(INDEX(年齢階層×在院期間区分F00F01_65歳未満以上[#All],MATCH($AK14,年齢階層×在院期間区分F00F01_65歳未満以上[[#All],[列1]],0),MATCH($AM$3,年齢階層×在院期間区分F00F01_65歳未満以上[#Headers],0)),0)+IFERROR(INDEX(年齢階層×在院期間区分F00F01_65歳未満以上[#All],MATCH($AK14,年齢階層×在院期間区分F00F01_65歳未満以上[[#All],[列1]],0),MATCH($AN$3,年齢階層×在院期間区分F00F01_65歳未満以上[#Headers],0)),0)+IFERROR(INDEX(年齢階層×在院期間区分F00F01_65歳未満以上[#All],MATCH($AK14,年齢階層×在院期間区分F00F01_65歳未満以上[[#All],[列1]],0),MATCH($AO$3,年齢階層×在院期間区分F00F01_65歳未満以上[#Headers],0)),0)</f>
        <v>43</v>
      </c>
      <c r="D14" s="210">
        <f>IFERROR(C14/$C$13,"-")</f>
        <v>3.726169844020797E-2</v>
      </c>
      <c r="E14" s="239">
        <f>IFERROR(INDEX(年齢階層×在院期間区分F00F01_65歳未満以上[#All],MATCH($AK14,年齢階層×在院期間区分F00F01_65歳未満以上[[#All],[列1]],0),MATCH($AP$3,年齢階層×在院期間区分F00F01_65歳未満以上[#Headers],0)),0)+IFERROR(INDEX(年齢階層×在院期間区分F00F01_65歳未満以上[#All],MATCH($AK14,年齢階層×在院期間区分F00F01_65歳未満以上[[#All],[列1]],0),MATCH($AQ$3,年齢階層×在院期間区分F00F01_65歳未満以上[#Headers],0)),0)+IFERROR(INDEX(年齢階層×在院期間区分F00F01_65歳未満以上[#All],MATCH($AK14,年齢階層×在院期間区分F00F01_65歳未満以上[[#All],[列1]],0),MATCH($AR$3,年齢階層×在院期間区分F00F01_65歳未満以上[#Headers],0)),0)+IFERROR(INDEX(年齢階層×在院期間区分F00F01_65歳未満以上[#All],MATCH($AK14,年齢階層×在院期間区分F00F01_65歳未満以上[[#All],[列1]],0),MATCH($AS$3,年齢階層×在院期間区分F00F01_65歳未満以上[#Headers],0)),0)+IFERROR(INDEX(年齢階層×在院期間区分F00F01_65歳未満以上[#All],MATCH($AK14,年齢階層×在院期間区分F00F01_65歳未満以上[[#All],[列1]],0),MATCH($AT$3,年齢階層×在院期間区分F00F01_65歳未満以上[#Headers],0)),0)</f>
        <v>27</v>
      </c>
      <c r="F14" s="210">
        <f>IFERROR(E14/$E$13,"-")</f>
        <v>2.8907922912205567E-2</v>
      </c>
      <c r="G14" s="239">
        <f>IFERROR(INDEX(年齢階層×在院期間区分F00F01_65歳未満以上[#All],MATCH($AK14,年齢階層×在院期間区分F00F01_65歳未満以上[[#All],[列1]],0),MATCH($AU$3,年齢階層×在院期間区分F00F01_65歳未満以上[#Headers],0)),0)+IFERROR(INDEX(年齢階層×在院期間区分F00F01_65歳未満以上[#All],MATCH($AK14,年齢階層×在院期間区分F00F01_65歳未満以上[[#All],[列1]],0),MATCH($AV$3,年齢階層×在院期間区分F00F01_65歳未満以上[#Headers],0)),0)+IFERROR(INDEX(年齢階層×在院期間区分F00F01_65歳未満以上[#All],MATCH($AK14,年齢階層×在院期間区分F00F01_65歳未満以上[[#All],[列1]],0),MATCH($AW$3,年齢階層×在院期間区分F00F01_65歳未満以上[#Headers],0)),0)+IFERROR(INDEX(年齢階層×在院期間区分F00F01_65歳未満以上[#All],MATCH($AK14,年齢階層×在院期間区分F00F01_65歳未満以上[[#All],[列1]],0),MATCH($AX$3,年齢階層×在院期間区分F00F01_65歳未満以上[#Headers],0)),0)+IFERROR(INDEX(年齢階層×在院期間区分F00F01_65歳未満以上[#All],MATCH($AK14,年齢階層×在院期間区分F00F01_65歳未満以上[[#All],[列1]],0),MATCH($AY$3,年齢階層×在院期間区分F00F01_65歳未満以上[#Headers],0)),0)</f>
        <v>2</v>
      </c>
      <c r="H14" s="210">
        <f>IFERROR(G14/$G$13,"-")</f>
        <v>1.0526315789473684E-2</v>
      </c>
      <c r="I14" s="239">
        <f>IFERROR(INDEX(年齢階層×在院期間区分F00F01_65歳未満以上[#All],MATCH($AK14,年齢階層×在院期間区分F00F01_65歳未満以上[[#All],[列1]],0),MATCH($AZ$3,年齢階層×在院期間区分F00F01_65歳未満以上[#Headers],0)),0)+IFERROR(INDEX(年齢階層×在院期間区分F00F01_65歳未満以上[#All],MATCH($AK14,年齢階層×在院期間区分F00F01_65歳未満以上[[#All],[列1]],0),MATCH($BA$3,年齢階層×在院期間区分F00F01_65歳未満以上[#Headers],0)),0)</f>
        <v>4</v>
      </c>
      <c r="J14" s="210">
        <f>IFERROR(I14/$I$13,"-")</f>
        <v>5.4054054054054057E-2</v>
      </c>
      <c r="K14" s="239">
        <f>SUM(C14,E14,G14,I14)</f>
        <v>76</v>
      </c>
      <c r="L14" s="210">
        <f>IFERROR(K14/$K$13,"-")</f>
        <v>3.2312925170068028E-2</v>
      </c>
      <c r="O14" s="54" t="s">
        <v>307</v>
      </c>
      <c r="P14" s="66">
        <v>7</v>
      </c>
      <c r="Q14" s="66">
        <v>12</v>
      </c>
      <c r="R14" s="66">
        <v>7</v>
      </c>
      <c r="S14" s="66">
        <v>17</v>
      </c>
      <c r="T14" s="66">
        <v>5</v>
      </c>
      <c r="U14" s="66">
        <v>5</v>
      </c>
      <c r="V14" s="66">
        <v>8</v>
      </c>
      <c r="W14" s="66">
        <v>6</v>
      </c>
      <c r="X14" s="66">
        <v>3</v>
      </c>
      <c r="Y14" s="66">
        <v>1</v>
      </c>
      <c r="Z14" s="66">
        <v>1</v>
      </c>
      <c r="AA14" s="66">
        <v>0</v>
      </c>
      <c r="AB14" s="66">
        <v>0</v>
      </c>
      <c r="AC14" s="66">
        <v>0</v>
      </c>
      <c r="AD14" s="66">
        <v>4</v>
      </c>
      <c r="AE14" s="66">
        <v>0</v>
      </c>
      <c r="AK14" s="83" t="s">
        <v>157</v>
      </c>
    </row>
    <row r="15" spans="2:53" s="22" customFormat="1" ht="18.75" customHeight="1" x14ac:dyDescent="0.15">
      <c r="B15" s="240" t="s">
        <v>89</v>
      </c>
      <c r="C15" s="239">
        <f>IFERROR(INDEX(年齢階層×在院期間区分F00F01_65歳未満以上[#All],MATCH($AK15,年齢階層×在院期間区分F00F01_65歳未満以上[[#All],[列1]],0),MATCH($AL$3,年齢階層×在院期間区分F00F01_65歳未満以上[#Headers],0)),0)+IFERROR(INDEX(年齢階層×在院期間区分F00F01_65歳未満以上[#All],MATCH($AK15,年齢階層×在院期間区分F00F01_65歳未満以上[[#All],[列1]],0),MATCH($AM$3,年齢階層×在院期間区分F00F01_65歳未満以上[#Headers],0)),0)+IFERROR(INDEX(年齢階層×在院期間区分F00F01_65歳未満以上[#All],MATCH($AK15,年齢階層×在院期間区分F00F01_65歳未満以上[[#All],[列1]],0),MATCH($AN$3,年齢階層×在院期間区分F00F01_65歳未満以上[#Headers],0)),0)+IFERROR(INDEX(年齢階層×在院期間区分F00F01_65歳未満以上[#All],MATCH($AK15,年齢階層×在院期間区分F00F01_65歳未満以上[[#All],[列1]],0),MATCH($AO$3,年齢階層×在院期間区分F00F01_65歳未満以上[#Headers],0)),0)</f>
        <v>1111</v>
      </c>
      <c r="D15" s="241">
        <f>IFERROR(C15/$C$13,"-")</f>
        <v>0.96273830155979201</v>
      </c>
      <c r="E15" s="239">
        <f>IFERROR(INDEX(年齢階層×在院期間区分F00F01_65歳未満以上[#All],MATCH($AK15,年齢階層×在院期間区分F00F01_65歳未満以上[[#All],[列1]],0),MATCH($AP$3,年齢階層×在院期間区分F00F01_65歳未満以上[#Headers],0)),0)+IFERROR(INDEX(年齢階層×在院期間区分F00F01_65歳未満以上[#All],MATCH($AK15,年齢階層×在院期間区分F00F01_65歳未満以上[[#All],[列1]],0),MATCH($AQ$3,年齢階層×在院期間区分F00F01_65歳未満以上[#Headers],0)),0)+IFERROR(INDEX(年齢階層×在院期間区分F00F01_65歳未満以上[#All],MATCH($AK15,年齢階層×在院期間区分F00F01_65歳未満以上[[#All],[列1]],0),MATCH($AR$3,年齢階層×在院期間区分F00F01_65歳未満以上[#Headers],0)),0)+IFERROR(INDEX(年齢階層×在院期間区分F00F01_65歳未満以上[#All],MATCH($AK15,年齢階層×在院期間区分F00F01_65歳未満以上[[#All],[列1]],0),MATCH($AS$3,年齢階層×在院期間区分F00F01_65歳未満以上[#Headers],0)),0)+IFERROR(INDEX(年齢階層×在院期間区分F00F01_65歳未満以上[#All],MATCH($AK15,年齢階層×在院期間区分F00F01_65歳未満以上[[#All],[列1]],0),MATCH($AT$3,年齢階層×在院期間区分F00F01_65歳未満以上[#Headers],0)),0)</f>
        <v>907</v>
      </c>
      <c r="F15" s="241">
        <f>IFERROR(E15/$E$13,"-")</f>
        <v>0.97109207708779444</v>
      </c>
      <c r="G15" s="239">
        <f>IFERROR(INDEX(年齢階層×在院期間区分F00F01_65歳未満以上[#All],MATCH($AK15,年齢階層×在院期間区分F00F01_65歳未満以上[[#All],[列1]],0),MATCH($AU$3,年齢階層×在院期間区分F00F01_65歳未満以上[#Headers],0)),0)+IFERROR(INDEX(年齢階層×在院期間区分F00F01_65歳未満以上[#All],MATCH($AK15,年齢階層×在院期間区分F00F01_65歳未満以上[[#All],[列1]],0),MATCH($AV$3,年齢階層×在院期間区分F00F01_65歳未満以上[#Headers],0)),0)+IFERROR(INDEX(年齢階層×在院期間区分F00F01_65歳未満以上[#All],MATCH($AK15,年齢階層×在院期間区分F00F01_65歳未満以上[[#All],[列1]],0),MATCH($AW$3,年齢階層×在院期間区分F00F01_65歳未満以上[#Headers],0)),0)+IFERROR(INDEX(年齢階層×在院期間区分F00F01_65歳未満以上[#All],MATCH($AK15,年齢階層×在院期間区分F00F01_65歳未満以上[[#All],[列1]],0),MATCH($AX$3,年齢階層×在院期間区分F00F01_65歳未満以上[#Headers],0)),0)+IFERROR(INDEX(年齢階層×在院期間区分F00F01_65歳未満以上[#All],MATCH($AK15,年齢階層×在院期間区分F00F01_65歳未満以上[[#All],[列1]],0),MATCH($AY$3,年齢階層×在院期間区分F00F01_65歳未満以上[#Headers],0)),0)</f>
        <v>188</v>
      </c>
      <c r="H15" s="241">
        <f>IFERROR(G15/$G$13,"-")</f>
        <v>0.98947368421052628</v>
      </c>
      <c r="I15" s="239">
        <f>IFERROR(INDEX(年齢階層×在院期間区分F00F01_65歳未満以上[#All],MATCH($AK15,年齢階層×在院期間区分F00F01_65歳未満以上[[#All],[列1]],0),MATCH($AZ$3,年齢階層×在院期間区分F00F01_65歳未満以上[#Headers],0)),0)+IFERROR(INDEX(年齢階層×在院期間区分F00F01_65歳未満以上[#All],MATCH($AK15,年齢階層×在院期間区分F00F01_65歳未満以上[[#All],[列1]],0),MATCH($BA$3,年齢階層×在院期間区分F00F01_65歳未満以上[#Headers],0)),0)</f>
        <v>70</v>
      </c>
      <c r="J15" s="241">
        <f>IFERROR(I15/$I$13,"-")</f>
        <v>0.94594594594594594</v>
      </c>
      <c r="K15" s="239">
        <f>C15+E15+G15+I15</f>
        <v>2276</v>
      </c>
      <c r="L15" s="241">
        <f>IFERROR(K15/$K$13,"-")</f>
        <v>0.96768707482993199</v>
      </c>
      <c r="O15" s="83" t="s">
        <v>308</v>
      </c>
      <c r="P15" s="66">
        <v>210</v>
      </c>
      <c r="Q15" s="66">
        <v>277</v>
      </c>
      <c r="R15" s="66">
        <v>276</v>
      </c>
      <c r="S15" s="66">
        <v>348</v>
      </c>
      <c r="T15" s="66">
        <v>248</v>
      </c>
      <c r="U15" s="66">
        <v>172</v>
      </c>
      <c r="V15" s="66">
        <v>237</v>
      </c>
      <c r="W15" s="66">
        <v>173</v>
      </c>
      <c r="X15" s="66">
        <v>77</v>
      </c>
      <c r="Y15" s="66">
        <v>54</v>
      </c>
      <c r="Z15" s="66">
        <v>51</v>
      </c>
      <c r="AA15" s="66">
        <v>37</v>
      </c>
      <c r="AB15" s="66">
        <v>23</v>
      </c>
      <c r="AC15" s="66">
        <v>23</v>
      </c>
      <c r="AD15" s="66">
        <v>54</v>
      </c>
      <c r="AE15" s="66">
        <v>16</v>
      </c>
      <c r="AK15" s="83" t="s">
        <v>88</v>
      </c>
    </row>
    <row r="16" spans="2:53" ht="18.75" customHeight="1" x14ac:dyDescent="0.15"/>
    <row r="17" spans="2:41" ht="18.75" customHeight="1" x14ac:dyDescent="0.15">
      <c r="B17" s="2" t="s">
        <v>165</v>
      </c>
    </row>
    <row r="18" spans="2:41" ht="18.75" customHeight="1" thickBot="1" x14ac:dyDescent="0.2">
      <c r="B18" s="688" t="s">
        <v>65</v>
      </c>
      <c r="C18" s="690" t="s">
        <v>64</v>
      </c>
      <c r="D18" s="691"/>
      <c r="E18" s="691"/>
      <c r="F18" s="691"/>
      <c r="G18" s="691"/>
      <c r="H18" s="691"/>
      <c r="I18" s="691"/>
      <c r="J18" s="691"/>
      <c r="K18" s="691"/>
      <c r="L18" s="692"/>
      <c r="O18" s="34" t="s">
        <v>63</v>
      </c>
    </row>
    <row r="19" spans="2:41" ht="18.75" customHeight="1" thickTop="1" thickBot="1" x14ac:dyDescent="0.2">
      <c r="B19" s="689"/>
      <c r="C19" s="693" t="s">
        <v>69</v>
      </c>
      <c r="D19" s="694"/>
      <c r="E19" s="693" t="s">
        <v>70</v>
      </c>
      <c r="F19" s="694"/>
      <c r="G19" s="693" t="s">
        <v>71</v>
      </c>
      <c r="H19" s="694"/>
      <c r="I19" s="693" t="s">
        <v>72</v>
      </c>
      <c r="J19" s="694"/>
      <c r="K19" s="693" t="s">
        <v>62</v>
      </c>
      <c r="L19" s="694"/>
      <c r="O19" s="430" t="s">
        <v>371</v>
      </c>
      <c r="P19" s="504" t="s">
        <v>183</v>
      </c>
      <c r="Q19" s="504" t="s">
        <v>184</v>
      </c>
      <c r="R19" s="504" t="s">
        <v>185</v>
      </c>
      <c r="S19" s="504" t="s">
        <v>186</v>
      </c>
      <c r="T19" s="504" t="s">
        <v>187</v>
      </c>
      <c r="U19" s="504" t="s">
        <v>188</v>
      </c>
      <c r="V19" s="504" t="s">
        <v>189</v>
      </c>
      <c r="W19" s="504" t="s">
        <v>190</v>
      </c>
      <c r="X19" s="504" t="s">
        <v>191</v>
      </c>
      <c r="Y19" s="488" t="s">
        <v>192</v>
      </c>
      <c r="Z19" s="488" t="s">
        <v>194</v>
      </c>
      <c r="AA19" s="504" t="s">
        <v>195</v>
      </c>
      <c r="AB19" s="504" t="s">
        <v>364</v>
      </c>
      <c r="AC19" s="504" t="s">
        <v>365</v>
      </c>
      <c r="AD19" s="504" t="s">
        <v>366</v>
      </c>
      <c r="AE19" s="56" t="s">
        <v>369</v>
      </c>
    </row>
    <row r="20" spans="2:41" s="22" customFormat="1" ht="18.75" customHeight="1" thickTop="1" x14ac:dyDescent="0.15">
      <c r="B20" s="228" t="s">
        <v>2</v>
      </c>
      <c r="C20" s="229">
        <f>IFERROR(INDEX(年齢階層×在院期間区分F00F01＿寛解・院内寛解[#All],MATCH($AK4,年齢階層×在院期間区分F00F01＿寛解・院内寛解[[#All],[行ラベル]],0),MATCH($AL$3,年齢階層×在院期間区分F00F01＿寛解・院内寛解[#Headers],0)),0)+IFERROR(INDEX(年齢階層×在院期間区分F00F01＿寛解・院内寛解[#All],MATCH($AK4,年齢階層×在院期間区分F00F01＿寛解・院内寛解[[#All],[行ラベル]],0),MATCH($AM$3,年齢階層×在院期間区分F00F01＿寛解・院内寛解[#Headers],0)),0)+IFERROR(INDEX(年齢階層×在院期間区分F00F01＿寛解・院内寛解[#All],MATCH($AK4,年齢階層×在院期間区分F00F01＿寛解・院内寛解[[#All],[行ラベル]],0),MATCH($AN$3,年齢階層×在院期間区分F00F01＿寛解・院内寛解[#Headers],0)),0)+IFERROR(INDEX(年齢階層×在院期間区分F00F01＿寛解・院内寛解[#All],MATCH($AK4,年齢階層×在院期間区分F00F01＿寛解・院内寛解[[#All],[行ラベル]],0),MATCH($AO$3,年齢階層×在院期間区分F00F01＿寛解・院内寛解[#Headers],0)),0)</f>
        <v>0</v>
      </c>
      <c r="D20" s="242">
        <f t="shared" ref="D20:D28" si="7">IFERROR(C20/$C$29,"-")</f>
        <v>0</v>
      </c>
      <c r="E20" s="229">
        <f>IFERROR(INDEX(年齢階層×在院期間区分F00F01＿寛解・院内寛解[#All],MATCH($AK4,年齢階層×在院期間区分F00F01＿寛解・院内寛解[[#All],[行ラベル]],0),MATCH($AP$3,年齢階層×在院期間区分F00F01＿寛解・院内寛解[#Headers],0)),0)+IFERROR(INDEX(年齢階層×在院期間区分F00F01＿寛解・院内寛解[#All],MATCH($AK4,年齢階層×在院期間区分F00F01＿寛解・院内寛解[[#All],[行ラベル]],0),MATCH($AQ$3,年齢階層×在院期間区分F00F01＿寛解・院内寛解[#Headers],0)),0)+IFERROR(INDEX(年齢階層×在院期間区分F00F01＿寛解・院内寛解[#All],MATCH($AK4,年齢階層×在院期間区分F00F01＿寛解・院内寛解[[#All],[行ラベル]],0),MATCH($AR$3,年齢階層×在院期間区分F00F01＿寛解・院内寛解[#Headers],0)),0)+IFERROR(INDEX(年齢階層×在院期間区分F00F01＿寛解・院内寛解[#All],MATCH($AK4,年齢階層×在院期間区分F00F01＿寛解・院内寛解[[#All],[行ラベル]],0),MATCH($AS$3,年齢階層×在院期間区分F00F01＿寛解・院内寛解[#Headers],0)),0)+IFERROR(INDEX(年齢階層×在院期間区分F00F01＿寛解・院内寛解[#All],MATCH($AK4,年齢階層×在院期間区分F00F01＿寛解・院内寛解[[#All],[行ラベル]],0),MATCH($AT$3,年齢階層×在院期間区分F00F01＿寛解・院内寛解[#Headers],0)),0)</f>
        <v>0</v>
      </c>
      <c r="F20" s="242">
        <f t="shared" ref="F20:F28" si="8">IFERROR(E20/$E$29,"-")</f>
        <v>0</v>
      </c>
      <c r="G20" s="223">
        <f>IFERROR(INDEX(年齢階層×在院期間区分F00F01＿寛解・院内寛解[#All],MATCH($AK4,年齢階層×在院期間区分F00F01＿寛解・院内寛解[[#All],[行ラベル]],0),MATCH($AU$3,年齢階層×在院期間区分F00F01＿寛解・院内寛解[#Headers],0)),0)+IFERROR(INDEX(年齢階層×在院期間区分F00F01＿寛解・院内寛解[#All],MATCH($AK4,年齢階層×在院期間区分F00F01＿寛解・院内寛解[[#All],[行ラベル]],0),MATCH($AV$3,年齢階層×在院期間区分F00F01＿寛解・院内寛解[#Headers],0)),0)+IFERROR(INDEX(年齢階層×在院期間区分F00F01＿寛解・院内寛解[#All],MATCH($AK4,年齢階層×在院期間区分F00F01＿寛解・院内寛解[[#All],[行ラベル]],0),MATCH($AW$3,年齢階層×在院期間区分F00F01＿寛解・院内寛解[#Headers],0)),0)+IFERROR(INDEX(年齢階層×在院期間区分F00F01＿寛解・院内寛解[#All],MATCH($AK4,年齢階層×在院期間区分F00F01＿寛解・院内寛解[[#All],[行ラベル]],0),MATCH($AX$3,年齢階層×在院期間区分F00F01＿寛解・院内寛解[#Headers],0)),0)+IFERROR(INDEX(年齢階層×在院期間区分F00F01＿寛解・院内寛解[#All],MATCH($AK4,年齢階層×在院期間区分F00F01＿寛解・院内寛解[[#All],[行ラベル]],0),MATCH($AY$3,年齢階層×在院期間区分F00F01＿寛解・院内寛解[#Headers],0)),0)</f>
        <v>0</v>
      </c>
      <c r="H20" s="242">
        <f t="shared" ref="H20:H28" si="9">IFERROR(G20/$G$29,"-")</f>
        <v>0</v>
      </c>
      <c r="I20" s="229">
        <f>IFERROR(INDEX(年齢階層×在院期間区分F00F01＿寛解・院内寛解[#All],MATCH($AK4,年齢階層×在院期間区分F00F01＿寛解・院内寛解[[#All],[行ラベル]],0),MATCH($AZ$3,年齢階層×在院期間区分F00F01＿寛解・院内寛解[#Headers],0)),0)+IFERROR(INDEX(年齢階層×在院期間区分F00F01＿寛解・院内寛解[#All],MATCH($AK4,年齢階層×在院期間区分F00F01＿寛解・院内寛解[[#All],[行ラベル]],0),MATCH($BA$3,年齢階層×在院期間区分F00F01＿寛解・院内寛解[#Headers],0)),0)</f>
        <v>0</v>
      </c>
      <c r="J20" s="242" t="str">
        <f t="shared" ref="J20:J28" si="10">IFERROR(I20/$I$29,"-")</f>
        <v>-</v>
      </c>
      <c r="K20" s="223">
        <f t="shared" ref="K20:K28" si="11">SUM(C20,E20,G20,I20)</f>
        <v>0</v>
      </c>
      <c r="L20" s="242">
        <f t="shared" ref="L20:L28" si="12">IFERROR(K20/$K$29,"-")</f>
        <v>0</v>
      </c>
      <c r="O20" s="54" t="s">
        <v>7</v>
      </c>
      <c r="P20" s="66">
        <v>1</v>
      </c>
      <c r="Q20" s="66">
        <v>1</v>
      </c>
      <c r="R20" s="66">
        <v>0</v>
      </c>
      <c r="S20" s="66">
        <v>1</v>
      </c>
      <c r="T20" s="66">
        <v>0</v>
      </c>
      <c r="U20" s="66">
        <v>0</v>
      </c>
      <c r="V20" s="66">
        <v>0</v>
      </c>
      <c r="W20" s="66">
        <v>0</v>
      </c>
      <c r="X20" s="66">
        <v>0</v>
      </c>
      <c r="Y20" s="66">
        <v>0</v>
      </c>
      <c r="Z20" s="66">
        <v>0</v>
      </c>
      <c r="AA20" s="66">
        <v>0</v>
      </c>
      <c r="AB20" s="66"/>
      <c r="AC20" s="66"/>
      <c r="AD20" s="66"/>
      <c r="AE20" s="66"/>
      <c r="AK20" s="54" t="s">
        <v>2</v>
      </c>
    </row>
    <row r="21" spans="2:41" s="22" customFormat="1" ht="18.75" customHeight="1" x14ac:dyDescent="0.15">
      <c r="B21" s="230" t="s">
        <v>3</v>
      </c>
      <c r="C21" s="231">
        <f>IFERROR(INDEX(年齢階層×在院期間区分F00F01＿寛解・院内寛解[#All],MATCH($AK5,年齢階層×在院期間区分F00F01＿寛解・院内寛解[[#All],[行ラベル]],0),MATCH($AL$3,年齢階層×在院期間区分F00F01＿寛解・院内寛解[#Headers],0)),0)+IFERROR(INDEX(年齢階層×在院期間区分F00F01＿寛解・院内寛解[#All],MATCH($AK5,年齢階層×在院期間区分F00F01＿寛解・院内寛解[[#All],[行ラベル]],0),MATCH($AM$3,年齢階層×在院期間区分F00F01＿寛解・院内寛解[#Headers],0)),0)+IFERROR(INDEX(年齢階層×在院期間区分F00F01＿寛解・院内寛解[#All],MATCH($AK5,年齢階層×在院期間区分F00F01＿寛解・院内寛解[[#All],[行ラベル]],0),MATCH($AN$3,年齢階層×在院期間区分F00F01＿寛解・院内寛解[#Headers],0)),0)+IFERROR(INDEX(年齢階層×在院期間区分F00F01＿寛解・院内寛解[#All],MATCH($AK5,年齢階層×在院期間区分F00F01＿寛解・院内寛解[[#All],[行ラベル]],0),MATCH($AO$3,年齢階層×在院期間区分F00F01＿寛解・院内寛解[#Headers],0)),0)</f>
        <v>0</v>
      </c>
      <c r="D21" s="209">
        <f t="shared" si="7"/>
        <v>0</v>
      </c>
      <c r="E21" s="231">
        <f>IFERROR(INDEX(年齢階層×在院期間区分F00F01＿寛解・院内寛解[#All],MATCH($AK5,年齢階層×在院期間区分F00F01＿寛解・院内寛解[[#All],[行ラベル]],0),MATCH($AP$3,年齢階層×在院期間区分F00F01＿寛解・院内寛解[#Headers],0)),0)+IFERROR(INDEX(年齢階層×在院期間区分F00F01＿寛解・院内寛解[#All],MATCH($AK5,年齢階層×在院期間区分F00F01＿寛解・院内寛解[[#All],[行ラベル]],0),MATCH($AQ$3,年齢階層×在院期間区分F00F01＿寛解・院内寛解[#Headers],0)),0)+IFERROR(INDEX(年齢階層×在院期間区分F00F01＿寛解・院内寛解[#All],MATCH($AK5,年齢階層×在院期間区分F00F01＿寛解・院内寛解[[#All],[行ラベル]],0),MATCH($AR$3,年齢階層×在院期間区分F00F01＿寛解・院内寛解[#Headers],0)),0)+IFERROR(INDEX(年齢階層×在院期間区分F00F01＿寛解・院内寛解[#All],MATCH($AK5,年齢階層×在院期間区分F00F01＿寛解・院内寛解[[#All],[行ラベル]],0),MATCH($AS$3,年齢階層×在院期間区分F00F01＿寛解・院内寛解[#Headers],0)),0)+IFERROR(INDEX(年齢階層×在院期間区分F00F01＿寛解・院内寛解[#All],MATCH($AK5,年齢階層×在院期間区分F00F01＿寛解・院内寛解[[#All],[行ラベル]],0),MATCH($AT$3,年齢階層×在院期間区分F00F01＿寛解・院内寛解[#Headers],0)),0)</f>
        <v>0</v>
      </c>
      <c r="F21" s="209">
        <f t="shared" si="8"/>
        <v>0</v>
      </c>
      <c r="G21" s="208">
        <f>IFERROR(INDEX(年齢階層×在院期間区分F00F01＿寛解・院内寛解[#All],MATCH($AK5,年齢階層×在院期間区分F00F01＿寛解・院内寛解[[#All],[行ラベル]],0),MATCH($AU$3,年齢階層×在院期間区分F00F01＿寛解・院内寛解[#Headers],0)),0)+IFERROR(INDEX(年齢階層×在院期間区分F00F01＿寛解・院内寛解[#All],MATCH($AK5,年齢階層×在院期間区分F00F01＿寛解・院内寛解[[#All],[行ラベル]],0),MATCH($AV$3,年齢階層×在院期間区分F00F01＿寛解・院内寛解[#Headers],0)),0)+IFERROR(INDEX(年齢階層×在院期間区分F00F01＿寛解・院内寛解[#All],MATCH($AK5,年齢階層×在院期間区分F00F01＿寛解・院内寛解[[#All],[行ラベル]],0),MATCH($AW$3,年齢階層×在院期間区分F00F01＿寛解・院内寛解[#Headers],0)),0)+IFERROR(INDEX(年齢階層×在院期間区分F00F01＿寛解・院内寛解[#All],MATCH($AK5,年齢階層×在院期間区分F00F01＿寛解・院内寛解[[#All],[行ラベル]],0),MATCH($AX$3,年齢階層×在院期間区分F00F01＿寛解・院内寛解[#Headers],0)),0)+IFERROR(INDEX(年齢階層×在院期間区分F00F01＿寛解・院内寛解[#All],MATCH($AK5,年齢階層×在院期間区分F00F01＿寛解・院内寛解[[#All],[行ラベル]],0),MATCH($AY$3,年齢階層×在院期間区分F00F01＿寛解・院内寛解[#Headers],0)),0)</f>
        <v>0</v>
      </c>
      <c r="H21" s="209">
        <f t="shared" si="9"/>
        <v>0</v>
      </c>
      <c r="I21" s="231">
        <f>IFERROR(INDEX(年齢階層×在院期間区分F00F01＿寛解・院内寛解[#All],MATCH($AK5,年齢階層×在院期間区分F00F01＿寛解・院内寛解[[#All],[行ラベル]],0),MATCH($AZ$3,年齢階層×在院期間区分F00F01＿寛解・院内寛解[#Headers],0)),0)+IFERROR(INDEX(年齢階層×在院期間区分F00F01＿寛解・院内寛解[#All],MATCH($AK5,年齢階層×在院期間区分F00F01＿寛解・院内寛解[[#All],[行ラベル]],0),MATCH($BA$3,年齢階層×在院期間区分F00F01＿寛解・院内寛解[#Headers],0)),0)</f>
        <v>0</v>
      </c>
      <c r="J21" s="209" t="str">
        <f t="shared" si="10"/>
        <v>-</v>
      </c>
      <c r="K21" s="208">
        <f t="shared" si="11"/>
        <v>0</v>
      </c>
      <c r="L21" s="209">
        <f t="shared" si="12"/>
        <v>0</v>
      </c>
      <c r="O21" s="54" t="s">
        <v>8</v>
      </c>
      <c r="P21" s="66">
        <v>2</v>
      </c>
      <c r="Q21" s="66">
        <v>10</v>
      </c>
      <c r="R21" s="66">
        <v>3</v>
      </c>
      <c r="S21" s="66">
        <v>3</v>
      </c>
      <c r="T21" s="66">
        <v>4</v>
      </c>
      <c r="U21" s="66">
        <v>1</v>
      </c>
      <c r="V21" s="66">
        <v>1</v>
      </c>
      <c r="W21" s="66">
        <v>0</v>
      </c>
      <c r="X21" s="66">
        <v>0</v>
      </c>
      <c r="Y21" s="66">
        <v>0</v>
      </c>
      <c r="Z21" s="66">
        <v>0</v>
      </c>
      <c r="AA21" s="66">
        <v>1</v>
      </c>
      <c r="AB21" s="66"/>
      <c r="AC21" s="66"/>
      <c r="AD21" s="66"/>
      <c r="AE21" s="66"/>
      <c r="AK21" s="54" t="s">
        <v>3</v>
      </c>
    </row>
    <row r="22" spans="2:41" s="22" customFormat="1" ht="18.75" customHeight="1" x14ac:dyDescent="0.15">
      <c r="B22" s="230" t="s">
        <v>4</v>
      </c>
      <c r="C22" s="208">
        <f>IFERROR(INDEX(年齢階層×在院期間区分F00F01＿寛解・院内寛解[#All],MATCH($AK6,年齢階層×在院期間区分F00F01＿寛解・院内寛解[[#All],[行ラベル]],0),MATCH($AL$3,年齢階層×在院期間区分F00F01＿寛解・院内寛解[#Headers],0)),0)+IFERROR(INDEX(年齢階層×在院期間区分F00F01＿寛解・院内寛解[#All],MATCH($AK6,年齢階層×在院期間区分F00F01＿寛解・院内寛解[[#All],[行ラベル]],0),MATCH($AM$3,年齢階層×在院期間区分F00F01＿寛解・院内寛解[#Headers],0)),0)+IFERROR(INDEX(年齢階層×在院期間区分F00F01＿寛解・院内寛解[#All],MATCH($AK6,年齢階層×在院期間区分F00F01＿寛解・院内寛解[[#All],[行ラベル]],0),MATCH($AN$3,年齢階層×在院期間区分F00F01＿寛解・院内寛解[#Headers],0)),0)+IFERROR(INDEX(年齢階層×在院期間区分F00F01＿寛解・院内寛解[#All],MATCH($AK6,年齢階層×在院期間区分F00F01＿寛解・院内寛解[[#All],[行ラベル]],0),MATCH($AO$3,年齢階層×在院期間区分F00F01＿寛解・院内寛解[#Headers],0)),0)</f>
        <v>0</v>
      </c>
      <c r="D22" s="209">
        <f t="shared" si="7"/>
        <v>0</v>
      </c>
      <c r="E22" s="231">
        <f>IFERROR(INDEX(年齢階層×在院期間区分F00F01＿寛解・院内寛解[#All],MATCH($AK6,年齢階層×在院期間区分F00F01＿寛解・院内寛解[[#All],[行ラベル]],0),MATCH($AP$3,年齢階層×在院期間区分F00F01＿寛解・院内寛解[#Headers],0)),0)+IFERROR(INDEX(年齢階層×在院期間区分F00F01＿寛解・院内寛解[#All],MATCH($AK6,年齢階層×在院期間区分F00F01＿寛解・院内寛解[[#All],[行ラベル]],0),MATCH($AQ$3,年齢階層×在院期間区分F00F01＿寛解・院内寛解[#Headers],0)),0)+IFERROR(INDEX(年齢階層×在院期間区分F00F01＿寛解・院内寛解[#All],MATCH($AK6,年齢階層×在院期間区分F00F01＿寛解・院内寛解[[#All],[行ラベル]],0),MATCH($AR$3,年齢階層×在院期間区分F00F01＿寛解・院内寛解[#Headers],0)),0)+IFERROR(INDEX(年齢階層×在院期間区分F00F01＿寛解・院内寛解[#All],MATCH($AK6,年齢階層×在院期間区分F00F01＿寛解・院内寛解[[#All],[行ラベル]],0),MATCH($AS$3,年齢階層×在院期間区分F00F01＿寛解・院内寛解[#Headers],0)),0)+IFERROR(INDEX(年齢階層×在院期間区分F00F01＿寛解・院内寛解[#All],MATCH($AK6,年齢階層×在院期間区分F00F01＿寛解・院内寛解[[#All],[行ラベル]],0),MATCH($AT$3,年齢階層×在院期間区分F00F01＿寛解・院内寛解[#Headers],0)),0)</f>
        <v>0</v>
      </c>
      <c r="F22" s="209">
        <f t="shared" si="8"/>
        <v>0</v>
      </c>
      <c r="G22" s="232">
        <f>IFERROR(INDEX(年齢階層×在院期間区分F00F01＿寛解・院内寛解[#All],MATCH($AK6,年齢階層×在院期間区分F00F01＿寛解・院内寛解[[#All],[行ラベル]],0),MATCH($AU$3,年齢階層×在院期間区分F00F01＿寛解・院内寛解[#Headers],0)),0)+IFERROR(INDEX(年齢階層×在院期間区分F00F01＿寛解・院内寛解[#All],MATCH($AK6,年齢階層×在院期間区分F00F01＿寛解・院内寛解[[#All],[行ラベル]],0),MATCH($AV$3,年齢階層×在院期間区分F00F01＿寛解・院内寛解[#Headers],0)),0)+IFERROR(INDEX(年齢階層×在院期間区分F00F01＿寛解・院内寛解[#All],MATCH($AK6,年齢階層×在院期間区分F00F01＿寛解・院内寛解[[#All],[行ラベル]],0),MATCH($AW$3,年齢階層×在院期間区分F00F01＿寛解・院内寛解[#Headers],0)),0)+IFERROR(INDEX(年齢階層×在院期間区分F00F01＿寛解・院内寛解[#All],MATCH($AK6,年齢階層×在院期間区分F00F01＿寛解・院内寛解[[#All],[行ラベル]],0),MATCH($AX$3,年齢階層×在院期間区分F00F01＿寛解・院内寛解[#Headers],0)),0)+IFERROR(INDEX(年齢階層×在院期間区分F00F01＿寛解・院内寛解[#All],MATCH($AK6,年齢階層×在院期間区分F00F01＿寛解・院内寛解[[#All],[行ラベル]],0),MATCH($AY$3,年齢階層×在院期間区分F00F01＿寛解・院内寛解[#Headers],0)),0)</f>
        <v>0</v>
      </c>
      <c r="H22" s="209">
        <f t="shared" si="9"/>
        <v>0</v>
      </c>
      <c r="I22" s="208">
        <f>IFERROR(INDEX(年齢階層×在院期間区分F00F01＿寛解・院内寛解[#All],MATCH($AK6,年齢階層×在院期間区分F00F01＿寛解・院内寛解[[#All],[行ラベル]],0),MATCH($AZ$3,年齢階層×在院期間区分F00F01＿寛解・院内寛解[#Headers],0)),0)+IFERROR(INDEX(年齢階層×在院期間区分F00F01＿寛解・院内寛解[#All],MATCH($AK6,年齢階層×在院期間区分F00F01＿寛解・院内寛解[[#All],[行ラベル]],0),MATCH($BA$3,年齢階層×在院期間区分F00F01＿寛解・院内寛解[#Headers],0)),0)</f>
        <v>0</v>
      </c>
      <c r="J22" s="209" t="str">
        <f t="shared" si="10"/>
        <v>-</v>
      </c>
      <c r="K22" s="208">
        <f t="shared" si="11"/>
        <v>0</v>
      </c>
      <c r="L22" s="209">
        <f t="shared" si="12"/>
        <v>0</v>
      </c>
      <c r="O22" s="54" t="s">
        <v>9</v>
      </c>
      <c r="P22" s="66">
        <v>6</v>
      </c>
      <c r="Q22" s="66">
        <v>11</v>
      </c>
      <c r="R22" s="66">
        <v>6</v>
      </c>
      <c r="S22" s="66">
        <v>9</v>
      </c>
      <c r="T22" s="66">
        <v>5</v>
      </c>
      <c r="U22" s="66">
        <v>0</v>
      </c>
      <c r="V22" s="66">
        <v>7</v>
      </c>
      <c r="W22" s="66">
        <v>4</v>
      </c>
      <c r="X22" s="66">
        <v>1</v>
      </c>
      <c r="Y22" s="66">
        <v>1</v>
      </c>
      <c r="Z22" s="66">
        <v>1</v>
      </c>
      <c r="AA22" s="66">
        <v>0</v>
      </c>
      <c r="AB22" s="66"/>
      <c r="AC22" s="66"/>
      <c r="AD22" s="66"/>
      <c r="AE22" s="66"/>
      <c r="AK22" s="54" t="s">
        <v>4</v>
      </c>
    </row>
    <row r="23" spans="2:41" s="22" customFormat="1" ht="18.75" customHeight="1" x14ac:dyDescent="0.15">
      <c r="B23" s="230" t="s">
        <v>5</v>
      </c>
      <c r="C23" s="208">
        <f>IFERROR(INDEX(年齢階層×在院期間区分F00F01＿寛解・院内寛解[#All],MATCH($AK7,年齢階層×在院期間区分F00F01＿寛解・院内寛解[[#All],[行ラベル]],0),MATCH($AL$3,年齢階層×在院期間区分F00F01＿寛解・院内寛解[#Headers],0)),0)+IFERROR(INDEX(年齢階層×在院期間区分F00F01＿寛解・院内寛解[#All],MATCH($AK7,年齢階層×在院期間区分F00F01＿寛解・院内寛解[[#All],[行ラベル]],0),MATCH($AM$3,年齢階層×在院期間区分F00F01＿寛解・院内寛解[#Headers],0)),0)+IFERROR(INDEX(年齢階層×在院期間区分F00F01＿寛解・院内寛解[#All],MATCH($AK7,年齢階層×在院期間区分F00F01＿寛解・院内寛解[[#All],[行ラベル]],0),MATCH($AN$3,年齢階層×在院期間区分F00F01＿寛解・院内寛解[#Headers],0)),0)+IFERROR(INDEX(年齢階層×在院期間区分F00F01＿寛解・院内寛解[#All],MATCH($AK7,年齢階層×在院期間区分F00F01＿寛解・院内寛解[[#All],[行ラベル]],0),MATCH($AO$3,年齢階層×在院期間区分F00F01＿寛解・院内寛解[#Headers],0)),0)</f>
        <v>0</v>
      </c>
      <c r="D23" s="209">
        <f t="shared" si="7"/>
        <v>0</v>
      </c>
      <c r="E23" s="208">
        <f>IFERROR(INDEX(年齢階層×在院期間区分F00F01＿寛解・院内寛解[#All],MATCH($AK7,年齢階層×在院期間区分F00F01＿寛解・院内寛解[[#All],[行ラベル]],0),MATCH($AP$3,年齢階層×在院期間区分F00F01＿寛解・院内寛解[#Headers],0)),0)+IFERROR(INDEX(年齢階層×在院期間区分F00F01＿寛解・院内寛解[#All],MATCH($AK7,年齢階層×在院期間区分F00F01＿寛解・院内寛解[[#All],[行ラベル]],0),MATCH($AQ$3,年齢階層×在院期間区分F00F01＿寛解・院内寛解[#Headers],0)),0)+IFERROR(INDEX(年齢階層×在院期間区分F00F01＿寛解・院内寛解[#All],MATCH($AK7,年齢階層×在院期間区分F00F01＿寛解・院内寛解[[#All],[行ラベル]],0),MATCH($AR$3,年齢階層×在院期間区分F00F01＿寛解・院内寛解[#Headers],0)),0)+IFERROR(INDEX(年齢階層×在院期間区分F00F01＿寛解・院内寛解[#All],MATCH($AK7,年齢階層×在院期間区分F00F01＿寛解・院内寛解[[#All],[行ラベル]],0),MATCH($AS$3,年齢階層×在院期間区分F00F01＿寛解・院内寛解[#Headers],0)),0)+IFERROR(INDEX(年齢階層×在院期間区分F00F01＿寛解・院内寛解[#All],MATCH($AK7,年齢階層×在院期間区分F00F01＿寛解・院内寛解[[#All],[行ラベル]],0),MATCH($AT$3,年齢階層×在院期間区分F00F01＿寛解・院内寛解[#Headers],0)),0)</f>
        <v>0</v>
      </c>
      <c r="F23" s="209">
        <f t="shared" si="8"/>
        <v>0</v>
      </c>
      <c r="G23" s="208">
        <f>IFERROR(INDEX(年齢階層×在院期間区分F00F01＿寛解・院内寛解[#All],MATCH($AK7,年齢階層×在院期間区分F00F01＿寛解・院内寛解[[#All],[行ラベル]],0),MATCH($AU$3,年齢階層×在院期間区分F00F01＿寛解・院内寛解[#Headers],0)),0)+IFERROR(INDEX(年齢階層×在院期間区分F00F01＿寛解・院内寛解[#All],MATCH($AK7,年齢階層×在院期間区分F00F01＿寛解・院内寛解[[#All],[行ラベル]],0),MATCH($AV$3,年齢階層×在院期間区分F00F01＿寛解・院内寛解[#Headers],0)),0)+IFERROR(INDEX(年齢階層×在院期間区分F00F01＿寛解・院内寛解[#All],MATCH($AK7,年齢階層×在院期間区分F00F01＿寛解・院内寛解[[#All],[行ラベル]],0),MATCH($AW$3,年齢階層×在院期間区分F00F01＿寛解・院内寛解[#Headers],0)),0)+IFERROR(INDEX(年齢階層×在院期間区分F00F01＿寛解・院内寛解[#All],MATCH($AK7,年齢階層×在院期間区分F00F01＿寛解・院内寛解[[#All],[行ラベル]],0),MATCH($AX$3,年齢階層×在院期間区分F00F01＿寛解・院内寛解[#Headers],0)),0)+IFERROR(INDEX(年齢階層×在院期間区分F00F01＿寛解・院内寛解[#All],MATCH($AK7,年齢階層×在院期間区分F00F01＿寛解・院内寛解[[#All],[行ラベル]],0),MATCH($AY$3,年齢階層×在院期間区分F00F01＿寛解・院内寛解[#Headers],0)),0)</f>
        <v>0</v>
      </c>
      <c r="H23" s="209">
        <f t="shared" si="9"/>
        <v>0</v>
      </c>
      <c r="I23" s="208">
        <f>IFERROR(INDEX(年齢階層×在院期間区分F00F01＿寛解・院内寛解[#All],MATCH($AK7,年齢階層×在院期間区分F00F01＿寛解・院内寛解[[#All],[行ラベル]],0),MATCH($AZ$3,年齢階層×在院期間区分F00F01＿寛解・院内寛解[#Headers],0)),0)+IFERROR(INDEX(年齢階層×在院期間区分F00F01＿寛解・院内寛解[#All],MATCH($AK7,年齢階層×在院期間区分F00F01＿寛解・院内寛解[[#All],[行ラベル]],0),MATCH($BA$3,年齢階層×在院期間区分F00F01＿寛解・院内寛解[#Headers],0)),0)</f>
        <v>0</v>
      </c>
      <c r="J23" s="209" t="str">
        <f t="shared" si="10"/>
        <v>-</v>
      </c>
      <c r="K23" s="208">
        <f t="shared" si="11"/>
        <v>0</v>
      </c>
      <c r="L23" s="209">
        <f t="shared" si="12"/>
        <v>0</v>
      </c>
      <c r="O23" s="54" t="s">
        <v>10</v>
      </c>
      <c r="P23" s="66">
        <v>0</v>
      </c>
      <c r="Q23" s="66">
        <v>2</v>
      </c>
      <c r="R23" s="66">
        <v>3</v>
      </c>
      <c r="S23" s="66">
        <v>2</v>
      </c>
      <c r="T23" s="66">
        <v>1</v>
      </c>
      <c r="U23" s="66">
        <v>3</v>
      </c>
      <c r="V23" s="66">
        <v>1</v>
      </c>
      <c r="W23" s="66">
        <v>0</v>
      </c>
      <c r="X23" s="66">
        <v>0</v>
      </c>
      <c r="Y23" s="66">
        <v>1</v>
      </c>
      <c r="Z23" s="66">
        <v>0</v>
      </c>
      <c r="AA23" s="66">
        <v>1</v>
      </c>
      <c r="AB23" s="66"/>
      <c r="AC23" s="66"/>
      <c r="AD23" s="66"/>
      <c r="AE23" s="66"/>
      <c r="AK23" s="54" t="s">
        <v>5</v>
      </c>
    </row>
    <row r="24" spans="2:41" s="22" customFormat="1" ht="18.75" customHeight="1" x14ac:dyDescent="0.15">
      <c r="B24" s="230" t="s">
        <v>6</v>
      </c>
      <c r="C24" s="232">
        <f>IFERROR(INDEX(年齢階層×在院期間区分F00F01＿寛解・院内寛解[#All],MATCH($AK8,年齢階層×在院期間区分F00F01＿寛解・院内寛解[[#All],[行ラベル]],0),MATCH($AL$3,年齢階層×在院期間区分F00F01＿寛解・院内寛解[#Headers],0)),0)+IFERROR(INDEX(年齢階層×在院期間区分F00F01＿寛解・院内寛解[#All],MATCH($AK8,年齢階層×在院期間区分F00F01＿寛解・院内寛解[[#All],[行ラベル]],0),MATCH($AM$3,年齢階層×在院期間区分F00F01＿寛解・院内寛解[#Headers],0)),0)+IFERROR(INDEX(年齢階層×在院期間区分F00F01＿寛解・院内寛解[#All],MATCH($AK8,年齢階層×在院期間区分F00F01＿寛解・院内寛解[[#All],[行ラベル]],0),MATCH($AN$3,年齢階層×在院期間区分F00F01＿寛解・院内寛解[#Headers],0)),0)+IFERROR(INDEX(年齢階層×在院期間区分F00F01＿寛解・院内寛解[#All],MATCH($AK8,年齢階層×在院期間区分F00F01＿寛解・院内寛解[[#All],[行ラベル]],0),MATCH($AO$3,年齢階層×在院期間区分F00F01＿寛解・院内寛解[#Headers],0)),0)</f>
        <v>0</v>
      </c>
      <c r="D24" s="209">
        <f t="shared" si="7"/>
        <v>0</v>
      </c>
      <c r="E24" s="208">
        <f>IFERROR(INDEX(年齢階層×在院期間区分F00F01＿寛解・院内寛解[#All],MATCH($AK8,年齢階層×在院期間区分F00F01＿寛解・院内寛解[[#All],[行ラベル]],0),MATCH($AP$3,年齢階層×在院期間区分F00F01＿寛解・院内寛解[#Headers],0)),0)+IFERROR(INDEX(年齢階層×在院期間区分F00F01＿寛解・院内寛解[#All],MATCH($AK8,年齢階層×在院期間区分F00F01＿寛解・院内寛解[[#All],[行ラベル]],0),MATCH($AQ$3,年齢階層×在院期間区分F00F01＿寛解・院内寛解[#Headers],0)),0)+IFERROR(INDEX(年齢階層×在院期間区分F00F01＿寛解・院内寛解[#All],MATCH($AK8,年齢階層×在院期間区分F00F01＿寛解・院内寛解[[#All],[行ラベル]],0),MATCH($AR$3,年齢階層×在院期間区分F00F01＿寛解・院内寛解[#Headers],0)),0)+IFERROR(INDEX(年齢階層×在院期間区分F00F01＿寛解・院内寛解[#All],MATCH($AK8,年齢階層×在院期間区分F00F01＿寛解・院内寛解[[#All],[行ラベル]],0),MATCH($AS$3,年齢階層×在院期間区分F00F01＿寛解・院内寛解[#Headers],0)),0)+IFERROR(INDEX(年齢階層×在院期間区分F00F01＿寛解・院内寛解[#All],MATCH($AK8,年齢階層×在院期間区分F00F01＿寛解・院内寛解[[#All],[行ラベル]],0),MATCH($AT$3,年齢階層×在院期間区分F00F01＿寛解・院内寛解[#Headers],0)),0)</f>
        <v>0</v>
      </c>
      <c r="F24" s="209">
        <f t="shared" si="8"/>
        <v>0</v>
      </c>
      <c r="G24" s="232">
        <f>IFERROR(INDEX(年齢階層×在院期間区分F00F01＿寛解・院内寛解[#All],MATCH($AK8,年齢階層×在院期間区分F00F01＿寛解・院内寛解[[#All],[行ラベル]],0),MATCH($AU$3,年齢階層×在院期間区分F00F01＿寛解・院内寛解[#Headers],0)),0)+IFERROR(INDEX(年齢階層×在院期間区分F00F01＿寛解・院内寛解[#All],MATCH($AK8,年齢階層×在院期間区分F00F01＿寛解・院内寛解[[#All],[行ラベル]],0),MATCH($AV$3,年齢階層×在院期間区分F00F01＿寛解・院内寛解[#Headers],0)),0)+IFERROR(INDEX(年齢階層×在院期間区分F00F01＿寛解・院内寛解[#All],MATCH($AK8,年齢階層×在院期間区分F00F01＿寛解・院内寛解[[#All],[行ラベル]],0),MATCH($AW$3,年齢階層×在院期間区分F00F01＿寛解・院内寛解[#Headers],0)),0)+IFERROR(INDEX(年齢階層×在院期間区分F00F01＿寛解・院内寛解[#All],MATCH($AK8,年齢階層×在院期間区分F00F01＿寛解・院内寛解[[#All],[行ラベル]],0),MATCH($AX$3,年齢階層×在院期間区分F00F01＿寛解・院内寛解[#Headers],0)),0)+IFERROR(INDEX(年齢階層×在院期間区分F00F01＿寛解・院内寛解[#All],MATCH($AK8,年齢階層×在院期間区分F00F01＿寛解・院内寛解[[#All],[行ラベル]],0),MATCH($AY$3,年齢階層×在院期間区分F00F01＿寛解・院内寛解[#Headers],0)),0)</f>
        <v>0</v>
      </c>
      <c r="H24" s="209">
        <f t="shared" si="9"/>
        <v>0</v>
      </c>
      <c r="I24" s="208">
        <f>IFERROR(INDEX(年齢階層×在院期間区分F00F01＿寛解・院内寛解[#All],MATCH($AK8,年齢階層×在院期間区分F00F01＿寛解・院内寛解[[#All],[行ラベル]],0),MATCH($AZ$3,年齢階層×在院期間区分F00F01＿寛解・院内寛解[#Headers],0)),0)+IFERROR(INDEX(年齢階層×在院期間区分F00F01＿寛解・院内寛解[#All],MATCH($AK8,年齢階層×在院期間区分F00F01＿寛解・院内寛解[[#All],[行ラベル]],0),MATCH($BA$3,年齢階層×在院期間区分F00F01＿寛解・院内寛解[#Headers],0)),0)</f>
        <v>0</v>
      </c>
      <c r="J24" s="209" t="str">
        <f t="shared" si="10"/>
        <v>-</v>
      </c>
      <c r="K24" s="208">
        <f t="shared" si="11"/>
        <v>0</v>
      </c>
      <c r="L24" s="209">
        <f t="shared" si="12"/>
        <v>0</v>
      </c>
      <c r="O24" s="54"/>
      <c r="P24" s="66"/>
      <c r="Q24" s="66"/>
      <c r="R24" s="66"/>
      <c r="S24" s="66"/>
      <c r="T24" s="66"/>
      <c r="U24" s="66"/>
      <c r="V24" s="66"/>
      <c r="W24" s="66"/>
      <c r="X24" s="66"/>
      <c r="Y24" s="66"/>
      <c r="Z24" s="66"/>
      <c r="AA24" s="66"/>
      <c r="AB24" s="66"/>
      <c r="AC24" s="66"/>
      <c r="AD24" s="66"/>
      <c r="AE24" s="66"/>
      <c r="AK24" s="54" t="s">
        <v>6</v>
      </c>
    </row>
    <row r="25" spans="2:41" s="22" customFormat="1" ht="18.75" customHeight="1" x14ac:dyDescent="0.15">
      <c r="B25" s="230" t="s">
        <v>7</v>
      </c>
      <c r="C25" s="231">
        <f>IFERROR(INDEX(年齢階層×在院期間区分F00F01＿寛解・院内寛解[#All],MATCH($AK9,年齢階層×在院期間区分F00F01＿寛解・院内寛解[[#All],[行ラベル]],0),MATCH($AL$3,年齢階層×在院期間区分F00F01＿寛解・院内寛解[#Headers],0)),0)+IFERROR(INDEX(年齢階層×在院期間区分F00F01＿寛解・院内寛解[#All],MATCH($AK9,年齢階層×在院期間区分F00F01＿寛解・院内寛解[[#All],[行ラベル]],0),MATCH($AM$3,年齢階層×在院期間区分F00F01＿寛解・院内寛解[#Headers],0)),0)+IFERROR(INDEX(年齢階層×在院期間区分F00F01＿寛解・院内寛解[#All],MATCH($AK9,年齢階層×在院期間区分F00F01＿寛解・院内寛解[[#All],[行ラベル]],0),MATCH($AN$3,年齢階層×在院期間区分F00F01＿寛解・院内寛解[#Headers],0)),0)+IFERROR(INDEX(年齢階層×在院期間区分F00F01＿寛解・院内寛解[#All],MATCH($AK9,年齢階層×在院期間区分F00F01＿寛解・院内寛解[[#All],[行ラベル]],0),MATCH($AO$3,年齢階層×在院期間区分F00F01＿寛解・院内寛解[#Headers],0)),0)</f>
        <v>3</v>
      </c>
      <c r="D25" s="209">
        <f t="shared" si="7"/>
        <v>0.05</v>
      </c>
      <c r="E25" s="208">
        <f>IFERROR(INDEX(年齢階層×在院期間区分F00F01＿寛解・院内寛解[#All],MATCH($AK9,年齢階層×在院期間区分F00F01＿寛解・院内寛解[[#All],[行ラベル]],0),MATCH($AP$3,年齢階層×在院期間区分F00F01＿寛解・院内寛解[#Headers],0)),0)+IFERROR(INDEX(年齢階層×在院期間区分F00F01＿寛解・院内寛解[#All],MATCH($AK9,年齢階層×在院期間区分F00F01＿寛解・院内寛解[[#All],[行ラベル]],0),MATCH($AQ$3,年齢階層×在院期間区分F00F01＿寛解・院内寛解[#Headers],0)),0)+IFERROR(INDEX(年齢階層×在院期間区分F00F01＿寛解・院内寛解[#All],MATCH($AK9,年齢階層×在院期間区分F00F01＿寛解・院内寛解[[#All],[行ラベル]],0),MATCH($AR$3,年齢階層×在院期間区分F00F01＿寛解・院内寛解[#Headers],0)),0)+IFERROR(INDEX(年齢階層×在院期間区分F00F01＿寛解・院内寛解[#All],MATCH($AK9,年齢階層×在院期間区分F00F01＿寛解・院内寛解[[#All],[行ラベル]],0),MATCH($AS$3,年齢階層×在院期間区分F00F01＿寛解・院内寛解[#Headers],0)),0)+IFERROR(INDEX(年齢階層×在院期間区分F00F01＿寛解・院内寛解[#All],MATCH($AK9,年齢階層×在院期間区分F00F01＿寛解・院内寛解[[#All],[行ラベル]],0),MATCH($AT$3,年齢階層×在院期間区分F00F01＿寛解・院内寛解[#Headers],0)),0)</f>
        <v>0</v>
      </c>
      <c r="F25" s="209">
        <f t="shared" si="8"/>
        <v>0</v>
      </c>
      <c r="G25" s="231">
        <f>IFERROR(INDEX(年齢階層×在院期間区分F00F01＿寛解・院内寛解[#All],MATCH($AK9,年齢階層×在院期間区分F00F01＿寛解・院内寛解[[#All],[行ラベル]],0),MATCH($AU$3,年齢階層×在院期間区分F00F01＿寛解・院内寛解[#Headers],0)),0)+IFERROR(INDEX(年齢階層×在院期間区分F00F01＿寛解・院内寛解[#All],MATCH($AK9,年齢階層×在院期間区分F00F01＿寛解・院内寛解[[#All],[行ラベル]],0),MATCH($AV$3,年齢階層×在院期間区分F00F01＿寛解・院内寛解[#Headers],0)),0)+IFERROR(INDEX(年齢階層×在院期間区分F00F01＿寛解・院内寛解[#All],MATCH($AK9,年齢階層×在院期間区分F00F01＿寛解・院内寛解[[#All],[行ラベル]],0),MATCH($AW$3,年齢階層×在院期間区分F00F01＿寛解・院内寛解[#Headers],0)),0)+IFERROR(INDEX(年齢階層×在院期間区分F00F01＿寛解・院内寛解[#All],MATCH($AK9,年齢階層×在院期間区分F00F01＿寛解・院内寛解[[#All],[行ラベル]],0),MATCH($AX$3,年齢階層×在院期間区分F00F01＿寛解・院内寛解[#Headers],0)),0)+IFERROR(INDEX(年齢階層×在院期間区分F00F01＿寛解・院内寛解[#All],MATCH($AK9,年齢階層×在院期間区分F00F01＿寛解・院内寛解[[#All],[行ラベル]],0),MATCH($AY$3,年齢階層×在院期間区分F00F01＿寛解・院内寛解[#Headers],0)),0)</f>
        <v>0</v>
      </c>
      <c r="H25" s="209">
        <f t="shared" si="9"/>
        <v>0</v>
      </c>
      <c r="I25" s="208">
        <f>IFERROR(INDEX(年齢階層×在院期間区分F00F01＿寛解・院内寛解[#All],MATCH($AK9,年齢階層×在院期間区分F00F01＿寛解・院内寛解[[#All],[行ラベル]],0),MATCH($AZ$3,年齢階層×在院期間区分F00F01＿寛解・院内寛解[#Headers],0)),0)+IFERROR(INDEX(年齢階層×在院期間区分F00F01＿寛解・院内寛解[#All],MATCH($AK9,年齢階層×在院期間区分F00F01＿寛解・院内寛解[[#All],[行ラベル]],0),MATCH($BA$3,年齢階層×在院期間区分F00F01＿寛解・院内寛解[#Headers],0)),0)</f>
        <v>0</v>
      </c>
      <c r="J25" s="209" t="str">
        <f t="shared" si="10"/>
        <v>-</v>
      </c>
      <c r="K25" s="208">
        <f t="shared" si="11"/>
        <v>3</v>
      </c>
      <c r="L25" s="209">
        <f t="shared" si="12"/>
        <v>3.2258064516129031E-2</v>
      </c>
      <c r="O25" s="54"/>
      <c r="P25" s="66"/>
      <c r="Q25" s="66"/>
      <c r="R25" s="66"/>
      <c r="S25" s="66"/>
      <c r="T25" s="66"/>
      <c r="U25" s="66"/>
      <c r="V25" s="66"/>
      <c r="W25" s="66"/>
      <c r="X25" s="66"/>
      <c r="Y25" s="66"/>
      <c r="Z25" s="66"/>
      <c r="AA25" s="66"/>
      <c r="AB25" s="66"/>
      <c r="AC25" s="66"/>
      <c r="AD25" s="66"/>
      <c r="AE25" s="66"/>
      <c r="AK25" s="54" t="s">
        <v>7</v>
      </c>
    </row>
    <row r="26" spans="2:41" s="22" customFormat="1" ht="18.75" customHeight="1" x14ac:dyDescent="0.15">
      <c r="B26" s="230" t="s">
        <v>8</v>
      </c>
      <c r="C26" s="208">
        <f>IFERROR(INDEX(年齢階層×在院期間区分F00F01＿寛解・院内寛解[#All],MATCH($AK10,年齢階層×在院期間区分F00F01＿寛解・院内寛解[[#All],[行ラベル]],0),MATCH($AL$3,年齢階層×在院期間区分F00F01＿寛解・院内寛解[#Headers],0)),0)+IFERROR(INDEX(年齢階層×在院期間区分F00F01＿寛解・院内寛解[#All],MATCH($AK10,年齢階層×在院期間区分F00F01＿寛解・院内寛解[[#All],[行ラベル]],0),MATCH($AM$3,年齢階層×在院期間区分F00F01＿寛解・院内寛解[#Headers],0)),0)+IFERROR(INDEX(年齢階層×在院期間区分F00F01＿寛解・院内寛解[#All],MATCH($AK10,年齢階層×在院期間区分F00F01＿寛解・院内寛解[[#All],[行ラベル]],0),MATCH($AN$3,年齢階層×在院期間区分F00F01＿寛解・院内寛解[#Headers],0)),0)+IFERROR(INDEX(年齢階層×在院期間区分F00F01＿寛解・院内寛解[#All],MATCH($AK10,年齢階層×在院期間区分F00F01＿寛解・院内寛解[[#All],[行ラベル]],0),MATCH($AO$3,年齢階層×在院期間区分F00F01＿寛解・院内寛解[#Headers],0)),0)</f>
        <v>18</v>
      </c>
      <c r="D26" s="209">
        <f t="shared" si="7"/>
        <v>0.3</v>
      </c>
      <c r="E26" s="208">
        <f>IFERROR(INDEX(年齢階層×在院期間区分F00F01＿寛解・院内寛解[#All],MATCH($AK10,年齢階層×在院期間区分F00F01＿寛解・院内寛解[[#All],[行ラベル]],0),MATCH($AP$3,年齢階層×在院期間区分F00F01＿寛解・院内寛解[#Headers],0)),0)+IFERROR(INDEX(年齢階層×在院期間区分F00F01＿寛解・院内寛解[#All],MATCH($AK10,年齢階層×在院期間区分F00F01＿寛解・院内寛解[[#All],[行ラベル]],0),MATCH($AQ$3,年齢階層×在院期間区分F00F01＿寛解・院内寛解[#Headers],0)),0)+IFERROR(INDEX(年齢階層×在院期間区分F00F01＿寛解・院内寛解[#All],MATCH($AK10,年齢階層×在院期間区分F00F01＿寛解・院内寛解[[#All],[行ラベル]],0),MATCH($AR$3,年齢階層×在院期間区分F00F01＿寛解・院内寛解[#Headers],0)),0)+IFERROR(INDEX(年齢階層×在院期間区分F00F01＿寛解・院内寛解[#All],MATCH($AK10,年齢階層×在院期間区分F00F01＿寛解・院内寛解[[#All],[行ラベル]],0),MATCH($AS$3,年齢階層×在院期間区分F00F01＿寛解・院内寛解[#Headers],0)),0)+IFERROR(INDEX(年齢階層×在院期間区分F00F01＿寛解・院内寛解[#All],MATCH($AK10,年齢階層×在院期間区分F00F01＿寛解・院内寛解[[#All],[行ラベル]],0),MATCH($AT$3,年齢階層×在院期間区分F00F01＿寛解・院内寛解[#Headers],0)),0)</f>
        <v>6</v>
      </c>
      <c r="F26" s="209">
        <f t="shared" si="8"/>
        <v>0.21428571428571427</v>
      </c>
      <c r="G26" s="231">
        <f>IFERROR(INDEX(年齢階層×在院期間区分F00F01＿寛解・院内寛解[#All],MATCH($AK10,年齢階層×在院期間区分F00F01＿寛解・院内寛解[[#All],[行ラベル]],0),MATCH($AU$3,年齢階層×在院期間区分F00F01＿寛解・院内寛解[#Headers],0)),0)+IFERROR(INDEX(年齢階層×在院期間区分F00F01＿寛解・院内寛解[#All],MATCH($AK10,年齢階層×在院期間区分F00F01＿寛解・院内寛解[[#All],[行ラベル]],0),MATCH($AV$3,年齢階層×在院期間区分F00F01＿寛解・院内寛解[#Headers],0)),0)+IFERROR(INDEX(年齢階層×在院期間区分F00F01＿寛解・院内寛解[#All],MATCH($AK10,年齢階層×在院期間区分F00F01＿寛解・院内寛解[[#All],[行ラベル]],0),MATCH($AW$3,年齢階層×在院期間区分F00F01＿寛解・院内寛解[#Headers],0)),0)+IFERROR(INDEX(年齢階層×在院期間区分F00F01＿寛解・院内寛解[#All],MATCH($AK10,年齢階層×在院期間区分F00F01＿寛解・院内寛解[[#All],[行ラベル]],0),MATCH($AX$3,年齢階層×在院期間区分F00F01＿寛解・院内寛解[#Headers],0)),0)+IFERROR(INDEX(年齢階層×在院期間区分F00F01＿寛解・院内寛解[#All],MATCH($AK10,年齢階層×在院期間区分F00F01＿寛解・院内寛解[[#All],[行ラベル]],0),MATCH($AY$3,年齢階層×在院期間区分F00F01＿寛解・院内寛解[#Headers],0)),0)</f>
        <v>1</v>
      </c>
      <c r="H26" s="209">
        <f t="shared" si="9"/>
        <v>0.2</v>
      </c>
      <c r="I26" s="208">
        <f>IFERROR(INDEX(年齢階層×在院期間区分F00F01＿寛解・院内寛解[#All],MATCH($AK10,年齢階層×在院期間区分F00F01＿寛解・院内寛解[[#All],[行ラベル]],0),MATCH($AZ$3,年齢階層×在院期間区分F00F01＿寛解・院内寛解[#Headers],0)),0)+IFERROR(INDEX(年齢階層×在院期間区分F00F01＿寛解・院内寛解[#All],MATCH($AK10,年齢階層×在院期間区分F00F01＿寛解・院内寛解[[#All],[行ラベル]],0),MATCH($BA$3,年齢階層×在院期間区分F00F01＿寛解・院内寛解[#Headers],0)),0)</f>
        <v>0</v>
      </c>
      <c r="J26" s="209" t="str">
        <f t="shared" si="10"/>
        <v>-</v>
      </c>
      <c r="K26" s="208">
        <f t="shared" si="11"/>
        <v>25</v>
      </c>
      <c r="L26" s="209">
        <f t="shared" si="12"/>
        <v>0.26881720430107525</v>
      </c>
      <c r="O26" s="54"/>
      <c r="P26" s="66"/>
      <c r="Q26" s="66"/>
      <c r="R26" s="66"/>
      <c r="S26" s="66"/>
      <c r="T26" s="66"/>
      <c r="U26" s="66"/>
      <c r="V26" s="66"/>
      <c r="W26" s="66"/>
      <c r="X26" s="66"/>
      <c r="Y26" s="66"/>
      <c r="Z26" s="66"/>
      <c r="AA26" s="66"/>
      <c r="AB26" s="66"/>
      <c r="AC26" s="66"/>
      <c r="AD26" s="66"/>
      <c r="AE26" s="66"/>
      <c r="AK26" s="54" t="s">
        <v>8</v>
      </c>
    </row>
    <row r="27" spans="2:41" s="22" customFormat="1" ht="18.75" customHeight="1" x14ac:dyDescent="0.15">
      <c r="B27" s="230" t="s">
        <v>9</v>
      </c>
      <c r="C27" s="232">
        <f>IFERROR(INDEX(年齢階層×在院期間区分F00F01＿寛解・院内寛解[#All],MATCH($AK11,年齢階層×在院期間区分F00F01＿寛解・院内寛解[[#All],[行ラベル]],0),MATCH($AL$3,年齢階層×在院期間区分F00F01＿寛解・院内寛解[#Headers],0)),0)+IFERROR(INDEX(年齢階層×在院期間区分F00F01＿寛解・院内寛解[#All],MATCH($AK11,年齢階層×在院期間区分F00F01＿寛解・院内寛解[[#All],[行ラベル]],0),MATCH($AM$3,年齢階層×在院期間区分F00F01＿寛解・院内寛解[#Headers],0)),0)+IFERROR(INDEX(年齢階層×在院期間区分F00F01＿寛解・院内寛解[#All],MATCH($AK11,年齢階層×在院期間区分F00F01＿寛解・院内寛解[[#All],[行ラベル]],0),MATCH($AN$3,年齢階層×在院期間区分F00F01＿寛解・院内寛解[#Headers],0)),0)+IFERROR(INDEX(年齢階層×在院期間区分F00F01＿寛解・院内寛解[#All],MATCH($AK11,年齢階層×在院期間区分F00F01＿寛解・院内寛解[[#All],[行ラベル]],0),MATCH($AO$3,年齢階層×在院期間区分F00F01＿寛解・院内寛解[#Headers],0)),0)</f>
        <v>32</v>
      </c>
      <c r="D27" s="209">
        <f t="shared" si="7"/>
        <v>0.53333333333333333</v>
      </c>
      <c r="E27" s="232">
        <f>IFERROR(INDEX(年齢階層×在院期間区分F00F01＿寛解・院内寛解[#All],MATCH($AK11,年齢階層×在院期間区分F00F01＿寛解・院内寛解[[#All],[行ラベル]],0),MATCH($AP$3,年齢階層×在院期間区分F00F01＿寛解・院内寛解[#Headers],0)),0)+IFERROR(INDEX(年齢階層×在院期間区分F00F01＿寛解・院内寛解[#All],MATCH($AK11,年齢階層×在院期間区分F00F01＿寛解・院内寛解[[#All],[行ラベル]],0),MATCH($AQ$3,年齢階層×在院期間区分F00F01＿寛解・院内寛解[#Headers],0)),0)+IFERROR(INDEX(年齢階層×在院期間区分F00F01＿寛解・院内寛解[#All],MATCH($AK11,年齢階層×在院期間区分F00F01＿寛解・院内寛解[[#All],[行ラベル]],0),MATCH($AR$3,年齢階層×在院期間区分F00F01＿寛解・院内寛解[#Headers],0)),0)+IFERROR(INDEX(年齢階層×在院期間区分F00F01＿寛解・院内寛解[#All],MATCH($AK11,年齢階層×在院期間区分F00F01＿寛解・院内寛解[[#All],[行ラベル]],0),MATCH($AS$3,年齢階層×在院期間区分F00F01＿寛解・院内寛解[#Headers],0)),0)+IFERROR(INDEX(年齢階層×在院期間区分F00F01＿寛解・院内寛解[#All],MATCH($AK11,年齢階層×在院期間区分F00F01＿寛解・院内寛解[[#All],[行ラベル]],0),MATCH($AT$3,年齢階層×在院期間区分F00F01＿寛解・院内寛解[#Headers],0)),0)</f>
        <v>17</v>
      </c>
      <c r="F27" s="209">
        <f t="shared" si="8"/>
        <v>0.6071428571428571</v>
      </c>
      <c r="G27" s="208">
        <f>IFERROR(INDEX(年齢階層×在院期間区分F00F01＿寛解・院内寛解[#All],MATCH($AK11,年齢階層×在院期間区分F00F01＿寛解・院内寛解[[#All],[行ラベル]],0),MATCH($AU$3,年齢階層×在院期間区分F00F01＿寛解・院内寛解[#Headers],0)),0)+IFERROR(INDEX(年齢階層×在院期間区分F00F01＿寛解・院内寛解[#All],MATCH($AK11,年齢階層×在院期間区分F00F01＿寛解・院内寛解[[#All],[行ラベル]],0),MATCH($AV$3,年齢階層×在院期間区分F00F01＿寛解・院内寛解[#Headers],0)),0)+IFERROR(INDEX(年齢階層×在院期間区分F00F01＿寛解・院内寛解[#All],MATCH($AK11,年齢階層×在院期間区分F00F01＿寛解・院内寛解[[#All],[行ラベル]],0),MATCH($AW$3,年齢階層×在院期間区分F00F01＿寛解・院内寛解[#Headers],0)),0)+IFERROR(INDEX(年齢階層×在院期間区分F00F01＿寛解・院内寛解[#All],MATCH($AK11,年齢階層×在院期間区分F00F01＿寛解・院内寛解[[#All],[行ラベル]],0),MATCH($AX$3,年齢階層×在院期間区分F00F01＿寛解・院内寛解[#Headers],0)),0)+IFERROR(INDEX(年齢階層×在院期間区分F00F01＿寛解・院内寛解[#All],MATCH($AK11,年齢階層×在院期間区分F00F01＿寛解・院内寛解[[#All],[行ラベル]],0),MATCH($AY$3,年齢階層×在院期間区分F00F01＿寛解・院内寛解[#Headers],0)),0)</f>
        <v>2</v>
      </c>
      <c r="H27" s="209">
        <f t="shared" si="9"/>
        <v>0.4</v>
      </c>
      <c r="I27" s="208">
        <f>IFERROR(INDEX(年齢階層×在院期間区分F00F01＿寛解・院内寛解[#All],MATCH($AK11,年齢階層×在院期間区分F00F01＿寛解・院内寛解[[#All],[行ラベル]],0),MATCH($AZ$3,年齢階層×在院期間区分F00F01＿寛解・院内寛解[#Headers],0)),0)+IFERROR(INDEX(年齢階層×在院期間区分F00F01＿寛解・院内寛解[#All],MATCH($AK11,年齢階層×在院期間区分F00F01＿寛解・院内寛解[[#All],[行ラベル]],0),MATCH($BA$3,年齢階層×在院期間区分F00F01＿寛解・院内寛解[#Headers],0)),0)</f>
        <v>0</v>
      </c>
      <c r="J27" s="209" t="str">
        <f t="shared" si="10"/>
        <v>-</v>
      </c>
      <c r="K27" s="208">
        <f t="shared" si="11"/>
        <v>51</v>
      </c>
      <c r="L27" s="209">
        <f t="shared" si="12"/>
        <v>0.54838709677419351</v>
      </c>
      <c r="O27" s="54"/>
      <c r="P27" s="66"/>
      <c r="Q27" s="66"/>
      <c r="R27" s="66"/>
      <c r="S27" s="66"/>
      <c r="T27" s="66"/>
      <c r="U27" s="66"/>
      <c r="V27" s="66"/>
      <c r="W27" s="66"/>
      <c r="X27" s="66"/>
      <c r="Y27" s="66"/>
      <c r="Z27" s="66"/>
      <c r="AA27" s="66"/>
      <c r="AB27" s="66"/>
      <c r="AC27" s="66"/>
      <c r="AD27" s="66"/>
      <c r="AE27" s="66"/>
      <c r="AK27" s="54" t="s">
        <v>9</v>
      </c>
    </row>
    <row r="28" spans="2:41" s="22" customFormat="1" ht="18.75" customHeight="1" thickBot="1" x14ac:dyDescent="0.2">
      <c r="B28" s="233" t="s">
        <v>10</v>
      </c>
      <c r="C28" s="211">
        <f>IFERROR(INDEX(年齢階層×在院期間区分F00F01＿寛解・院内寛解[#All],MATCH($AK12,年齢階層×在院期間区分F00F01＿寛解・院内寛解[[#All],[行ラベル]],0),MATCH($AL$3,年齢階層×在院期間区分F00F01＿寛解・院内寛解[#Headers],0)),0)+IFERROR(INDEX(年齢階層×在院期間区分F00F01＿寛解・院内寛解[#All],MATCH($AK12,年齢階層×在院期間区分F00F01＿寛解・院内寛解[[#All],[行ラベル]],0),MATCH($AM$3,年齢階層×在院期間区分F00F01＿寛解・院内寛解[#Headers],0)),0)+IFERROR(INDEX(年齢階層×在院期間区分F00F01＿寛解・院内寛解[#All],MATCH($AK12,年齢階層×在院期間区分F00F01＿寛解・院内寛解[[#All],[行ラベル]],0),MATCH($AN$3,年齢階層×在院期間区分F00F01＿寛解・院内寛解[#Headers],0)),0)+IFERROR(INDEX(年齢階層×在院期間区分F00F01＿寛解・院内寛解[#All],MATCH($AK12,年齢階層×在院期間区分F00F01＿寛解・院内寛解[[#All],[行ラベル]],0),MATCH($AO$3,年齢階層×在院期間区分F00F01＿寛解・院内寛解[#Headers],0)),0)</f>
        <v>7</v>
      </c>
      <c r="D28" s="213">
        <f t="shared" si="7"/>
        <v>0.11666666666666667</v>
      </c>
      <c r="E28" s="211">
        <f>IFERROR(INDEX(年齢階層×在院期間区分F00F01＿寛解・院内寛解[#All],MATCH($AK12,年齢階層×在院期間区分F00F01＿寛解・院内寛解[[#All],[行ラベル]],0),MATCH($AP$3,年齢階層×在院期間区分F00F01＿寛解・院内寛解[#Headers],0)),0)+IFERROR(INDEX(年齢階層×在院期間区分F00F01＿寛解・院内寛解[#All],MATCH($AK12,年齢階層×在院期間区分F00F01＿寛解・院内寛解[[#All],[行ラベル]],0),MATCH($AQ$3,年齢階層×在院期間区分F00F01＿寛解・院内寛解[#Headers],0)),0)+IFERROR(INDEX(年齢階層×在院期間区分F00F01＿寛解・院内寛解[#All],MATCH($AK12,年齢階層×在院期間区分F00F01＿寛解・院内寛解[[#All],[行ラベル]],0),MATCH($AR$3,年齢階層×在院期間区分F00F01＿寛解・院内寛解[#Headers],0)),0)+IFERROR(INDEX(年齢階層×在院期間区分F00F01＿寛解・院内寛解[#All],MATCH($AK12,年齢階層×在院期間区分F00F01＿寛解・院内寛解[[#All],[行ラベル]],0),MATCH($AS$3,年齢階層×在院期間区分F00F01＿寛解・院内寛解[#Headers],0)),0)+IFERROR(INDEX(年齢階層×在院期間区分F00F01＿寛解・院内寛解[#All],MATCH($AK12,年齢階層×在院期間区分F00F01＿寛解・院内寛解[[#All],[行ラベル]],0),MATCH($AT$3,年齢階層×在院期間区分F00F01＿寛解・院内寛解[#Headers],0)),0)</f>
        <v>5</v>
      </c>
      <c r="F28" s="213">
        <f t="shared" si="8"/>
        <v>0.17857142857142858</v>
      </c>
      <c r="G28" s="234">
        <f>IFERROR(INDEX(年齢階層×在院期間区分F00F01＿寛解・院内寛解[#All],MATCH($AK12,年齢階層×在院期間区分F00F01＿寛解・院内寛解[[#All],[行ラベル]],0),MATCH($AU$3,年齢階層×在院期間区分F00F01＿寛解・院内寛解[#Headers],0)),0)+IFERROR(INDEX(年齢階層×在院期間区分F00F01＿寛解・院内寛解[#All],MATCH($AK12,年齢階層×在院期間区分F00F01＿寛解・院内寛解[[#All],[行ラベル]],0),MATCH($AV$3,年齢階層×在院期間区分F00F01＿寛解・院内寛解[#Headers],0)),0)+IFERROR(INDEX(年齢階層×在院期間区分F00F01＿寛解・院内寛解[#All],MATCH($AK12,年齢階層×在院期間区分F00F01＿寛解・院内寛解[[#All],[行ラベル]],0),MATCH($AW$3,年齢階層×在院期間区分F00F01＿寛解・院内寛解[#Headers],0)),0)+IFERROR(INDEX(年齢階層×在院期間区分F00F01＿寛解・院内寛解[#All],MATCH($AK12,年齢階層×在院期間区分F00F01＿寛解・院内寛解[[#All],[行ラベル]],0),MATCH($AX$3,年齢階層×在院期間区分F00F01＿寛解・院内寛解[#Headers],0)),0)+IFERROR(INDEX(年齢階層×在院期間区分F00F01＿寛解・院内寛解[#All],MATCH($AK12,年齢階層×在院期間区分F00F01＿寛解・院内寛解[[#All],[行ラベル]],0),MATCH($AY$3,年齢階層×在院期間区分F00F01＿寛解・院内寛解[#Headers],0)),0)</f>
        <v>2</v>
      </c>
      <c r="H28" s="213">
        <f t="shared" si="9"/>
        <v>0.4</v>
      </c>
      <c r="I28" s="234">
        <f>IFERROR(INDEX(年齢階層×在院期間区分F00F01＿寛解・院内寛解[#All],MATCH($AK12,年齢階層×在院期間区分F00F01＿寛解・院内寛解[[#All],[行ラベル]],0),MATCH($AZ$3,年齢階層×在院期間区分F00F01＿寛解・院内寛解[#Headers],0)),0)+IFERROR(INDEX(年齢階層×在院期間区分F00F01＿寛解・院内寛解[#All],MATCH($AK12,年齢階層×在院期間区分F00F01＿寛解・院内寛解[[#All],[行ラベル]],0),MATCH($BA$3,年齢階層×在院期間区分F00F01＿寛解・院内寛解[#Headers],0)),0)</f>
        <v>0</v>
      </c>
      <c r="J28" s="213" t="str">
        <f t="shared" si="10"/>
        <v>-</v>
      </c>
      <c r="K28" s="211">
        <f t="shared" si="11"/>
        <v>14</v>
      </c>
      <c r="L28" s="213">
        <f t="shared" si="12"/>
        <v>0.15053763440860216</v>
      </c>
      <c r="M28" s="78"/>
      <c r="O28" s="54"/>
      <c r="P28" s="66"/>
      <c r="Q28" s="66"/>
      <c r="R28" s="66"/>
      <c r="S28" s="66"/>
      <c r="T28" s="66"/>
      <c r="U28" s="66"/>
      <c r="V28" s="66"/>
      <c r="W28" s="66"/>
      <c r="X28" s="66"/>
      <c r="Y28" s="66"/>
      <c r="Z28" s="66"/>
      <c r="AA28" s="66"/>
      <c r="AB28" s="66"/>
      <c r="AC28" s="66"/>
      <c r="AD28" s="66"/>
      <c r="AE28" s="66"/>
      <c r="AK28" s="54" t="s">
        <v>10</v>
      </c>
    </row>
    <row r="29" spans="2:41" s="22" customFormat="1" ht="18.75" customHeight="1" thickTop="1" thickBot="1" x14ac:dyDescent="0.2">
      <c r="B29" s="235" t="s">
        <v>162</v>
      </c>
      <c r="C29" s="236">
        <f t="shared" ref="C29:L29" si="13">SUM(C20:C28)</f>
        <v>60</v>
      </c>
      <c r="D29" s="243">
        <f t="shared" si="13"/>
        <v>1</v>
      </c>
      <c r="E29" s="236">
        <f t="shared" si="13"/>
        <v>28</v>
      </c>
      <c r="F29" s="243">
        <f t="shared" si="13"/>
        <v>1</v>
      </c>
      <c r="G29" s="236">
        <f t="shared" si="13"/>
        <v>5</v>
      </c>
      <c r="H29" s="243">
        <f t="shared" si="13"/>
        <v>1</v>
      </c>
      <c r="I29" s="236">
        <f t="shared" si="13"/>
        <v>0</v>
      </c>
      <c r="J29" s="243">
        <f t="shared" si="13"/>
        <v>0</v>
      </c>
      <c r="K29" s="236">
        <f t="shared" si="13"/>
        <v>93</v>
      </c>
      <c r="L29" s="243">
        <f t="shared" si="13"/>
        <v>0.99999999999999989</v>
      </c>
      <c r="O29" s="430" t="s">
        <v>309</v>
      </c>
      <c r="P29" s="504" t="s">
        <v>183</v>
      </c>
      <c r="Q29" s="504" t="s">
        <v>184</v>
      </c>
      <c r="R29" s="504" t="s">
        <v>185</v>
      </c>
      <c r="S29" s="504" t="s">
        <v>186</v>
      </c>
      <c r="T29" s="504" t="s">
        <v>187</v>
      </c>
      <c r="U29" s="504" t="s">
        <v>188</v>
      </c>
      <c r="V29" s="504" t="s">
        <v>189</v>
      </c>
      <c r="W29" s="504" t="s">
        <v>190</v>
      </c>
      <c r="X29" s="504" t="s">
        <v>191</v>
      </c>
      <c r="Y29" s="504" t="s">
        <v>192</v>
      </c>
      <c r="Z29" s="504" t="s">
        <v>194</v>
      </c>
      <c r="AA29" s="504" t="s">
        <v>195</v>
      </c>
      <c r="AB29" s="504" t="s">
        <v>364</v>
      </c>
      <c r="AC29" s="504" t="s">
        <v>365</v>
      </c>
      <c r="AD29" s="504" t="s">
        <v>366</v>
      </c>
      <c r="AE29" s="56" t="s">
        <v>369</v>
      </c>
      <c r="AO29" s="59"/>
    </row>
    <row r="30" spans="2:41" s="22" customFormat="1" ht="18.75" customHeight="1" thickTop="1" x14ac:dyDescent="0.15">
      <c r="B30" s="238" t="s">
        <v>93</v>
      </c>
      <c r="C30" s="239">
        <f>IFERROR(INDEX(年齢階層×在院期間区分F00F01_65歳未満以上＿寛解・院内寛解[#All],MATCH($AK30,年齢階層×在院期間区分F00F01_65歳未満以上＿寛解・院内寛解[[#All],[列1]],0),MATCH($AL$3,年齢階層×在院期間区分F00F01_65歳未満以上＿寛解・院内寛解[#Headers],0)),0)+IFERROR(INDEX(年齢階層×在院期間区分F00F01_65歳未満以上＿寛解・院内寛解[#All],MATCH($AK30,年齢階層×在院期間区分F00F01_65歳未満以上＿寛解・院内寛解[[#All],[列1]],0),MATCH($AM$3,年齢階層×在院期間区分F00F01_65歳未満以上＿寛解・院内寛解[#Headers],0)),0)+IFERROR(INDEX(年齢階層×在院期間区分F00F01_65歳未満以上＿寛解・院内寛解[#All],MATCH($AK30,年齢階層×在院期間区分F00F01_65歳未満以上＿寛解・院内寛解[[#All],[列1]],0),MATCH($AN$3,年齢階層×在院期間区分F00F01_65歳未満以上＿寛解・院内寛解[#Headers],0)),0)+IFERROR(INDEX(年齢階層×在院期間区分F00F01_65歳未満以上＿寛解・院内寛解[#All],MATCH($AK30,年齢階層×在院期間区分F00F01_65歳未満以上＿寛解・院内寛解[[#All],[列1]],0),MATCH($AO$3,年齢階層×在院期間区分F00F01_65歳未満以上＿寛解・院内寛解[#Headers],0)),0)</f>
        <v>2</v>
      </c>
      <c r="D30" s="224">
        <f>IFERROR(C30/$C$29,"-")</f>
        <v>3.3333333333333333E-2</v>
      </c>
      <c r="E30" s="239">
        <f>IFERROR(INDEX(年齢階層×在院期間区分F00F01_65歳未満以上＿寛解・院内寛解[#All],MATCH($AK30,年齢階層×在院期間区分F00F01_65歳未満以上＿寛解・院内寛解[[#All],[列1]],0),MATCH($AP$3,年齢階層×在院期間区分F00F01_65歳未満以上＿寛解・院内寛解[#Headers],0)),0)+IFERROR(INDEX(年齢階層×在院期間区分F00F01_65歳未満以上＿寛解・院内寛解[#All],MATCH($AK30,年齢階層×在院期間区分F00F01_65歳未満以上＿寛解・院内寛解[[#All],[列1]],0),MATCH($AQ$3,年齢階層×在院期間区分F00F01_65歳未満以上＿寛解・院内寛解[#Headers],0)),0)+IFERROR(INDEX(年齢階層×在院期間区分F00F01_65歳未満以上＿寛解・院内寛解[#All],MATCH($AK30,年齢階層×在院期間区分F00F01_65歳未満以上＿寛解・院内寛解[[#All],[列1]],0),MATCH($AR$3,年齢階層×在院期間区分F00F01_65歳未満以上＿寛解・院内寛解[#Headers],0)),0)+IFERROR(INDEX(年齢階層×在院期間区分F00F01_65歳未満以上＿寛解・院内寛解[#All],MATCH($AK30,年齢階層×在院期間区分F00F01_65歳未満以上＿寛解・院内寛解[[#All],[列1]],0),MATCH($AS$3,年齢階層×在院期間区分F00F01_65歳未満以上＿寛解・院内寛解[#Headers],0)),0)+IFERROR(INDEX(年齢階層×在院期間区分F00F01_65歳未満以上＿寛解・院内寛解[#All],MATCH($AK30,年齢階層×在院期間区分F00F01_65歳未満以上＿寛解・院内寛解[[#All],[列1]],0),MATCH($AT$3,年齢階層×在院期間区分F00F01_65歳未満以上＿寛解・院内寛解[#Headers],0)),0)</f>
        <v>0</v>
      </c>
      <c r="F30" s="224">
        <f>IFERROR(E30/$E$29,"-")</f>
        <v>0</v>
      </c>
      <c r="G30" s="239">
        <f>IFERROR(INDEX(年齢階層×在院期間区分F00F01_65歳未満以上＿寛解・院内寛解[#All],MATCH($AK30,年齢階層×在院期間区分F00F01_65歳未満以上＿寛解・院内寛解[[#All],[列1]],0),MATCH($AU$3,年齢階層×在院期間区分F00F01_65歳未満以上＿寛解・院内寛解[#Headers],0)),0)+IFERROR(INDEX(年齢階層×在院期間区分F00F01_65歳未満以上＿寛解・院内寛解[#All],MATCH($AK30,年齢階層×在院期間区分F00F01_65歳未満以上＿寛解・院内寛解[[#All],[列1]],0),MATCH($AV$3,年齢階層×在院期間区分F00F01_65歳未満以上＿寛解・院内寛解[#Headers],0)),0)+IFERROR(INDEX(年齢階層×在院期間区分F00F01_65歳未満以上＿寛解・院内寛解[#All],MATCH($AK30,年齢階層×在院期間区分F00F01_65歳未満以上＿寛解・院内寛解[[#All],[列1]],0),MATCH($AW$3,年齢階層×在院期間区分F00F01_65歳未満以上＿寛解・院内寛解[#Headers],0)),0)+IFERROR(INDEX(年齢階層×在院期間区分F00F01_65歳未満以上＿寛解・院内寛解[#All],MATCH($AK30,年齢階層×在院期間区分F00F01_65歳未満以上＿寛解・院内寛解[[#All],[列1]],0),MATCH($AX$3,年齢階層×在院期間区分F00F01_65歳未満以上＿寛解・院内寛解[#Headers],0)),0)+IFERROR(INDEX(年齢階層×在院期間区分F00F01_65歳未満以上＿寛解・院内寛解[#All],MATCH($AK30,年齢階層×在院期間区分F00F01_65歳未満以上＿寛解・院内寛解[[#All],[列1]],0),MATCH($AY$3,年齢階層×在院期間区分F00F01_65歳未満以上＿寛解・院内寛解[#Headers],0)),0)</f>
        <v>0</v>
      </c>
      <c r="H30" s="224">
        <f>IFERROR(G30/$G$29,"-")</f>
        <v>0</v>
      </c>
      <c r="I30" s="239">
        <f>IFERROR(INDEX(年齢階層×在院期間区分F00F01_65歳未満以上＿寛解・院内寛解[#All],MATCH($AK30,年齢階層×在院期間区分F00F01_65歳未満以上＿寛解・院内寛解[[#All],[列1]],0),MATCH($AZ$3,年齢階層×在院期間区分F00F01_65歳未満以上＿寛解・院内寛解[#Headers],0)),0)+IFERROR(INDEX(年齢階層×在院期間区分F00F01_65歳未満以上＿寛解・院内寛解[#All],MATCH($AK30,年齢階層×在院期間区分F00F01_65歳未満以上＿寛解・院内寛解[[#All],[列1]],0),MATCH($BA$3,年齢階層×在院期間区分F00F01_65歳未満以上＿寛解・院内寛解[#Headers],0)),0)</f>
        <v>0</v>
      </c>
      <c r="J30" s="224" t="str">
        <f>IFERROR(I30/$I$29,"-")</f>
        <v>-</v>
      </c>
      <c r="K30" s="239">
        <f>C30+E30+G30+I30</f>
        <v>2</v>
      </c>
      <c r="L30" s="224">
        <f>IFERROR(K30/$K$29,"-")</f>
        <v>2.1505376344086023E-2</v>
      </c>
      <c r="O30" s="54" t="s">
        <v>307</v>
      </c>
      <c r="P30" s="66">
        <v>1</v>
      </c>
      <c r="Q30" s="66">
        <v>0</v>
      </c>
      <c r="R30" s="66">
        <v>0</v>
      </c>
      <c r="S30" s="66">
        <v>1</v>
      </c>
      <c r="T30" s="66">
        <v>0</v>
      </c>
      <c r="U30" s="66">
        <v>0</v>
      </c>
      <c r="V30" s="66">
        <v>0</v>
      </c>
      <c r="W30" s="66">
        <v>0</v>
      </c>
      <c r="X30" s="66">
        <v>0</v>
      </c>
      <c r="Y30" s="66">
        <v>0</v>
      </c>
      <c r="Z30" s="66">
        <v>0</v>
      </c>
      <c r="AA30" s="66">
        <v>0</v>
      </c>
      <c r="AB30" s="66"/>
      <c r="AC30" s="66"/>
      <c r="AD30" s="66"/>
      <c r="AE30" s="66"/>
      <c r="AK30" s="83" t="s">
        <v>157</v>
      </c>
    </row>
    <row r="31" spans="2:41" ht="18.75" customHeight="1" x14ac:dyDescent="0.15">
      <c r="B31" s="240" t="s">
        <v>89</v>
      </c>
      <c r="C31" s="239">
        <f>IFERROR(INDEX(年齢階層×在院期間区分F00F01_65歳未満以上＿寛解・院内寛解[#All],MATCH($AK31,年齢階層×在院期間区分F00F01_65歳未満以上＿寛解・院内寛解[[#All],[列1]],0),MATCH($AL$3,年齢階層×在院期間区分F00F01_65歳未満以上＿寛解・院内寛解[#Headers],0)),0)+IFERROR(INDEX(年齢階層×在院期間区分F00F01_65歳未満以上＿寛解・院内寛解[#All],MATCH($AK31,年齢階層×在院期間区分F00F01_65歳未満以上＿寛解・院内寛解[[#All],[列1]],0),MATCH($AM$3,年齢階層×在院期間区分F00F01_65歳未満以上＿寛解・院内寛解[#Headers],0)),0)+IFERROR(INDEX(年齢階層×在院期間区分F00F01_65歳未満以上＿寛解・院内寛解[#All],MATCH($AK31,年齢階層×在院期間区分F00F01_65歳未満以上＿寛解・院内寛解[[#All],[列1]],0),MATCH($AN$3,年齢階層×在院期間区分F00F01_65歳未満以上＿寛解・院内寛解[#Headers],0)),0)+IFERROR(INDEX(年齢階層×在院期間区分F00F01_65歳未満以上＿寛解・院内寛解[#All],MATCH($AK31,年齢階層×在院期間区分F00F01_65歳未満以上＿寛解・院内寛解[[#All],[列1]],0),MATCH($AO$3,年齢階層×在院期間区分F00F01_65歳未満以上＿寛解・院内寛解[#Headers],0)),0)</f>
        <v>58</v>
      </c>
      <c r="D31" s="241">
        <f>IFERROR(C31/$C$29,"-")</f>
        <v>0.96666666666666667</v>
      </c>
      <c r="E31" s="239">
        <f>IFERROR(INDEX(年齢階層×在院期間区分F00F01_65歳未満以上＿寛解・院内寛解[#All],MATCH($AK31,年齢階層×在院期間区分F00F01_65歳未満以上＿寛解・院内寛解[[#All],[列1]],0),MATCH($AP$3,年齢階層×在院期間区分F00F01_65歳未満以上＿寛解・院内寛解[#Headers],0)),0)+IFERROR(INDEX(年齢階層×在院期間区分F00F01_65歳未満以上＿寛解・院内寛解[#All],MATCH($AK31,年齢階層×在院期間区分F00F01_65歳未満以上＿寛解・院内寛解[[#All],[列1]],0),MATCH($AQ$3,年齢階層×在院期間区分F00F01_65歳未満以上＿寛解・院内寛解[#Headers],0)),0)+IFERROR(INDEX(年齢階層×在院期間区分F00F01_65歳未満以上＿寛解・院内寛解[#All],MATCH($AK31,年齢階層×在院期間区分F00F01_65歳未満以上＿寛解・院内寛解[[#All],[列1]],0),MATCH($AR$3,年齢階層×在院期間区分F00F01_65歳未満以上＿寛解・院内寛解[#Headers],0)),0)+IFERROR(INDEX(年齢階層×在院期間区分F00F01_65歳未満以上＿寛解・院内寛解[#All],MATCH($AK31,年齢階層×在院期間区分F00F01_65歳未満以上＿寛解・院内寛解[[#All],[列1]],0),MATCH($AS$3,年齢階層×在院期間区分F00F01_65歳未満以上＿寛解・院内寛解[#Headers],0)),0)+IFERROR(INDEX(年齢階層×在院期間区分F00F01_65歳未満以上＿寛解・院内寛解[#All],MATCH($AK31,年齢階層×在院期間区分F00F01_65歳未満以上＿寛解・院内寛解[[#All],[列1]],0),MATCH($AT$3,年齢階層×在院期間区分F00F01_65歳未満以上＿寛解・院内寛解[#Headers],0)),0)</f>
        <v>28</v>
      </c>
      <c r="F31" s="241">
        <f>IFERROR(E31/$E$29,"-")</f>
        <v>1</v>
      </c>
      <c r="G31" s="239">
        <f>IFERROR(INDEX(年齢階層×在院期間区分F00F01_65歳未満以上＿寛解・院内寛解[#All],MATCH($AK31,年齢階層×在院期間区分F00F01_65歳未満以上＿寛解・院内寛解[[#All],[列1]],0),MATCH($AU$3,年齢階層×在院期間区分F00F01_65歳未満以上＿寛解・院内寛解[#Headers],0)),0)+IFERROR(INDEX(年齢階層×在院期間区分F00F01_65歳未満以上＿寛解・院内寛解[#All],MATCH($AK31,年齢階層×在院期間区分F00F01_65歳未満以上＿寛解・院内寛解[[#All],[列1]],0),MATCH($AV$3,年齢階層×在院期間区分F00F01_65歳未満以上＿寛解・院内寛解[#Headers],0)),0)+IFERROR(INDEX(年齢階層×在院期間区分F00F01_65歳未満以上＿寛解・院内寛解[#All],MATCH($AK31,年齢階層×在院期間区分F00F01_65歳未満以上＿寛解・院内寛解[[#All],[列1]],0),MATCH($AW$3,年齢階層×在院期間区分F00F01_65歳未満以上＿寛解・院内寛解[#Headers],0)),0)+IFERROR(INDEX(年齢階層×在院期間区分F00F01_65歳未満以上＿寛解・院内寛解[#All],MATCH($AK31,年齢階層×在院期間区分F00F01_65歳未満以上＿寛解・院内寛解[[#All],[列1]],0),MATCH($AX$3,年齢階層×在院期間区分F00F01_65歳未満以上＿寛解・院内寛解[#Headers],0)),0)+IFERROR(INDEX(年齢階層×在院期間区分F00F01_65歳未満以上＿寛解・院内寛解[#All],MATCH($AK31,年齢階層×在院期間区分F00F01_65歳未満以上＿寛解・院内寛解[[#All],[列1]],0),MATCH($AY$3,年齢階層×在院期間区分F00F01_65歳未満以上＿寛解・院内寛解[#Headers],0)),0)</f>
        <v>5</v>
      </c>
      <c r="H31" s="241">
        <f>IFERROR(G31/$G$29,"-")</f>
        <v>1</v>
      </c>
      <c r="I31" s="239">
        <f>IFERROR(INDEX(年齢階層×在院期間区分F00F01_65歳未満以上＿寛解・院内寛解[#All],MATCH($AK31,年齢階層×在院期間区分F00F01_65歳未満以上＿寛解・院内寛解[[#All],[列1]],0),MATCH($AZ$3,年齢階層×在院期間区分F00F01_65歳未満以上＿寛解・院内寛解[#Headers],0)),0)+IFERROR(INDEX(年齢階層×在院期間区分F00F01_65歳未満以上＿寛解・院内寛解[#All],MATCH($AK31,年齢階層×在院期間区分F00F01_65歳未満以上＿寛解・院内寛解[[#All],[列1]],0),MATCH($BA$3,年齢階層×在院期間区分F00F01_65歳未満以上＿寛解・院内寛解[#Headers],0)),0)</f>
        <v>0</v>
      </c>
      <c r="J31" s="241" t="str">
        <f>IFERROR(I31/$I$29,"-")</f>
        <v>-</v>
      </c>
      <c r="K31" s="239">
        <f>C31+E31+G31+I31</f>
        <v>91</v>
      </c>
      <c r="L31" s="241">
        <f>IFERROR(K31/$K$29,"-")</f>
        <v>0.978494623655914</v>
      </c>
      <c r="O31" s="83" t="s">
        <v>308</v>
      </c>
      <c r="P31" s="66">
        <v>8</v>
      </c>
      <c r="Q31" s="66">
        <v>24</v>
      </c>
      <c r="R31" s="66">
        <v>12</v>
      </c>
      <c r="S31" s="66">
        <v>14</v>
      </c>
      <c r="T31" s="66">
        <v>10</v>
      </c>
      <c r="U31" s="66">
        <v>4</v>
      </c>
      <c r="V31" s="66">
        <v>9</v>
      </c>
      <c r="W31" s="66">
        <v>4</v>
      </c>
      <c r="X31" s="66">
        <v>1</v>
      </c>
      <c r="Y31" s="66">
        <v>2</v>
      </c>
      <c r="Z31" s="66">
        <v>1</v>
      </c>
      <c r="AA31" s="66">
        <v>2</v>
      </c>
      <c r="AB31" s="66"/>
      <c r="AC31" s="66"/>
      <c r="AD31" s="66"/>
      <c r="AE31" s="66"/>
      <c r="AK31" s="83" t="s">
        <v>88</v>
      </c>
    </row>
    <row r="32" spans="2:41" ht="18.75" customHeight="1" x14ac:dyDescent="0.15">
      <c r="F32" s="67"/>
      <c r="H32" s="67"/>
      <c r="J32" s="67"/>
      <c r="K32" s="45"/>
    </row>
    <row r="33" spans="2:49" ht="18.75" customHeight="1" x14ac:dyDescent="0.15"/>
    <row r="34" spans="2:49" ht="18.75" customHeight="1" x14ac:dyDescent="0.15">
      <c r="C34" s="53"/>
      <c r="D34" s="62"/>
      <c r="E34" s="62"/>
      <c r="F34" s="62"/>
      <c r="G34" s="62"/>
      <c r="H34" s="62"/>
      <c r="I34" s="62"/>
      <c r="J34" s="62"/>
      <c r="K34" s="62"/>
      <c r="L34" s="62"/>
      <c r="M34" s="62"/>
      <c r="N34" s="62"/>
      <c r="O34" s="62"/>
      <c r="P34" s="62"/>
      <c r="Q34" s="62"/>
      <c r="R34" s="84"/>
    </row>
    <row r="35" spans="2:49" x14ac:dyDescent="0.15">
      <c r="B35" s="38"/>
      <c r="C35" s="23"/>
      <c r="D35" s="23"/>
      <c r="E35" s="23"/>
      <c r="F35" s="23"/>
      <c r="G35" s="23"/>
      <c r="H35" s="23"/>
      <c r="I35" s="23"/>
      <c r="J35" s="23"/>
      <c r="K35" s="23"/>
      <c r="L35" s="23"/>
      <c r="M35" s="23"/>
      <c r="N35" s="23"/>
      <c r="O35" s="23"/>
      <c r="P35" s="23"/>
      <c r="Q35" s="23"/>
      <c r="R35" s="23"/>
      <c r="S35" s="23"/>
    </row>
    <row r="36" spans="2:49" x14ac:dyDescent="0.15">
      <c r="B36" s="38"/>
      <c r="C36" s="23"/>
      <c r="D36" s="23"/>
      <c r="E36" s="23"/>
      <c r="F36" s="23"/>
      <c r="G36" s="23"/>
      <c r="H36" s="23"/>
      <c r="I36" s="23"/>
      <c r="J36" s="23"/>
      <c r="K36" s="23"/>
      <c r="L36" s="23"/>
      <c r="M36" s="23"/>
      <c r="N36" s="23"/>
      <c r="O36" s="23"/>
      <c r="P36" s="23"/>
      <c r="Q36" s="23"/>
      <c r="R36" s="23"/>
      <c r="S36" s="23"/>
    </row>
    <row r="37" spans="2:49" x14ac:dyDescent="0.15">
      <c r="B37" s="50"/>
      <c r="C37" s="85"/>
      <c r="D37" s="85"/>
      <c r="E37" s="85"/>
      <c r="F37" s="85"/>
      <c r="G37" s="85"/>
      <c r="H37" s="85"/>
      <c r="I37" s="85"/>
      <c r="J37" s="85"/>
      <c r="K37" s="85"/>
      <c r="L37" s="85"/>
      <c r="M37" s="85"/>
      <c r="N37" s="85"/>
      <c r="O37" s="85"/>
      <c r="P37" s="85"/>
      <c r="Q37" s="85"/>
      <c r="R37" s="85"/>
      <c r="S37" s="85"/>
      <c r="T37" s="22"/>
      <c r="U37" s="22"/>
      <c r="V37" s="22"/>
      <c r="W37" s="22"/>
      <c r="X37" s="22"/>
      <c r="Y37" s="22"/>
      <c r="Z37" s="22"/>
      <c r="AA37" s="22"/>
      <c r="AB37" s="22"/>
      <c r="AC37" s="22"/>
      <c r="AD37" s="22"/>
      <c r="AE37" s="22"/>
      <c r="AF37" s="22"/>
      <c r="AG37" s="22"/>
      <c r="AH37" s="22"/>
      <c r="AI37" s="22"/>
      <c r="AJ37" s="22"/>
      <c r="AK37" s="22"/>
      <c r="AL37" s="22"/>
      <c r="AM37" s="22"/>
      <c r="AN37" s="22"/>
      <c r="AO37" s="22"/>
      <c r="AP37" s="22"/>
      <c r="AQ37" s="22"/>
      <c r="AR37" s="22"/>
      <c r="AS37" s="22"/>
      <c r="AT37" s="22"/>
      <c r="AU37" s="22"/>
      <c r="AV37" s="22"/>
      <c r="AW37" s="22"/>
    </row>
    <row r="38" spans="2:49" ht="35.25" customHeight="1" x14ac:dyDescent="0.15">
      <c r="B38" s="22"/>
      <c r="C38" s="22"/>
      <c r="D38" s="22"/>
      <c r="E38" s="22"/>
      <c r="F38" s="22"/>
      <c r="G38" s="22"/>
      <c r="H38" s="22"/>
      <c r="I38" s="22"/>
      <c r="J38" s="22"/>
      <c r="K38" s="22"/>
      <c r="L38" s="22"/>
      <c r="M38" s="22"/>
      <c r="N38" s="22"/>
      <c r="O38" s="22"/>
      <c r="P38" s="22"/>
      <c r="Q38" s="22"/>
      <c r="R38" s="22"/>
      <c r="S38" s="22"/>
      <c r="T38" s="22"/>
      <c r="U38" s="22"/>
      <c r="V38" s="22"/>
      <c r="W38" s="22"/>
      <c r="X38" s="22"/>
      <c r="Y38" s="22"/>
      <c r="Z38" s="22"/>
      <c r="AA38" s="22"/>
      <c r="AB38" s="22"/>
      <c r="AC38" s="22"/>
      <c r="AD38" s="22"/>
      <c r="AE38" s="22"/>
      <c r="AF38" s="22"/>
      <c r="AG38" s="22"/>
      <c r="AH38" s="22"/>
      <c r="AI38" s="22"/>
      <c r="AJ38" s="22"/>
      <c r="AK38" s="22"/>
      <c r="AL38" s="22"/>
      <c r="AM38" s="22"/>
      <c r="AN38" s="22"/>
      <c r="AO38" s="22"/>
      <c r="AP38" s="22"/>
      <c r="AQ38" s="22"/>
      <c r="AR38" s="22"/>
      <c r="AS38" s="22"/>
      <c r="AT38" s="22"/>
      <c r="AU38" s="22"/>
      <c r="AV38" s="22"/>
      <c r="AW38" s="22"/>
    </row>
    <row r="39" spans="2:49" x14ac:dyDescent="0.15">
      <c r="B39" s="7"/>
      <c r="C39" s="86"/>
      <c r="D39" s="86"/>
      <c r="E39" s="86"/>
      <c r="F39" s="86"/>
      <c r="G39" s="86"/>
      <c r="H39" s="86"/>
      <c r="I39" s="86"/>
      <c r="J39" s="86"/>
      <c r="K39" s="86"/>
      <c r="L39" s="86"/>
      <c r="M39" s="86"/>
      <c r="N39" s="86"/>
      <c r="O39" s="86"/>
      <c r="P39" s="86"/>
      <c r="Q39" s="86"/>
      <c r="R39" s="86"/>
      <c r="S39" s="86"/>
      <c r="T39" s="22"/>
      <c r="U39" s="22"/>
      <c r="V39" s="22"/>
      <c r="W39" s="22"/>
      <c r="X39" s="22"/>
      <c r="Y39" s="22"/>
      <c r="Z39" s="22"/>
      <c r="AA39" s="22"/>
      <c r="AB39" s="22"/>
      <c r="AC39" s="22"/>
      <c r="AD39" s="22"/>
      <c r="AE39" s="22"/>
      <c r="AF39" s="22"/>
      <c r="AG39" s="22"/>
      <c r="AH39" s="22"/>
      <c r="AI39" s="22"/>
      <c r="AJ39" s="22"/>
      <c r="AK39" s="22"/>
      <c r="AL39" s="22"/>
      <c r="AM39" s="22"/>
      <c r="AN39" s="22"/>
      <c r="AO39" s="22"/>
      <c r="AP39" s="22"/>
      <c r="AQ39" s="22"/>
      <c r="AR39" s="22"/>
      <c r="AS39" s="22"/>
      <c r="AT39" s="22"/>
      <c r="AU39" s="22"/>
      <c r="AV39" s="22"/>
      <c r="AW39" s="22"/>
    </row>
    <row r="40" spans="2:49" x14ac:dyDescent="0.15">
      <c r="B40" s="7"/>
      <c r="C40" s="86"/>
      <c r="D40" s="86"/>
      <c r="E40" s="86"/>
      <c r="F40" s="86"/>
      <c r="G40" s="86"/>
      <c r="H40" s="86"/>
      <c r="I40" s="86"/>
      <c r="J40" s="86"/>
      <c r="K40" s="86"/>
      <c r="L40" s="86"/>
      <c r="M40" s="86"/>
      <c r="N40" s="86"/>
      <c r="O40" s="86"/>
      <c r="P40" s="86"/>
      <c r="Q40" s="86"/>
      <c r="R40" s="86"/>
      <c r="S40" s="86"/>
      <c r="T40" s="22"/>
      <c r="U40" s="22"/>
      <c r="V40" s="22"/>
      <c r="W40" s="22"/>
      <c r="X40" s="22"/>
      <c r="Y40" s="22"/>
      <c r="Z40" s="22"/>
      <c r="AA40" s="22"/>
      <c r="AB40" s="22"/>
      <c r="AC40" s="22"/>
      <c r="AD40" s="22"/>
      <c r="AE40" s="22"/>
      <c r="AF40" s="22"/>
      <c r="AG40" s="22"/>
      <c r="AH40" s="22"/>
      <c r="AI40" s="22"/>
      <c r="AJ40" s="22"/>
      <c r="AK40" s="22"/>
      <c r="AL40" s="22"/>
      <c r="AM40" s="22"/>
      <c r="AN40" s="22"/>
      <c r="AO40" s="22"/>
      <c r="AP40" s="22"/>
      <c r="AQ40" s="22"/>
      <c r="AR40" s="22"/>
      <c r="AS40" s="22"/>
      <c r="AT40" s="22"/>
      <c r="AU40" s="22"/>
      <c r="AV40" s="22"/>
      <c r="AW40" s="22"/>
    </row>
    <row r="41" spans="2:49" x14ac:dyDescent="0.15">
      <c r="B41" s="7"/>
      <c r="C41" s="86"/>
      <c r="D41" s="86"/>
      <c r="E41" s="86"/>
      <c r="F41" s="86"/>
      <c r="G41" s="86"/>
      <c r="H41" s="86"/>
      <c r="I41" s="86"/>
      <c r="J41" s="86"/>
      <c r="K41" s="86"/>
      <c r="L41" s="86"/>
      <c r="M41" s="86"/>
      <c r="N41" s="86"/>
      <c r="O41" s="86"/>
      <c r="P41" s="86"/>
      <c r="Q41" s="86"/>
      <c r="R41" s="86"/>
      <c r="S41" s="86"/>
      <c r="T41" s="22"/>
      <c r="U41" s="22"/>
      <c r="V41" s="22"/>
      <c r="W41" s="22"/>
      <c r="X41" s="22"/>
      <c r="Y41" s="22"/>
      <c r="Z41" s="22"/>
      <c r="AA41" s="22"/>
      <c r="AB41" s="22"/>
      <c r="AC41" s="22"/>
      <c r="AD41" s="22"/>
      <c r="AE41" s="22"/>
      <c r="AF41" s="22"/>
      <c r="AG41" s="22"/>
      <c r="AH41" s="22"/>
      <c r="AI41" s="22"/>
      <c r="AJ41" s="22"/>
      <c r="AK41" s="22"/>
      <c r="AL41" s="22"/>
      <c r="AM41" s="22"/>
      <c r="AN41" s="22"/>
      <c r="AO41" s="22"/>
      <c r="AP41" s="22"/>
      <c r="AQ41" s="22"/>
      <c r="AR41" s="22"/>
      <c r="AS41" s="22"/>
      <c r="AT41" s="22"/>
      <c r="AU41" s="22"/>
      <c r="AV41" s="22"/>
      <c r="AW41" s="22"/>
    </row>
    <row r="42" spans="2:49" x14ac:dyDescent="0.15">
      <c r="B42" s="22"/>
      <c r="C42" s="22"/>
      <c r="D42" s="22"/>
      <c r="E42" s="22"/>
      <c r="F42" s="22"/>
      <c r="G42" s="22"/>
      <c r="H42" s="22"/>
      <c r="I42" s="22"/>
      <c r="J42" s="22"/>
      <c r="K42" s="22"/>
      <c r="L42" s="22"/>
      <c r="M42" s="22"/>
      <c r="N42" s="22"/>
      <c r="O42" s="22"/>
      <c r="P42" s="22"/>
      <c r="Q42" s="22"/>
      <c r="R42" s="22"/>
      <c r="S42" s="22"/>
      <c r="T42" s="22"/>
      <c r="U42" s="22"/>
      <c r="V42" s="22"/>
      <c r="W42" s="22"/>
      <c r="X42" s="22"/>
      <c r="Y42" s="22"/>
      <c r="Z42" s="22"/>
      <c r="AA42" s="22"/>
      <c r="AB42" s="22"/>
      <c r="AC42" s="22"/>
      <c r="AD42" s="22"/>
      <c r="AE42" s="22"/>
      <c r="AF42" s="22"/>
      <c r="AG42" s="22"/>
      <c r="AH42" s="22"/>
      <c r="AI42" s="22"/>
      <c r="AJ42" s="22"/>
      <c r="AK42" s="22"/>
      <c r="AL42" s="22"/>
      <c r="AM42" s="22"/>
      <c r="AN42" s="22"/>
      <c r="AO42" s="22"/>
      <c r="AP42" s="22"/>
      <c r="AQ42" s="22"/>
      <c r="AR42" s="22"/>
      <c r="AS42" s="22"/>
      <c r="AT42" s="22"/>
      <c r="AU42" s="22"/>
      <c r="AV42" s="22"/>
      <c r="AW42" s="22"/>
    </row>
    <row r="43" spans="2:49" x14ac:dyDescent="0.15">
      <c r="B43" s="22"/>
      <c r="C43" s="22"/>
      <c r="D43" s="22"/>
      <c r="E43" s="22"/>
      <c r="F43" s="22"/>
      <c r="G43" s="22"/>
      <c r="H43" s="22"/>
      <c r="I43" s="22"/>
      <c r="J43" s="22"/>
      <c r="K43" s="22"/>
      <c r="L43" s="22"/>
      <c r="M43" s="22"/>
      <c r="N43" s="22"/>
      <c r="O43" s="22"/>
      <c r="P43" s="22"/>
      <c r="Q43" s="22"/>
      <c r="R43" s="22"/>
      <c r="S43" s="22"/>
      <c r="T43" s="22"/>
      <c r="U43" s="22"/>
      <c r="V43" s="22"/>
      <c r="W43" s="22"/>
      <c r="X43" s="22"/>
      <c r="Y43" s="22"/>
      <c r="Z43" s="22"/>
      <c r="AA43" s="22"/>
      <c r="AB43" s="22"/>
      <c r="AC43" s="22"/>
      <c r="AD43" s="22"/>
      <c r="AE43" s="22"/>
      <c r="AF43" s="22"/>
      <c r="AG43" s="22"/>
      <c r="AH43" s="22"/>
      <c r="AI43" s="22"/>
      <c r="AJ43" s="22"/>
      <c r="AK43" s="22"/>
      <c r="AL43" s="22"/>
      <c r="AM43" s="22"/>
      <c r="AN43" s="22"/>
      <c r="AO43" s="22"/>
      <c r="AP43" s="22"/>
      <c r="AQ43" s="22"/>
      <c r="AR43" s="22"/>
      <c r="AS43" s="22"/>
      <c r="AT43" s="22"/>
      <c r="AU43" s="22"/>
      <c r="AV43" s="22"/>
      <c r="AW43" s="22"/>
    </row>
    <row r="44" spans="2:49" x14ac:dyDescent="0.15">
      <c r="B44" s="22"/>
      <c r="C44" s="22"/>
      <c r="D44" s="22"/>
      <c r="E44" s="22"/>
      <c r="F44" s="22"/>
      <c r="G44" s="22"/>
      <c r="H44" s="22"/>
      <c r="I44" s="22"/>
      <c r="J44" s="22"/>
      <c r="K44" s="22"/>
      <c r="L44" s="22"/>
      <c r="M44" s="22"/>
      <c r="N44" s="22"/>
      <c r="O44" s="22"/>
      <c r="P44" s="22"/>
      <c r="Q44" s="22"/>
      <c r="R44" s="22"/>
      <c r="S44" s="22"/>
      <c r="T44" s="22"/>
      <c r="U44" s="22"/>
      <c r="V44" s="22"/>
      <c r="W44" s="22"/>
      <c r="X44" s="22"/>
      <c r="Y44" s="22"/>
      <c r="Z44" s="22"/>
      <c r="AA44" s="22"/>
      <c r="AB44" s="22"/>
      <c r="AC44" s="22"/>
      <c r="AD44" s="22"/>
      <c r="AE44" s="22"/>
      <c r="AF44" s="22"/>
      <c r="AG44" s="22"/>
      <c r="AH44" s="22"/>
      <c r="AI44" s="22"/>
      <c r="AJ44" s="22"/>
      <c r="AK44" s="22"/>
      <c r="AL44" s="22"/>
      <c r="AM44" s="22"/>
      <c r="AN44" s="22"/>
      <c r="AO44" s="22"/>
      <c r="AP44" s="22"/>
      <c r="AQ44" s="22"/>
      <c r="AR44" s="22"/>
      <c r="AS44" s="22"/>
      <c r="AT44" s="22"/>
      <c r="AU44" s="22"/>
      <c r="AV44" s="22"/>
      <c r="AW44" s="22"/>
    </row>
    <row r="45" spans="2:49" x14ac:dyDescent="0.15">
      <c r="B45" s="22"/>
      <c r="C45" s="22"/>
      <c r="D45" s="22"/>
      <c r="E45" s="22"/>
      <c r="F45" s="22"/>
      <c r="G45" s="22"/>
      <c r="H45" s="22"/>
      <c r="I45" s="22"/>
      <c r="J45" s="22"/>
      <c r="K45" s="22"/>
      <c r="L45" s="22"/>
      <c r="M45" s="22"/>
      <c r="N45" s="22"/>
      <c r="O45" s="22"/>
      <c r="P45" s="22"/>
      <c r="Q45" s="22"/>
      <c r="R45" s="22"/>
      <c r="S45" s="22"/>
      <c r="T45" s="22"/>
      <c r="U45" s="22"/>
      <c r="V45" s="22"/>
      <c r="W45" s="22"/>
      <c r="X45" s="22"/>
      <c r="Y45" s="22"/>
      <c r="Z45" s="22"/>
      <c r="AA45" s="22"/>
      <c r="AB45" s="22"/>
      <c r="AC45" s="22"/>
      <c r="AD45" s="22"/>
      <c r="AE45" s="22"/>
      <c r="AF45" s="22"/>
      <c r="AG45" s="22"/>
      <c r="AH45" s="22"/>
      <c r="AI45" s="22"/>
      <c r="AJ45" s="22"/>
      <c r="AK45" s="22"/>
      <c r="AL45" s="22"/>
      <c r="AM45" s="22"/>
      <c r="AN45" s="22"/>
      <c r="AO45" s="22"/>
      <c r="AP45" s="22"/>
      <c r="AQ45" s="22"/>
      <c r="AR45" s="22"/>
      <c r="AS45" s="22"/>
      <c r="AT45" s="22"/>
      <c r="AU45" s="22"/>
      <c r="AV45" s="22"/>
      <c r="AW45" s="22"/>
    </row>
    <row r="46" spans="2:49" x14ac:dyDescent="0.15">
      <c r="B46" s="22"/>
      <c r="C46" s="22"/>
      <c r="D46" s="22"/>
      <c r="E46" s="22"/>
      <c r="F46" s="22"/>
      <c r="G46" s="22"/>
      <c r="H46" s="22"/>
      <c r="I46" s="22"/>
      <c r="J46" s="22"/>
      <c r="K46" s="22"/>
      <c r="L46" s="22"/>
      <c r="M46" s="22"/>
      <c r="N46" s="22"/>
      <c r="O46" s="22"/>
      <c r="P46" s="22"/>
      <c r="Q46" s="22"/>
      <c r="R46" s="22"/>
      <c r="S46" s="22"/>
      <c r="T46" s="22"/>
      <c r="U46" s="22"/>
      <c r="V46" s="22"/>
      <c r="W46" s="22"/>
      <c r="X46" s="22"/>
      <c r="Y46" s="22"/>
      <c r="Z46" s="22"/>
      <c r="AA46" s="22"/>
      <c r="AB46" s="22"/>
      <c r="AC46" s="22"/>
      <c r="AD46" s="22"/>
      <c r="AE46" s="22"/>
      <c r="AF46" s="22"/>
      <c r="AG46" s="22"/>
      <c r="AH46" s="22"/>
      <c r="AI46" s="22"/>
      <c r="AJ46" s="22"/>
      <c r="AK46" s="22"/>
      <c r="AL46" s="22"/>
      <c r="AM46" s="22"/>
      <c r="AN46" s="22"/>
      <c r="AO46" s="22"/>
      <c r="AP46" s="22"/>
      <c r="AQ46" s="22"/>
      <c r="AR46" s="22"/>
      <c r="AS46" s="22"/>
      <c r="AT46" s="22"/>
      <c r="AU46" s="22"/>
      <c r="AV46" s="22"/>
      <c r="AW46" s="22"/>
    </row>
    <row r="47" spans="2:49" x14ac:dyDescent="0.15">
      <c r="B47" s="22"/>
      <c r="C47" s="22"/>
      <c r="D47" s="22"/>
      <c r="E47" s="22"/>
      <c r="F47" s="22"/>
      <c r="G47" s="22"/>
      <c r="H47" s="22"/>
      <c r="I47" s="22"/>
      <c r="J47" s="22"/>
      <c r="K47" s="22"/>
      <c r="L47" s="22"/>
      <c r="M47" s="22"/>
      <c r="N47" s="22"/>
      <c r="O47" s="22"/>
      <c r="P47" s="22"/>
      <c r="Q47" s="22"/>
      <c r="R47" s="22"/>
      <c r="S47" s="22"/>
      <c r="T47" s="22"/>
      <c r="U47" s="22"/>
      <c r="V47" s="22"/>
      <c r="W47" s="22"/>
      <c r="X47" s="22"/>
      <c r="Y47" s="22"/>
      <c r="Z47" s="22"/>
      <c r="AA47" s="22"/>
      <c r="AB47" s="22"/>
      <c r="AC47" s="22"/>
      <c r="AD47" s="22"/>
      <c r="AE47" s="22"/>
      <c r="AF47" s="22"/>
      <c r="AG47" s="22"/>
      <c r="AH47" s="22"/>
      <c r="AI47" s="22"/>
      <c r="AJ47" s="22"/>
      <c r="AK47" s="22"/>
      <c r="AL47" s="22"/>
      <c r="AM47" s="22"/>
      <c r="AN47" s="22"/>
      <c r="AO47" s="22"/>
      <c r="AP47" s="22"/>
      <c r="AQ47" s="22"/>
      <c r="AR47" s="22"/>
      <c r="AS47" s="22"/>
      <c r="AT47" s="22"/>
      <c r="AU47" s="22"/>
      <c r="AV47" s="22"/>
      <c r="AW47" s="22"/>
    </row>
    <row r="48" spans="2:49" x14ac:dyDescent="0.15">
      <c r="B48" s="22"/>
      <c r="C48" s="22"/>
      <c r="D48" s="22"/>
      <c r="E48" s="22"/>
      <c r="F48" s="22"/>
      <c r="G48" s="22"/>
      <c r="H48" s="22"/>
      <c r="I48" s="22"/>
      <c r="J48" s="22"/>
      <c r="K48" s="22"/>
      <c r="L48" s="22"/>
      <c r="M48" s="22"/>
      <c r="N48" s="22"/>
      <c r="O48" s="22"/>
      <c r="P48" s="22"/>
      <c r="Q48" s="22"/>
      <c r="R48" s="22"/>
      <c r="S48" s="22"/>
      <c r="T48" s="22"/>
      <c r="U48" s="22"/>
      <c r="V48" s="22"/>
      <c r="W48" s="22"/>
      <c r="X48" s="22"/>
      <c r="Y48" s="22"/>
      <c r="Z48" s="22"/>
      <c r="AA48" s="22"/>
      <c r="AB48" s="22"/>
      <c r="AC48" s="22"/>
      <c r="AD48" s="22"/>
      <c r="AE48" s="22"/>
      <c r="AF48" s="22"/>
      <c r="AG48" s="22"/>
      <c r="AH48" s="22"/>
      <c r="AI48" s="22"/>
      <c r="AJ48" s="22"/>
      <c r="AK48" s="22"/>
      <c r="AL48" s="22"/>
      <c r="AM48" s="22"/>
      <c r="AN48" s="22"/>
      <c r="AO48" s="22"/>
      <c r="AP48" s="22"/>
      <c r="AQ48" s="22"/>
      <c r="AR48" s="22"/>
      <c r="AS48" s="22"/>
      <c r="AT48" s="22"/>
      <c r="AU48" s="22"/>
      <c r="AV48" s="22"/>
      <c r="AW48" s="22"/>
    </row>
    <row r="49" spans="2:49" x14ac:dyDescent="0.15">
      <c r="B49" s="22"/>
      <c r="C49" s="22"/>
      <c r="D49" s="22"/>
      <c r="E49" s="22"/>
      <c r="F49" s="22"/>
      <c r="G49" s="22"/>
      <c r="H49" s="22"/>
      <c r="I49" s="22"/>
      <c r="J49" s="22"/>
      <c r="K49" s="22"/>
      <c r="L49" s="22"/>
      <c r="M49" s="22"/>
      <c r="N49" s="22"/>
      <c r="O49" s="22"/>
      <c r="P49" s="22"/>
      <c r="Q49" s="22"/>
      <c r="R49" s="22"/>
      <c r="S49" s="22"/>
      <c r="T49" s="22"/>
      <c r="U49" s="22"/>
      <c r="V49" s="22"/>
      <c r="W49" s="22"/>
      <c r="X49" s="22"/>
      <c r="Y49" s="22"/>
      <c r="Z49" s="22"/>
      <c r="AA49" s="22"/>
      <c r="AB49" s="22"/>
      <c r="AC49" s="22"/>
      <c r="AD49" s="22"/>
      <c r="AE49" s="22"/>
      <c r="AF49" s="22"/>
      <c r="AG49" s="22"/>
      <c r="AH49" s="22"/>
      <c r="AI49" s="22"/>
      <c r="AJ49" s="22"/>
      <c r="AK49" s="22"/>
      <c r="AL49" s="22"/>
      <c r="AM49" s="22"/>
      <c r="AN49" s="22"/>
      <c r="AO49" s="22"/>
      <c r="AP49" s="22"/>
      <c r="AQ49" s="22"/>
      <c r="AR49" s="22"/>
      <c r="AS49" s="22"/>
      <c r="AT49" s="22"/>
      <c r="AU49" s="22"/>
      <c r="AV49" s="22"/>
      <c r="AW49" s="22"/>
    </row>
    <row r="50" spans="2:49" x14ac:dyDescent="0.15">
      <c r="B50" s="22"/>
      <c r="C50" s="22"/>
      <c r="D50" s="22"/>
      <c r="E50" s="22"/>
      <c r="F50" s="22"/>
      <c r="G50" s="22"/>
      <c r="H50" s="22"/>
      <c r="I50" s="22"/>
      <c r="J50" s="22"/>
      <c r="K50" s="22"/>
      <c r="L50" s="22"/>
      <c r="M50" s="22"/>
      <c r="N50" s="22"/>
      <c r="O50" s="22"/>
      <c r="P50" s="22"/>
      <c r="Q50" s="22"/>
      <c r="R50" s="22"/>
      <c r="S50" s="22"/>
      <c r="T50" s="22"/>
      <c r="U50" s="22"/>
      <c r="V50" s="22"/>
      <c r="W50" s="22"/>
      <c r="X50" s="22"/>
      <c r="Y50" s="22"/>
      <c r="Z50" s="22"/>
      <c r="AA50" s="22"/>
      <c r="AB50" s="22"/>
      <c r="AC50" s="22"/>
      <c r="AD50" s="22"/>
      <c r="AE50" s="22"/>
      <c r="AF50" s="22"/>
      <c r="AG50" s="22"/>
      <c r="AH50" s="22"/>
      <c r="AI50" s="22"/>
      <c r="AJ50" s="22"/>
      <c r="AK50" s="22"/>
      <c r="AL50" s="22"/>
      <c r="AM50" s="22"/>
      <c r="AN50" s="22"/>
      <c r="AO50" s="22"/>
      <c r="AP50" s="22"/>
      <c r="AQ50" s="22"/>
      <c r="AR50" s="22"/>
      <c r="AS50" s="22"/>
      <c r="AT50" s="22"/>
      <c r="AU50" s="22"/>
      <c r="AV50" s="22"/>
      <c r="AW50" s="22"/>
    </row>
    <row r="51" spans="2:49" x14ac:dyDescent="0.15">
      <c r="B51" s="22"/>
      <c r="C51" s="22"/>
      <c r="D51" s="22"/>
      <c r="E51" s="22"/>
      <c r="F51" s="22"/>
      <c r="G51" s="22"/>
      <c r="H51" s="22"/>
      <c r="I51" s="22"/>
      <c r="J51" s="22"/>
      <c r="K51" s="22"/>
      <c r="L51" s="22"/>
      <c r="M51" s="22"/>
      <c r="N51" s="22"/>
      <c r="O51" s="22"/>
      <c r="P51" s="22"/>
      <c r="Q51" s="22"/>
      <c r="R51" s="22"/>
      <c r="S51" s="22"/>
      <c r="T51" s="22"/>
      <c r="U51" s="22"/>
      <c r="V51" s="22"/>
      <c r="W51" s="22"/>
      <c r="X51" s="22"/>
      <c r="Y51" s="22"/>
      <c r="Z51" s="22"/>
      <c r="AA51" s="22"/>
      <c r="AB51" s="22"/>
      <c r="AC51" s="22"/>
      <c r="AD51" s="22"/>
      <c r="AE51" s="22"/>
      <c r="AF51" s="22"/>
      <c r="AG51" s="22"/>
      <c r="AH51" s="22"/>
      <c r="AI51" s="22"/>
      <c r="AJ51" s="22"/>
      <c r="AK51" s="22"/>
      <c r="AL51" s="22"/>
      <c r="AM51" s="22"/>
      <c r="AN51" s="22"/>
      <c r="AO51" s="22"/>
      <c r="AP51" s="22"/>
      <c r="AQ51" s="22"/>
      <c r="AR51" s="22"/>
      <c r="AS51" s="22"/>
      <c r="AT51" s="22"/>
      <c r="AU51" s="22"/>
      <c r="AV51" s="22"/>
      <c r="AW51" s="22"/>
    </row>
    <row r="52" spans="2:49" x14ac:dyDescent="0.15">
      <c r="B52" s="22"/>
      <c r="C52" s="22"/>
      <c r="D52" s="22"/>
      <c r="E52" s="22"/>
      <c r="F52" s="22"/>
      <c r="G52" s="22"/>
      <c r="H52" s="22"/>
      <c r="I52" s="22"/>
      <c r="J52" s="22"/>
      <c r="K52" s="22"/>
      <c r="L52" s="22"/>
      <c r="M52" s="22"/>
      <c r="N52" s="22"/>
      <c r="O52" s="22"/>
      <c r="P52" s="22"/>
      <c r="Q52" s="22"/>
      <c r="R52" s="22"/>
      <c r="S52" s="22"/>
      <c r="T52" s="22"/>
      <c r="U52" s="22"/>
      <c r="V52" s="22"/>
      <c r="W52" s="22"/>
      <c r="X52" s="22"/>
      <c r="Y52" s="22"/>
      <c r="Z52" s="22"/>
      <c r="AA52" s="22"/>
      <c r="AB52" s="22"/>
      <c r="AC52" s="22"/>
      <c r="AD52" s="22"/>
      <c r="AE52" s="22"/>
      <c r="AF52" s="22"/>
      <c r="AG52" s="22"/>
      <c r="AH52" s="22"/>
      <c r="AI52" s="22"/>
      <c r="AJ52" s="22"/>
      <c r="AK52" s="22"/>
      <c r="AL52" s="22"/>
      <c r="AM52" s="22"/>
      <c r="AN52" s="22"/>
      <c r="AO52" s="22"/>
      <c r="AP52" s="22"/>
      <c r="AQ52" s="22"/>
      <c r="AR52" s="22"/>
      <c r="AS52" s="22"/>
      <c r="AT52" s="22"/>
      <c r="AU52" s="22"/>
      <c r="AV52" s="22"/>
      <c r="AW52" s="22"/>
    </row>
    <row r="53" spans="2:49" x14ac:dyDescent="0.15">
      <c r="B53" s="22"/>
      <c r="C53" s="22"/>
      <c r="D53" s="22"/>
      <c r="E53" s="22"/>
      <c r="F53" s="22"/>
      <c r="G53" s="22"/>
      <c r="H53" s="22"/>
      <c r="I53" s="22"/>
      <c r="J53" s="22"/>
      <c r="K53" s="22"/>
      <c r="L53" s="22"/>
      <c r="M53" s="22"/>
      <c r="N53" s="22"/>
      <c r="O53" s="22"/>
      <c r="P53" s="22"/>
      <c r="Q53" s="22"/>
      <c r="R53" s="22"/>
      <c r="S53" s="22"/>
      <c r="T53" s="22"/>
      <c r="U53" s="22"/>
      <c r="V53" s="22"/>
      <c r="W53" s="22"/>
      <c r="X53" s="22"/>
      <c r="Y53" s="22"/>
      <c r="Z53" s="22"/>
      <c r="AA53" s="22"/>
      <c r="AB53" s="22"/>
      <c r="AC53" s="22"/>
      <c r="AD53" s="22"/>
      <c r="AE53" s="22"/>
      <c r="AF53" s="22"/>
      <c r="AG53" s="22"/>
      <c r="AH53" s="22"/>
      <c r="AI53" s="22"/>
      <c r="AJ53" s="22"/>
      <c r="AK53" s="22"/>
      <c r="AL53" s="22"/>
      <c r="AM53" s="22"/>
      <c r="AN53" s="22"/>
      <c r="AO53" s="22"/>
      <c r="AP53" s="22"/>
      <c r="AQ53" s="22"/>
      <c r="AR53" s="22"/>
      <c r="AS53" s="22"/>
      <c r="AT53" s="22"/>
      <c r="AU53" s="22"/>
      <c r="AV53" s="22"/>
      <c r="AW53" s="22"/>
    </row>
    <row r="54" spans="2:49" x14ac:dyDescent="0.15">
      <c r="B54" s="22"/>
      <c r="C54" s="22"/>
      <c r="D54" s="22"/>
      <c r="E54" s="22"/>
      <c r="F54" s="22"/>
      <c r="G54" s="22"/>
      <c r="H54" s="22"/>
      <c r="I54" s="22"/>
      <c r="J54" s="22"/>
      <c r="K54" s="22"/>
      <c r="L54" s="22"/>
      <c r="M54" s="22"/>
      <c r="N54" s="22"/>
      <c r="O54" s="22"/>
      <c r="P54" s="22"/>
      <c r="Q54" s="22"/>
      <c r="R54" s="22"/>
      <c r="S54" s="22"/>
      <c r="T54" s="22"/>
      <c r="U54" s="22"/>
      <c r="V54" s="22"/>
      <c r="W54" s="22"/>
      <c r="X54" s="22"/>
      <c r="Y54" s="22"/>
      <c r="Z54" s="22"/>
      <c r="AA54" s="22"/>
      <c r="AB54" s="22"/>
      <c r="AC54" s="22"/>
      <c r="AD54" s="22"/>
      <c r="AE54" s="22"/>
      <c r="AF54" s="22"/>
      <c r="AG54" s="22"/>
      <c r="AH54" s="22"/>
      <c r="AI54" s="22"/>
      <c r="AJ54" s="22"/>
      <c r="AK54" s="22"/>
      <c r="AL54" s="22"/>
      <c r="AM54" s="22"/>
      <c r="AN54" s="22"/>
      <c r="AO54" s="22"/>
      <c r="AP54" s="22"/>
      <c r="AQ54" s="22"/>
      <c r="AR54" s="22"/>
      <c r="AS54" s="22"/>
      <c r="AT54" s="22"/>
      <c r="AU54" s="22"/>
      <c r="AV54" s="22"/>
      <c r="AW54" s="22"/>
    </row>
    <row r="55" spans="2:49" x14ac:dyDescent="0.15">
      <c r="B55" s="22"/>
      <c r="C55" s="22"/>
      <c r="D55" s="22"/>
      <c r="E55" s="22"/>
      <c r="F55" s="22"/>
      <c r="G55" s="22"/>
      <c r="H55" s="22"/>
      <c r="I55" s="22"/>
      <c r="J55" s="22"/>
      <c r="K55" s="22"/>
      <c r="L55" s="22"/>
      <c r="M55" s="22"/>
      <c r="N55" s="22"/>
      <c r="O55" s="22"/>
      <c r="P55" s="22"/>
      <c r="Q55" s="22"/>
      <c r="R55" s="22"/>
      <c r="S55" s="22"/>
      <c r="T55" s="22"/>
      <c r="U55" s="22"/>
      <c r="V55" s="22"/>
      <c r="W55" s="22"/>
      <c r="X55" s="22"/>
      <c r="Y55" s="22"/>
      <c r="Z55" s="22"/>
      <c r="AA55" s="22"/>
      <c r="AB55" s="22"/>
      <c r="AC55" s="22"/>
      <c r="AD55" s="22"/>
      <c r="AE55" s="22"/>
      <c r="AF55" s="22"/>
      <c r="AG55" s="22"/>
      <c r="AH55" s="22"/>
      <c r="AI55" s="22"/>
      <c r="AJ55" s="22"/>
      <c r="AK55" s="22"/>
      <c r="AL55" s="22"/>
      <c r="AM55" s="22"/>
      <c r="AN55" s="22"/>
      <c r="AO55" s="22"/>
      <c r="AP55" s="22"/>
      <c r="AQ55" s="22"/>
      <c r="AR55" s="22"/>
      <c r="AS55" s="22"/>
      <c r="AT55" s="22"/>
      <c r="AU55" s="22"/>
      <c r="AV55" s="22"/>
      <c r="AW55" s="22"/>
    </row>
    <row r="56" spans="2:49" x14ac:dyDescent="0.15">
      <c r="B56" s="22"/>
      <c r="C56" s="22"/>
      <c r="D56" s="22"/>
      <c r="E56" s="22"/>
      <c r="F56" s="22"/>
      <c r="G56" s="22"/>
      <c r="H56" s="22"/>
      <c r="I56" s="22"/>
      <c r="J56" s="22"/>
      <c r="K56" s="22"/>
      <c r="L56" s="22"/>
      <c r="M56" s="22"/>
      <c r="N56" s="22"/>
      <c r="O56" s="22"/>
      <c r="P56" s="22"/>
      <c r="Q56" s="22"/>
      <c r="R56" s="22"/>
      <c r="S56" s="22"/>
      <c r="T56" s="22"/>
      <c r="U56" s="22"/>
      <c r="V56" s="22"/>
      <c r="W56" s="22"/>
      <c r="X56" s="22"/>
      <c r="Y56" s="22"/>
      <c r="Z56" s="22"/>
      <c r="AA56" s="22"/>
      <c r="AB56" s="22"/>
      <c r="AC56" s="22"/>
      <c r="AD56" s="22"/>
      <c r="AE56" s="22"/>
      <c r="AF56" s="22"/>
      <c r="AG56" s="22"/>
      <c r="AH56" s="22"/>
      <c r="AI56" s="22"/>
      <c r="AJ56" s="22"/>
      <c r="AK56" s="22"/>
      <c r="AL56" s="22"/>
      <c r="AM56" s="22"/>
      <c r="AN56" s="22"/>
      <c r="AO56" s="22"/>
      <c r="AP56" s="22"/>
      <c r="AQ56" s="22"/>
      <c r="AR56" s="22"/>
      <c r="AS56" s="22"/>
      <c r="AT56" s="22"/>
      <c r="AU56" s="22"/>
      <c r="AV56" s="22"/>
      <c r="AW56" s="22"/>
    </row>
    <row r="57" spans="2:49" x14ac:dyDescent="0.15">
      <c r="B57" s="22"/>
      <c r="C57" s="22"/>
      <c r="D57" s="22"/>
      <c r="E57" s="22"/>
      <c r="F57" s="22"/>
      <c r="G57" s="22"/>
      <c r="H57" s="22"/>
      <c r="I57" s="22"/>
      <c r="J57" s="22"/>
      <c r="K57" s="22"/>
      <c r="L57" s="22"/>
      <c r="M57" s="22"/>
      <c r="N57" s="22"/>
      <c r="O57" s="22"/>
      <c r="P57" s="22"/>
      <c r="Q57" s="22"/>
      <c r="R57" s="22"/>
      <c r="S57" s="22"/>
      <c r="T57" s="22"/>
      <c r="U57" s="22"/>
      <c r="V57" s="22"/>
      <c r="W57" s="22"/>
      <c r="X57" s="22"/>
      <c r="Y57" s="22"/>
      <c r="Z57" s="22"/>
      <c r="AA57" s="22"/>
      <c r="AB57" s="22"/>
      <c r="AC57" s="22"/>
      <c r="AD57" s="22"/>
      <c r="AE57" s="22"/>
      <c r="AF57" s="22"/>
      <c r="AG57" s="22"/>
      <c r="AH57" s="22"/>
      <c r="AI57" s="22"/>
      <c r="AJ57" s="22"/>
      <c r="AK57" s="22"/>
      <c r="AL57" s="22"/>
      <c r="AM57" s="22"/>
      <c r="AN57" s="22"/>
      <c r="AO57" s="22"/>
      <c r="AP57" s="22"/>
      <c r="AQ57" s="22"/>
      <c r="AR57" s="22"/>
      <c r="AS57" s="22"/>
      <c r="AT57" s="22"/>
      <c r="AU57" s="22"/>
      <c r="AV57" s="22"/>
      <c r="AW57" s="22"/>
    </row>
    <row r="58" spans="2:49" x14ac:dyDescent="0.15">
      <c r="B58" s="22"/>
      <c r="C58" s="22"/>
      <c r="D58" s="22"/>
      <c r="E58" s="22"/>
      <c r="F58" s="22"/>
      <c r="G58" s="22"/>
      <c r="H58" s="22"/>
      <c r="I58" s="22"/>
      <c r="J58" s="22"/>
      <c r="K58" s="22"/>
      <c r="L58" s="22"/>
      <c r="M58" s="22"/>
      <c r="N58" s="22"/>
      <c r="O58" s="22"/>
      <c r="P58" s="22"/>
      <c r="Q58" s="22"/>
      <c r="R58" s="22"/>
      <c r="S58" s="22"/>
      <c r="T58" s="22"/>
      <c r="U58" s="22"/>
      <c r="V58" s="22"/>
      <c r="W58" s="22"/>
      <c r="X58" s="22"/>
      <c r="Y58" s="22"/>
      <c r="Z58" s="22"/>
      <c r="AA58" s="22"/>
      <c r="AB58" s="22"/>
      <c r="AC58" s="22"/>
      <c r="AD58" s="22"/>
      <c r="AE58" s="22"/>
      <c r="AF58" s="22"/>
      <c r="AG58" s="22"/>
      <c r="AH58" s="22"/>
      <c r="AI58" s="22"/>
      <c r="AJ58" s="22"/>
      <c r="AK58" s="22"/>
      <c r="AL58" s="22"/>
      <c r="AM58" s="22"/>
      <c r="AN58" s="22"/>
      <c r="AO58" s="22"/>
      <c r="AP58" s="22"/>
      <c r="AQ58" s="22"/>
      <c r="AR58" s="22"/>
      <c r="AS58" s="22"/>
      <c r="AT58" s="22"/>
      <c r="AU58" s="22"/>
      <c r="AV58" s="22"/>
      <c r="AW58" s="22"/>
    </row>
    <row r="59" spans="2:49" x14ac:dyDescent="0.15">
      <c r="B59" s="22"/>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row>
    <row r="60" spans="2:49" x14ac:dyDescent="0.15">
      <c r="B60" s="22"/>
      <c r="C60" s="22"/>
      <c r="D60" s="22"/>
      <c r="E60" s="22"/>
      <c r="F60" s="22"/>
      <c r="G60" s="22"/>
      <c r="H60" s="22"/>
      <c r="I60" s="22"/>
      <c r="J60" s="22"/>
      <c r="K60" s="22"/>
      <c r="L60" s="22"/>
      <c r="M60" s="22"/>
      <c r="N60" s="22"/>
      <c r="O60" s="22"/>
      <c r="P60" s="22"/>
      <c r="Q60" s="22"/>
      <c r="R60" s="22"/>
      <c r="S60" s="22"/>
      <c r="T60" s="22"/>
      <c r="U60" s="22"/>
      <c r="V60" s="22"/>
      <c r="W60" s="22"/>
      <c r="X60" s="22"/>
      <c r="Y60" s="22"/>
      <c r="Z60" s="22"/>
      <c r="AA60" s="22"/>
      <c r="AB60" s="22"/>
      <c r="AC60" s="22"/>
      <c r="AD60" s="22"/>
      <c r="AE60" s="22"/>
      <c r="AF60" s="22"/>
      <c r="AG60" s="22"/>
      <c r="AH60" s="22"/>
      <c r="AI60" s="22"/>
      <c r="AJ60" s="22"/>
      <c r="AK60" s="22"/>
      <c r="AL60" s="22"/>
      <c r="AM60" s="22"/>
      <c r="AN60" s="22"/>
      <c r="AO60" s="22"/>
      <c r="AP60" s="22"/>
      <c r="AQ60" s="22"/>
      <c r="AR60" s="22"/>
      <c r="AS60" s="22"/>
      <c r="AT60" s="22"/>
      <c r="AU60" s="22"/>
      <c r="AV60" s="22"/>
      <c r="AW60" s="22"/>
    </row>
    <row r="61" spans="2:49" x14ac:dyDescent="0.15">
      <c r="B61" s="22"/>
      <c r="C61" s="22"/>
      <c r="D61" s="22"/>
      <c r="E61" s="22"/>
      <c r="F61" s="22"/>
      <c r="G61" s="22"/>
      <c r="H61" s="22"/>
      <c r="I61" s="22"/>
      <c r="J61" s="22"/>
      <c r="K61" s="22"/>
      <c r="L61" s="22"/>
      <c r="M61" s="22"/>
      <c r="N61" s="22"/>
      <c r="O61" s="22"/>
      <c r="P61" s="22"/>
      <c r="Q61" s="22"/>
      <c r="R61" s="22"/>
      <c r="S61" s="22"/>
      <c r="T61" s="22"/>
      <c r="U61" s="22"/>
      <c r="V61" s="22"/>
      <c r="W61" s="22"/>
      <c r="X61" s="22"/>
      <c r="Y61" s="22"/>
      <c r="Z61" s="22"/>
      <c r="AA61" s="22"/>
      <c r="AB61" s="22"/>
      <c r="AC61" s="22"/>
      <c r="AD61" s="22"/>
      <c r="AE61" s="22"/>
      <c r="AF61" s="22"/>
      <c r="AG61" s="22"/>
      <c r="AH61" s="22"/>
      <c r="AI61" s="22"/>
      <c r="AJ61" s="22"/>
      <c r="AK61" s="22"/>
      <c r="AL61" s="22"/>
      <c r="AM61" s="22"/>
      <c r="AN61" s="22"/>
      <c r="AO61" s="22"/>
      <c r="AP61" s="22"/>
      <c r="AQ61" s="22"/>
      <c r="AR61" s="22"/>
      <c r="AS61" s="22"/>
      <c r="AT61" s="22"/>
      <c r="AU61" s="22"/>
      <c r="AV61" s="22"/>
      <c r="AW61" s="22"/>
    </row>
    <row r="62" spans="2:49" x14ac:dyDescent="0.15">
      <c r="B62" s="22"/>
      <c r="C62" s="22"/>
      <c r="D62" s="22"/>
      <c r="E62" s="22"/>
      <c r="F62" s="22"/>
      <c r="G62" s="22"/>
      <c r="H62" s="22"/>
      <c r="I62" s="22"/>
      <c r="J62" s="22"/>
      <c r="K62" s="22"/>
      <c r="L62" s="22"/>
      <c r="M62" s="22"/>
      <c r="N62" s="22"/>
      <c r="O62" s="22"/>
      <c r="P62" s="22"/>
      <c r="Q62" s="22"/>
      <c r="R62" s="22"/>
      <c r="S62" s="22"/>
      <c r="T62" s="22"/>
      <c r="U62" s="22"/>
      <c r="V62" s="22"/>
      <c r="W62" s="22"/>
      <c r="X62" s="22"/>
      <c r="Y62" s="22"/>
      <c r="Z62" s="22"/>
      <c r="AA62" s="22"/>
      <c r="AB62" s="22"/>
      <c r="AC62" s="22"/>
      <c r="AD62" s="22"/>
      <c r="AE62" s="22"/>
      <c r="AF62" s="22"/>
      <c r="AG62" s="22"/>
      <c r="AH62" s="22"/>
      <c r="AI62" s="22"/>
      <c r="AJ62" s="22"/>
      <c r="AK62" s="22"/>
      <c r="AL62" s="22"/>
      <c r="AM62" s="22"/>
      <c r="AN62" s="22"/>
      <c r="AO62" s="22"/>
      <c r="AP62" s="22"/>
      <c r="AQ62" s="22"/>
      <c r="AR62" s="22"/>
      <c r="AS62" s="22"/>
      <c r="AT62" s="22"/>
      <c r="AU62" s="22"/>
      <c r="AV62" s="22"/>
      <c r="AW62" s="22"/>
    </row>
    <row r="63" spans="2:49" x14ac:dyDescent="0.15">
      <c r="B63" s="22"/>
      <c r="C63" s="22"/>
      <c r="D63" s="22"/>
      <c r="E63" s="22"/>
      <c r="F63" s="22"/>
      <c r="G63" s="22"/>
      <c r="H63" s="22"/>
      <c r="I63" s="22"/>
      <c r="J63" s="22"/>
      <c r="K63" s="22"/>
      <c r="L63" s="22"/>
      <c r="M63" s="22"/>
      <c r="N63" s="22"/>
      <c r="O63" s="22"/>
      <c r="P63" s="22"/>
      <c r="Q63" s="22"/>
      <c r="R63" s="22"/>
      <c r="S63" s="22"/>
      <c r="T63" s="22"/>
      <c r="U63" s="22"/>
      <c r="V63" s="22"/>
      <c r="W63" s="22"/>
      <c r="X63" s="22"/>
      <c r="Y63" s="22"/>
      <c r="Z63" s="22"/>
      <c r="AA63" s="22"/>
      <c r="AB63" s="22"/>
      <c r="AC63" s="22"/>
      <c r="AD63" s="22"/>
      <c r="AE63" s="22"/>
      <c r="AF63" s="22"/>
      <c r="AG63" s="22"/>
      <c r="AH63" s="22"/>
      <c r="AI63" s="22"/>
      <c r="AJ63" s="22"/>
      <c r="AK63" s="22"/>
      <c r="AL63" s="22"/>
      <c r="AM63" s="22"/>
      <c r="AN63" s="22"/>
      <c r="AO63" s="22"/>
      <c r="AP63" s="22"/>
      <c r="AQ63" s="22"/>
      <c r="AR63" s="22"/>
      <c r="AS63" s="22"/>
      <c r="AT63" s="22"/>
      <c r="AU63" s="22"/>
      <c r="AV63" s="22"/>
      <c r="AW63" s="22"/>
    </row>
    <row r="64" spans="2:49" x14ac:dyDescent="0.15">
      <c r="B64" s="22"/>
      <c r="C64" s="22"/>
      <c r="D64" s="22"/>
      <c r="E64" s="22"/>
      <c r="F64" s="22"/>
      <c r="G64" s="22"/>
      <c r="H64" s="22"/>
      <c r="I64" s="22"/>
      <c r="J64" s="22"/>
      <c r="K64" s="22"/>
      <c r="L64" s="22"/>
      <c r="M64" s="22"/>
      <c r="N64" s="22"/>
      <c r="O64" s="22"/>
      <c r="P64" s="22"/>
      <c r="Q64" s="22"/>
      <c r="R64" s="22"/>
      <c r="S64" s="22"/>
      <c r="T64" s="22"/>
      <c r="U64" s="22"/>
      <c r="V64" s="22"/>
      <c r="W64" s="22"/>
      <c r="X64" s="22"/>
      <c r="Y64" s="22"/>
      <c r="Z64" s="22"/>
      <c r="AA64" s="22"/>
      <c r="AB64" s="22"/>
      <c r="AC64" s="22"/>
      <c r="AD64" s="22"/>
      <c r="AE64" s="22"/>
      <c r="AF64" s="22"/>
      <c r="AG64" s="22"/>
      <c r="AH64" s="22"/>
      <c r="AI64" s="22"/>
      <c r="AJ64" s="22"/>
      <c r="AK64" s="22"/>
      <c r="AL64" s="22"/>
      <c r="AM64" s="22"/>
      <c r="AN64" s="22"/>
      <c r="AO64" s="22"/>
      <c r="AP64" s="22"/>
      <c r="AQ64" s="22"/>
      <c r="AR64" s="22"/>
      <c r="AS64" s="22"/>
      <c r="AT64" s="22"/>
      <c r="AU64" s="22"/>
      <c r="AV64" s="22"/>
      <c r="AW64" s="22"/>
    </row>
    <row r="65" spans="2:49" x14ac:dyDescent="0.15">
      <c r="B65" s="22"/>
      <c r="C65" s="22"/>
      <c r="D65" s="22"/>
      <c r="E65" s="22"/>
      <c r="F65" s="22"/>
      <c r="G65" s="22"/>
      <c r="H65" s="22"/>
      <c r="I65" s="22"/>
      <c r="J65" s="22"/>
      <c r="K65" s="22"/>
      <c r="L65" s="22"/>
      <c r="M65" s="22"/>
      <c r="N65" s="22"/>
      <c r="O65" s="22"/>
      <c r="P65" s="22"/>
      <c r="Q65" s="22"/>
      <c r="R65" s="22"/>
      <c r="S65" s="22"/>
      <c r="T65" s="22"/>
      <c r="U65" s="22"/>
      <c r="V65" s="22"/>
      <c r="W65" s="22"/>
      <c r="X65" s="22"/>
      <c r="Y65" s="22"/>
      <c r="Z65" s="22"/>
      <c r="AA65" s="22"/>
      <c r="AB65" s="22"/>
      <c r="AC65" s="22"/>
      <c r="AD65" s="22"/>
      <c r="AE65" s="22"/>
      <c r="AF65" s="22"/>
      <c r="AG65" s="22"/>
      <c r="AH65" s="22"/>
      <c r="AI65" s="22"/>
      <c r="AJ65" s="22"/>
      <c r="AK65" s="22"/>
      <c r="AL65" s="22"/>
      <c r="AM65" s="22"/>
      <c r="AN65" s="22"/>
      <c r="AO65" s="22"/>
      <c r="AP65" s="22"/>
      <c r="AQ65" s="22"/>
      <c r="AR65" s="22"/>
      <c r="AS65" s="22"/>
      <c r="AT65" s="22"/>
      <c r="AU65" s="22"/>
      <c r="AV65" s="22"/>
      <c r="AW65" s="22"/>
    </row>
    <row r="66" spans="2:49" x14ac:dyDescent="0.15">
      <c r="B66" s="22"/>
      <c r="C66" s="22"/>
      <c r="D66" s="22"/>
      <c r="E66" s="22"/>
      <c r="F66" s="22"/>
      <c r="G66" s="22"/>
      <c r="H66" s="22"/>
      <c r="I66" s="22"/>
      <c r="J66" s="22"/>
      <c r="K66" s="22"/>
      <c r="L66" s="22"/>
      <c r="M66" s="22"/>
      <c r="N66" s="22"/>
      <c r="O66" s="22"/>
      <c r="P66" s="22"/>
      <c r="Q66" s="22"/>
      <c r="R66" s="22"/>
      <c r="S66" s="22"/>
      <c r="T66" s="22"/>
      <c r="U66" s="22"/>
      <c r="V66" s="22"/>
      <c r="W66" s="22"/>
      <c r="X66" s="22"/>
      <c r="Y66" s="22"/>
      <c r="Z66" s="22"/>
      <c r="AA66" s="22"/>
      <c r="AB66" s="22"/>
      <c r="AC66" s="22"/>
      <c r="AD66" s="22"/>
      <c r="AE66" s="22"/>
      <c r="AF66" s="22"/>
      <c r="AG66" s="22"/>
      <c r="AH66" s="22"/>
      <c r="AI66" s="22"/>
      <c r="AJ66" s="22"/>
      <c r="AK66" s="22"/>
      <c r="AL66" s="22"/>
      <c r="AM66" s="22"/>
      <c r="AN66" s="22"/>
      <c r="AO66" s="22"/>
      <c r="AP66" s="22"/>
      <c r="AQ66" s="22"/>
      <c r="AR66" s="22"/>
      <c r="AS66" s="22"/>
      <c r="AT66" s="22"/>
      <c r="AU66" s="22"/>
      <c r="AV66" s="22"/>
      <c r="AW66" s="22"/>
    </row>
    <row r="67" spans="2:49" x14ac:dyDescent="0.15">
      <c r="B67" s="22"/>
      <c r="C67" s="22"/>
      <c r="D67" s="22"/>
      <c r="E67" s="22"/>
      <c r="F67" s="22"/>
      <c r="G67" s="22"/>
      <c r="H67" s="22"/>
      <c r="I67" s="22"/>
      <c r="J67" s="22"/>
      <c r="K67" s="22"/>
      <c r="L67" s="22"/>
      <c r="M67" s="22"/>
      <c r="N67" s="22"/>
      <c r="O67" s="22"/>
      <c r="P67" s="22"/>
      <c r="Q67" s="22"/>
      <c r="R67" s="22"/>
      <c r="S67" s="22"/>
      <c r="T67" s="22"/>
      <c r="U67" s="22"/>
      <c r="V67" s="22"/>
      <c r="W67" s="22"/>
      <c r="X67" s="22"/>
      <c r="Y67" s="22"/>
      <c r="Z67" s="22"/>
      <c r="AA67" s="22"/>
      <c r="AB67" s="22"/>
      <c r="AC67" s="22"/>
      <c r="AD67" s="22"/>
      <c r="AE67" s="22"/>
      <c r="AF67" s="22"/>
      <c r="AG67" s="22"/>
      <c r="AH67" s="22"/>
      <c r="AI67" s="22"/>
      <c r="AJ67" s="22"/>
      <c r="AK67" s="22"/>
      <c r="AL67" s="22"/>
      <c r="AM67" s="22"/>
      <c r="AN67" s="22"/>
      <c r="AO67" s="22"/>
      <c r="AP67" s="22"/>
      <c r="AQ67" s="22"/>
      <c r="AR67" s="22"/>
      <c r="AS67" s="22"/>
      <c r="AT67" s="22"/>
      <c r="AU67" s="22"/>
      <c r="AV67" s="22"/>
      <c r="AW67" s="22"/>
    </row>
    <row r="68" spans="2:49" x14ac:dyDescent="0.15">
      <c r="B68" s="22"/>
      <c r="C68" s="22"/>
      <c r="D68" s="22"/>
      <c r="E68" s="22"/>
      <c r="F68" s="22"/>
      <c r="G68" s="22"/>
      <c r="H68" s="22"/>
      <c r="I68" s="22"/>
      <c r="J68" s="22"/>
      <c r="K68" s="22"/>
      <c r="L68" s="22"/>
      <c r="M68" s="22"/>
      <c r="N68" s="22"/>
      <c r="O68" s="22"/>
      <c r="P68" s="22"/>
      <c r="Q68" s="22"/>
      <c r="R68" s="22"/>
      <c r="S68" s="22"/>
      <c r="T68" s="22"/>
      <c r="U68" s="22"/>
      <c r="V68" s="22"/>
      <c r="W68" s="22"/>
      <c r="X68" s="22"/>
      <c r="Y68" s="22"/>
      <c r="Z68" s="22"/>
      <c r="AA68" s="22"/>
      <c r="AB68" s="22"/>
      <c r="AC68" s="22"/>
      <c r="AD68" s="22"/>
      <c r="AE68" s="22"/>
      <c r="AF68" s="22"/>
      <c r="AG68" s="22"/>
      <c r="AH68" s="22"/>
      <c r="AI68" s="22"/>
      <c r="AJ68" s="22"/>
      <c r="AK68" s="22"/>
      <c r="AL68" s="22"/>
      <c r="AM68" s="22"/>
      <c r="AN68" s="22"/>
      <c r="AO68" s="22"/>
      <c r="AP68" s="22"/>
      <c r="AQ68" s="22"/>
      <c r="AR68" s="22"/>
      <c r="AS68" s="22"/>
      <c r="AT68" s="22"/>
      <c r="AU68" s="22"/>
      <c r="AV68" s="22"/>
      <c r="AW68" s="22"/>
    </row>
    <row r="69" spans="2:49" x14ac:dyDescent="0.15">
      <c r="B69" s="22"/>
      <c r="C69" s="22"/>
      <c r="D69" s="22"/>
      <c r="E69" s="22"/>
      <c r="F69" s="22"/>
      <c r="G69" s="22"/>
      <c r="H69" s="22"/>
      <c r="I69" s="22"/>
      <c r="J69" s="22"/>
      <c r="K69" s="22"/>
      <c r="L69" s="22"/>
      <c r="M69" s="22"/>
      <c r="N69" s="22"/>
      <c r="O69" s="22"/>
      <c r="P69" s="22"/>
      <c r="Q69" s="22"/>
      <c r="R69" s="22"/>
      <c r="S69" s="22"/>
      <c r="T69" s="22"/>
      <c r="U69" s="22"/>
      <c r="V69" s="22"/>
      <c r="W69" s="22"/>
      <c r="X69" s="22"/>
      <c r="Y69" s="22"/>
      <c r="Z69" s="22"/>
      <c r="AA69" s="22"/>
      <c r="AB69" s="22"/>
      <c r="AC69" s="22"/>
      <c r="AD69" s="22"/>
      <c r="AE69" s="22"/>
      <c r="AF69" s="22"/>
      <c r="AG69" s="22"/>
      <c r="AH69" s="22"/>
      <c r="AI69" s="22"/>
      <c r="AJ69" s="22"/>
      <c r="AK69" s="22"/>
      <c r="AL69" s="22"/>
      <c r="AM69" s="22"/>
      <c r="AN69" s="22"/>
      <c r="AO69" s="22"/>
      <c r="AP69" s="22"/>
      <c r="AQ69" s="22"/>
      <c r="AR69" s="22"/>
      <c r="AS69" s="22"/>
      <c r="AT69" s="22"/>
      <c r="AU69" s="22"/>
      <c r="AV69" s="22"/>
      <c r="AW69" s="22"/>
    </row>
    <row r="70" spans="2:49" x14ac:dyDescent="0.15">
      <c r="B70" s="22"/>
      <c r="C70" s="22"/>
      <c r="D70" s="22"/>
      <c r="E70" s="22"/>
      <c r="F70" s="22"/>
      <c r="G70" s="22"/>
      <c r="H70" s="22"/>
      <c r="I70" s="22"/>
      <c r="J70" s="22"/>
      <c r="K70" s="22"/>
      <c r="L70" s="22"/>
      <c r="M70" s="22"/>
      <c r="N70" s="22"/>
      <c r="O70" s="22"/>
      <c r="P70" s="22"/>
      <c r="Q70" s="22"/>
      <c r="R70" s="22"/>
      <c r="S70" s="22"/>
      <c r="T70" s="22"/>
      <c r="U70" s="22"/>
      <c r="V70" s="22"/>
      <c r="W70" s="22"/>
      <c r="X70" s="22"/>
      <c r="Y70" s="22"/>
      <c r="Z70" s="22"/>
      <c r="AA70" s="22"/>
      <c r="AB70" s="22"/>
      <c r="AC70" s="22"/>
      <c r="AD70" s="22"/>
      <c r="AE70" s="22"/>
      <c r="AF70" s="22"/>
      <c r="AG70" s="22"/>
      <c r="AH70" s="22"/>
      <c r="AI70" s="22"/>
      <c r="AJ70" s="22"/>
      <c r="AK70" s="22"/>
      <c r="AL70" s="22"/>
      <c r="AM70" s="22"/>
      <c r="AN70" s="22"/>
      <c r="AO70" s="22"/>
      <c r="AP70" s="22"/>
      <c r="AQ70" s="22"/>
      <c r="AR70" s="22"/>
      <c r="AS70" s="22"/>
      <c r="AT70" s="22"/>
      <c r="AU70" s="22"/>
      <c r="AV70" s="22"/>
      <c r="AW70" s="22"/>
    </row>
    <row r="71" spans="2:49" x14ac:dyDescent="0.15">
      <c r="B71" s="22"/>
      <c r="C71" s="22"/>
      <c r="D71" s="22"/>
      <c r="E71" s="22"/>
      <c r="F71" s="22"/>
      <c r="G71" s="22"/>
      <c r="H71" s="22"/>
      <c r="I71" s="22"/>
      <c r="J71" s="22"/>
      <c r="K71" s="22"/>
      <c r="L71" s="22"/>
      <c r="M71" s="22"/>
      <c r="N71" s="22"/>
      <c r="O71" s="22"/>
      <c r="P71" s="22"/>
      <c r="Q71" s="22"/>
      <c r="R71" s="22"/>
      <c r="S71" s="22"/>
      <c r="T71" s="22"/>
      <c r="U71" s="22"/>
      <c r="V71" s="22"/>
      <c r="W71" s="22"/>
      <c r="X71" s="22"/>
      <c r="Y71" s="22"/>
      <c r="Z71" s="22"/>
      <c r="AA71" s="22"/>
      <c r="AB71" s="22"/>
      <c r="AC71" s="22"/>
      <c r="AD71" s="22"/>
      <c r="AE71" s="22"/>
      <c r="AF71" s="22"/>
      <c r="AG71" s="22"/>
      <c r="AH71" s="22"/>
      <c r="AI71" s="22"/>
      <c r="AJ71" s="22"/>
      <c r="AK71" s="22"/>
      <c r="AL71" s="22"/>
      <c r="AM71" s="22"/>
      <c r="AN71" s="22"/>
      <c r="AO71" s="22"/>
      <c r="AP71" s="22"/>
      <c r="AQ71" s="22"/>
      <c r="AR71" s="22"/>
      <c r="AS71" s="22"/>
      <c r="AT71" s="22"/>
      <c r="AU71" s="22"/>
      <c r="AV71" s="22"/>
      <c r="AW71" s="22"/>
    </row>
    <row r="72" spans="2:49" x14ac:dyDescent="0.15">
      <c r="B72" s="22"/>
      <c r="C72" s="22"/>
      <c r="D72" s="22"/>
      <c r="E72" s="22"/>
      <c r="F72" s="22"/>
      <c r="G72" s="22"/>
      <c r="H72" s="22"/>
      <c r="I72" s="22"/>
      <c r="J72" s="22"/>
      <c r="K72" s="22"/>
      <c r="L72" s="22"/>
      <c r="M72" s="22"/>
      <c r="N72" s="22"/>
      <c r="O72" s="22"/>
      <c r="P72" s="22"/>
      <c r="Q72" s="22"/>
      <c r="R72" s="22"/>
      <c r="S72" s="22"/>
      <c r="T72" s="22"/>
      <c r="U72" s="22"/>
      <c r="V72" s="22"/>
      <c r="W72" s="22"/>
      <c r="X72" s="22"/>
      <c r="Y72" s="22"/>
      <c r="Z72" s="22"/>
      <c r="AA72" s="22"/>
      <c r="AB72" s="22"/>
      <c r="AC72" s="22"/>
      <c r="AD72" s="22"/>
      <c r="AE72" s="22"/>
      <c r="AF72" s="22"/>
      <c r="AG72" s="22"/>
      <c r="AH72" s="22"/>
      <c r="AI72" s="22"/>
      <c r="AJ72" s="22"/>
      <c r="AK72" s="22"/>
      <c r="AL72" s="22"/>
      <c r="AM72" s="22"/>
      <c r="AN72" s="22"/>
      <c r="AO72" s="22"/>
      <c r="AP72" s="22"/>
      <c r="AQ72" s="22"/>
      <c r="AR72" s="22"/>
      <c r="AS72" s="22"/>
      <c r="AT72" s="22"/>
      <c r="AU72" s="22"/>
      <c r="AV72" s="22"/>
      <c r="AW72" s="22"/>
    </row>
    <row r="73" spans="2:49" x14ac:dyDescent="0.15">
      <c r="B73" s="22"/>
      <c r="C73" s="22"/>
      <c r="D73" s="22"/>
      <c r="E73" s="22"/>
      <c r="F73" s="22"/>
      <c r="G73" s="22"/>
      <c r="H73" s="22"/>
      <c r="I73" s="22"/>
      <c r="J73" s="22"/>
      <c r="K73" s="22"/>
      <c r="L73" s="22"/>
      <c r="M73" s="22"/>
      <c r="N73" s="22"/>
      <c r="O73" s="22"/>
      <c r="P73" s="22"/>
      <c r="Q73" s="22"/>
      <c r="R73" s="22"/>
      <c r="S73" s="22"/>
      <c r="T73" s="22"/>
      <c r="U73" s="22"/>
      <c r="V73" s="22"/>
      <c r="W73" s="22"/>
      <c r="X73" s="22"/>
      <c r="Y73" s="22"/>
      <c r="Z73" s="22"/>
      <c r="AA73" s="22"/>
      <c r="AB73" s="22"/>
      <c r="AC73" s="22"/>
      <c r="AD73" s="22"/>
      <c r="AE73" s="22"/>
      <c r="AF73" s="22"/>
      <c r="AG73" s="22"/>
      <c r="AH73" s="22"/>
      <c r="AI73" s="22"/>
      <c r="AJ73" s="22"/>
      <c r="AK73" s="22"/>
      <c r="AL73" s="22"/>
      <c r="AM73" s="22"/>
      <c r="AN73" s="22"/>
      <c r="AO73" s="22"/>
      <c r="AP73" s="22"/>
      <c r="AQ73" s="22"/>
      <c r="AR73" s="22"/>
      <c r="AS73" s="22"/>
      <c r="AT73" s="22"/>
      <c r="AU73" s="22"/>
      <c r="AV73" s="22"/>
      <c r="AW73" s="22"/>
    </row>
    <row r="74" spans="2:49" x14ac:dyDescent="0.15">
      <c r="B74" s="22"/>
      <c r="C74" s="22"/>
      <c r="D74" s="22"/>
      <c r="E74" s="22"/>
      <c r="F74" s="22"/>
      <c r="G74" s="22"/>
      <c r="H74" s="22"/>
      <c r="I74" s="22"/>
      <c r="J74" s="22"/>
      <c r="K74" s="22"/>
      <c r="L74" s="22"/>
      <c r="M74" s="22"/>
      <c r="N74" s="22"/>
      <c r="O74" s="22"/>
      <c r="P74" s="22"/>
      <c r="Q74" s="22"/>
      <c r="R74" s="22"/>
      <c r="S74" s="22"/>
      <c r="T74" s="22"/>
      <c r="U74" s="22"/>
      <c r="V74" s="22"/>
      <c r="W74" s="22"/>
      <c r="X74" s="22"/>
      <c r="Y74" s="22"/>
      <c r="Z74" s="22"/>
      <c r="AA74" s="22"/>
      <c r="AB74" s="22"/>
      <c r="AC74" s="22"/>
      <c r="AD74" s="22"/>
      <c r="AE74" s="22"/>
      <c r="AF74" s="22"/>
      <c r="AG74" s="22"/>
      <c r="AH74" s="22"/>
      <c r="AI74" s="22"/>
      <c r="AJ74" s="22"/>
      <c r="AK74" s="22"/>
      <c r="AL74" s="22"/>
      <c r="AM74" s="22"/>
      <c r="AN74" s="22"/>
      <c r="AO74" s="22"/>
      <c r="AP74" s="22"/>
      <c r="AQ74" s="22"/>
      <c r="AR74" s="22"/>
      <c r="AS74" s="22"/>
      <c r="AT74" s="22"/>
      <c r="AU74" s="22"/>
      <c r="AV74" s="22"/>
      <c r="AW74" s="22"/>
    </row>
    <row r="75" spans="2:49" x14ac:dyDescent="0.15">
      <c r="B75" s="22"/>
      <c r="C75" s="22"/>
      <c r="D75" s="22"/>
      <c r="E75" s="22"/>
      <c r="F75" s="22"/>
      <c r="G75" s="22"/>
      <c r="H75" s="22"/>
      <c r="I75" s="22"/>
      <c r="J75" s="22"/>
      <c r="K75" s="22"/>
      <c r="L75" s="22"/>
      <c r="M75" s="22"/>
      <c r="N75" s="22"/>
      <c r="O75" s="22"/>
      <c r="P75" s="22"/>
      <c r="Q75" s="22"/>
      <c r="R75" s="22"/>
      <c r="S75" s="22"/>
      <c r="T75" s="22"/>
      <c r="U75" s="22"/>
      <c r="V75" s="22"/>
      <c r="W75" s="22"/>
      <c r="X75" s="22"/>
      <c r="Y75" s="22"/>
      <c r="Z75" s="22"/>
      <c r="AA75" s="22"/>
      <c r="AB75" s="22"/>
      <c r="AC75" s="22"/>
      <c r="AD75" s="22"/>
      <c r="AE75" s="22"/>
      <c r="AF75" s="22"/>
      <c r="AG75" s="22"/>
      <c r="AH75" s="22"/>
      <c r="AI75" s="22"/>
      <c r="AJ75" s="22"/>
      <c r="AK75" s="22"/>
      <c r="AL75" s="22"/>
      <c r="AM75" s="22"/>
      <c r="AN75" s="22"/>
      <c r="AO75" s="22"/>
      <c r="AP75" s="22"/>
      <c r="AQ75" s="22"/>
      <c r="AR75" s="22"/>
      <c r="AS75" s="22"/>
      <c r="AT75" s="22"/>
      <c r="AU75" s="22"/>
      <c r="AV75" s="22"/>
      <c r="AW75" s="22"/>
    </row>
    <row r="76" spans="2:49" x14ac:dyDescent="0.15">
      <c r="B76" s="22"/>
      <c r="C76" s="22"/>
      <c r="D76" s="22"/>
      <c r="E76" s="22"/>
      <c r="F76" s="22"/>
      <c r="G76" s="22"/>
      <c r="H76" s="22"/>
      <c r="I76" s="22"/>
      <c r="J76" s="22"/>
      <c r="K76" s="22"/>
      <c r="L76" s="22"/>
      <c r="M76" s="22"/>
      <c r="N76" s="22"/>
      <c r="O76" s="22"/>
      <c r="P76" s="22"/>
      <c r="Q76" s="22"/>
      <c r="R76" s="22"/>
      <c r="S76" s="22"/>
      <c r="T76" s="22"/>
      <c r="U76" s="22"/>
      <c r="V76" s="22"/>
      <c r="W76" s="22"/>
      <c r="X76" s="22"/>
      <c r="Y76" s="22"/>
      <c r="Z76" s="22"/>
      <c r="AA76" s="22"/>
      <c r="AB76" s="22"/>
      <c r="AC76" s="22"/>
      <c r="AD76" s="22"/>
      <c r="AE76" s="22"/>
      <c r="AF76" s="22"/>
      <c r="AG76" s="22"/>
      <c r="AH76" s="22"/>
      <c r="AI76" s="22"/>
      <c r="AJ76" s="22"/>
      <c r="AK76" s="22"/>
      <c r="AL76" s="22"/>
      <c r="AM76" s="22"/>
      <c r="AN76" s="22"/>
      <c r="AO76" s="22"/>
      <c r="AP76" s="22"/>
      <c r="AQ76" s="22"/>
      <c r="AR76" s="22"/>
      <c r="AS76" s="22"/>
      <c r="AT76" s="22"/>
      <c r="AU76" s="22"/>
      <c r="AV76" s="22"/>
      <c r="AW76" s="22"/>
    </row>
    <row r="77" spans="2:49" x14ac:dyDescent="0.15">
      <c r="B77" s="22"/>
      <c r="C77" s="22"/>
      <c r="D77" s="22"/>
      <c r="E77" s="22"/>
      <c r="F77" s="22"/>
      <c r="G77" s="22"/>
      <c r="H77" s="22"/>
      <c r="I77" s="22"/>
      <c r="J77" s="22"/>
      <c r="K77" s="22"/>
      <c r="L77" s="22"/>
      <c r="M77" s="22"/>
      <c r="N77" s="22"/>
      <c r="O77" s="22"/>
      <c r="P77" s="22"/>
      <c r="Q77" s="22"/>
      <c r="R77" s="22"/>
      <c r="S77" s="22"/>
      <c r="T77" s="22"/>
      <c r="U77" s="22"/>
      <c r="V77" s="22"/>
      <c r="W77" s="22"/>
      <c r="X77" s="22"/>
      <c r="Y77" s="22"/>
      <c r="Z77" s="22"/>
      <c r="AA77" s="22"/>
      <c r="AB77" s="22"/>
      <c r="AC77" s="22"/>
      <c r="AD77" s="22"/>
      <c r="AE77" s="22"/>
      <c r="AF77" s="22"/>
      <c r="AG77" s="22"/>
      <c r="AH77" s="22"/>
      <c r="AI77" s="22"/>
      <c r="AJ77" s="22"/>
      <c r="AK77" s="22"/>
      <c r="AL77" s="22"/>
      <c r="AM77" s="22"/>
      <c r="AN77" s="22"/>
      <c r="AO77" s="22"/>
      <c r="AP77" s="22"/>
      <c r="AQ77" s="22"/>
      <c r="AR77" s="22"/>
      <c r="AS77" s="22"/>
      <c r="AT77" s="22"/>
      <c r="AU77" s="22"/>
      <c r="AV77" s="22"/>
      <c r="AW77" s="22"/>
    </row>
    <row r="78" spans="2:49" x14ac:dyDescent="0.15">
      <c r="B78" s="22"/>
      <c r="C78" s="22"/>
      <c r="D78" s="22"/>
      <c r="E78" s="22"/>
      <c r="F78" s="22"/>
      <c r="G78" s="22"/>
      <c r="H78" s="22"/>
      <c r="I78" s="22"/>
      <c r="J78" s="22"/>
      <c r="K78" s="22"/>
      <c r="L78" s="22"/>
      <c r="M78" s="22"/>
      <c r="N78" s="22"/>
      <c r="O78" s="22"/>
      <c r="P78" s="22"/>
      <c r="Q78" s="22"/>
      <c r="R78" s="22"/>
      <c r="S78" s="22"/>
      <c r="T78" s="22"/>
      <c r="U78" s="22"/>
      <c r="V78" s="22"/>
      <c r="W78" s="22"/>
      <c r="X78" s="22"/>
      <c r="Y78" s="22"/>
      <c r="Z78" s="22"/>
      <c r="AA78" s="22"/>
      <c r="AB78" s="22"/>
      <c r="AC78" s="22"/>
      <c r="AD78" s="22"/>
      <c r="AE78" s="22"/>
      <c r="AF78" s="22"/>
      <c r="AG78" s="22"/>
      <c r="AH78" s="22"/>
      <c r="AI78" s="22"/>
      <c r="AJ78" s="22"/>
      <c r="AK78" s="22"/>
      <c r="AL78" s="22"/>
      <c r="AM78" s="22"/>
      <c r="AN78" s="22"/>
      <c r="AO78" s="22"/>
      <c r="AP78" s="22"/>
      <c r="AQ78" s="22"/>
      <c r="AR78" s="22"/>
      <c r="AS78" s="22"/>
      <c r="AT78" s="22"/>
      <c r="AU78" s="22"/>
      <c r="AV78" s="22"/>
      <c r="AW78" s="22"/>
    </row>
    <row r="79" spans="2:49" x14ac:dyDescent="0.15">
      <c r="B79" s="22"/>
      <c r="C79" s="22"/>
      <c r="D79" s="22"/>
      <c r="E79" s="22"/>
      <c r="F79" s="22"/>
      <c r="G79" s="22"/>
      <c r="H79" s="22"/>
      <c r="I79" s="22"/>
      <c r="J79" s="22"/>
      <c r="K79" s="22"/>
      <c r="L79" s="22"/>
      <c r="M79" s="22"/>
      <c r="N79" s="22"/>
      <c r="O79" s="22"/>
      <c r="P79" s="22"/>
      <c r="Q79" s="22"/>
      <c r="R79" s="22"/>
      <c r="S79" s="22"/>
      <c r="T79" s="22"/>
      <c r="U79" s="22"/>
      <c r="V79" s="22"/>
      <c r="W79" s="22"/>
      <c r="X79" s="22"/>
      <c r="Y79" s="22"/>
      <c r="Z79" s="22"/>
      <c r="AA79" s="22"/>
      <c r="AB79" s="22"/>
      <c r="AC79" s="22"/>
      <c r="AD79" s="22"/>
      <c r="AE79" s="22"/>
      <c r="AF79" s="22"/>
      <c r="AG79" s="22"/>
      <c r="AH79" s="22"/>
      <c r="AI79" s="22"/>
      <c r="AJ79" s="22"/>
      <c r="AK79" s="22"/>
      <c r="AL79" s="22"/>
      <c r="AM79" s="22"/>
      <c r="AN79" s="22"/>
      <c r="AO79" s="22"/>
      <c r="AP79" s="22"/>
      <c r="AQ79" s="22"/>
      <c r="AR79" s="22"/>
      <c r="AS79" s="22"/>
      <c r="AT79" s="22"/>
      <c r="AU79" s="22"/>
      <c r="AV79" s="22"/>
      <c r="AW79" s="22"/>
    </row>
    <row r="80" spans="2:49" x14ac:dyDescent="0.15">
      <c r="B80" s="22"/>
      <c r="C80" s="22"/>
      <c r="D80" s="22"/>
      <c r="E80" s="22"/>
      <c r="F80" s="22"/>
      <c r="G80" s="22"/>
      <c r="H80" s="22"/>
      <c r="I80" s="22"/>
      <c r="J80" s="22"/>
      <c r="K80" s="22"/>
      <c r="L80" s="22"/>
      <c r="M80" s="22"/>
      <c r="N80" s="22"/>
      <c r="O80" s="22"/>
      <c r="P80" s="22"/>
      <c r="Q80" s="22"/>
      <c r="R80" s="22"/>
      <c r="S80" s="22"/>
      <c r="T80" s="22"/>
      <c r="U80" s="22"/>
      <c r="V80" s="22"/>
      <c r="W80" s="22"/>
      <c r="X80" s="22"/>
      <c r="Y80" s="22"/>
      <c r="Z80" s="22"/>
      <c r="AA80" s="22"/>
      <c r="AB80" s="22"/>
      <c r="AC80" s="22"/>
      <c r="AD80" s="22"/>
      <c r="AE80" s="22"/>
      <c r="AF80" s="22"/>
      <c r="AG80" s="22"/>
      <c r="AH80" s="22"/>
      <c r="AI80" s="22"/>
      <c r="AJ80" s="22"/>
      <c r="AK80" s="22"/>
      <c r="AL80" s="22"/>
      <c r="AM80" s="22"/>
      <c r="AN80" s="22"/>
      <c r="AO80" s="22"/>
      <c r="AP80" s="22"/>
      <c r="AQ80" s="22"/>
      <c r="AR80" s="22"/>
      <c r="AS80" s="22"/>
      <c r="AT80" s="22"/>
      <c r="AU80" s="22"/>
      <c r="AV80" s="22"/>
      <c r="AW80" s="22"/>
    </row>
    <row r="81" spans="2:49" x14ac:dyDescent="0.15">
      <c r="B81" s="22"/>
      <c r="C81" s="22"/>
      <c r="D81" s="22"/>
      <c r="E81" s="22"/>
      <c r="F81" s="22"/>
      <c r="G81" s="22"/>
      <c r="H81" s="22"/>
      <c r="I81" s="22"/>
      <c r="J81" s="22"/>
      <c r="K81" s="22"/>
      <c r="L81" s="22"/>
      <c r="M81" s="22"/>
      <c r="N81" s="22"/>
      <c r="O81" s="22"/>
      <c r="P81" s="22"/>
      <c r="Q81" s="22"/>
      <c r="R81" s="22"/>
      <c r="S81" s="22"/>
      <c r="T81" s="22"/>
      <c r="U81" s="22"/>
      <c r="V81" s="22"/>
      <c r="W81" s="22"/>
      <c r="X81" s="22"/>
      <c r="Y81" s="22"/>
      <c r="Z81" s="22"/>
      <c r="AA81" s="22"/>
      <c r="AB81" s="22"/>
      <c r="AC81" s="22"/>
      <c r="AD81" s="22"/>
      <c r="AE81" s="22"/>
      <c r="AF81" s="22"/>
      <c r="AG81" s="22"/>
      <c r="AH81" s="22"/>
      <c r="AI81" s="22"/>
      <c r="AJ81" s="22"/>
      <c r="AK81" s="22"/>
      <c r="AL81" s="22"/>
      <c r="AM81" s="22"/>
      <c r="AN81" s="22"/>
      <c r="AO81" s="22"/>
      <c r="AP81" s="22"/>
      <c r="AQ81" s="22"/>
      <c r="AR81" s="22"/>
      <c r="AS81" s="22"/>
      <c r="AT81" s="22"/>
      <c r="AU81" s="22"/>
      <c r="AV81" s="22"/>
      <c r="AW81" s="22"/>
    </row>
    <row r="82" spans="2:49" x14ac:dyDescent="0.15">
      <c r="B82" s="22"/>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row>
    <row r="83" spans="2:49" x14ac:dyDescent="0.15">
      <c r="B83" s="22"/>
      <c r="C83" s="22"/>
      <c r="D83" s="22"/>
      <c r="E83" s="22"/>
      <c r="F83" s="22"/>
      <c r="G83" s="22"/>
      <c r="H83" s="22"/>
      <c r="I83" s="22"/>
      <c r="J83" s="22"/>
      <c r="K83" s="22"/>
      <c r="L83" s="22"/>
      <c r="M83" s="22"/>
      <c r="N83" s="22"/>
      <c r="O83" s="22"/>
      <c r="P83" s="22"/>
      <c r="Q83" s="22"/>
      <c r="R83" s="22"/>
      <c r="S83" s="22"/>
      <c r="T83" s="22"/>
      <c r="U83" s="22"/>
      <c r="V83" s="22"/>
      <c r="W83" s="22"/>
      <c r="X83" s="22"/>
      <c r="Y83" s="22"/>
      <c r="Z83" s="22"/>
      <c r="AA83" s="22"/>
      <c r="AB83" s="22"/>
      <c r="AC83" s="22"/>
      <c r="AD83" s="22"/>
      <c r="AE83" s="22"/>
      <c r="AF83" s="22"/>
      <c r="AG83" s="22"/>
      <c r="AH83" s="22"/>
      <c r="AI83" s="22"/>
      <c r="AJ83" s="22"/>
      <c r="AK83" s="22"/>
      <c r="AL83" s="22"/>
      <c r="AM83" s="22"/>
      <c r="AN83" s="22"/>
      <c r="AO83" s="22"/>
      <c r="AP83" s="22"/>
      <c r="AQ83" s="22"/>
      <c r="AR83" s="22"/>
      <c r="AS83" s="22"/>
      <c r="AT83" s="22"/>
      <c r="AU83" s="22"/>
      <c r="AV83" s="22"/>
      <c r="AW83" s="22"/>
    </row>
    <row r="84" spans="2:49" x14ac:dyDescent="0.15">
      <c r="B84" s="22"/>
      <c r="C84" s="22"/>
      <c r="D84" s="22"/>
      <c r="E84" s="22"/>
      <c r="F84" s="22"/>
      <c r="G84" s="22"/>
      <c r="H84" s="22"/>
      <c r="I84" s="22"/>
      <c r="J84" s="22"/>
      <c r="K84" s="22"/>
      <c r="L84" s="22"/>
      <c r="M84" s="22"/>
      <c r="N84" s="22"/>
      <c r="O84" s="22"/>
      <c r="P84" s="22"/>
      <c r="Q84" s="22"/>
      <c r="R84" s="22"/>
      <c r="S84" s="22"/>
      <c r="T84" s="22"/>
      <c r="U84" s="22"/>
      <c r="V84" s="22"/>
      <c r="W84" s="22"/>
      <c r="X84" s="22"/>
      <c r="Y84" s="22"/>
      <c r="Z84" s="22"/>
      <c r="AA84" s="22"/>
      <c r="AB84" s="22"/>
      <c r="AC84" s="22"/>
      <c r="AD84" s="22"/>
      <c r="AE84" s="22"/>
      <c r="AF84" s="22"/>
      <c r="AG84" s="22"/>
      <c r="AH84" s="22"/>
      <c r="AI84" s="22"/>
      <c r="AJ84" s="22"/>
      <c r="AK84" s="22"/>
      <c r="AL84" s="22"/>
      <c r="AM84" s="22"/>
      <c r="AN84" s="22"/>
      <c r="AO84" s="22"/>
      <c r="AP84" s="22"/>
      <c r="AQ84" s="22"/>
      <c r="AR84" s="22"/>
      <c r="AS84" s="22"/>
      <c r="AT84" s="22"/>
      <c r="AU84" s="22"/>
      <c r="AV84" s="22"/>
      <c r="AW84" s="22"/>
    </row>
    <row r="85" spans="2:49" x14ac:dyDescent="0.15">
      <c r="B85" s="22"/>
      <c r="C85" s="22"/>
      <c r="D85" s="22"/>
      <c r="E85" s="22"/>
      <c r="F85" s="22"/>
      <c r="G85" s="22"/>
      <c r="H85" s="22"/>
      <c r="I85" s="22"/>
      <c r="J85" s="22"/>
      <c r="K85" s="22"/>
      <c r="L85" s="22"/>
      <c r="M85" s="22"/>
      <c r="N85" s="22"/>
      <c r="O85" s="22"/>
      <c r="P85" s="22"/>
      <c r="Q85" s="22"/>
      <c r="R85" s="22"/>
      <c r="S85" s="22"/>
      <c r="T85" s="22"/>
      <c r="U85" s="22"/>
      <c r="V85" s="22"/>
      <c r="W85" s="22"/>
      <c r="X85" s="22"/>
      <c r="Y85" s="22"/>
      <c r="Z85" s="22"/>
      <c r="AA85" s="22"/>
      <c r="AB85" s="22"/>
      <c r="AC85" s="22"/>
      <c r="AD85" s="22"/>
      <c r="AE85" s="22"/>
      <c r="AF85" s="22"/>
      <c r="AG85" s="22"/>
      <c r="AH85" s="22"/>
      <c r="AI85" s="22"/>
      <c r="AJ85" s="22"/>
      <c r="AK85" s="22"/>
      <c r="AL85" s="22"/>
      <c r="AM85" s="22"/>
      <c r="AN85" s="22"/>
      <c r="AO85" s="22"/>
      <c r="AP85" s="22"/>
      <c r="AQ85" s="22"/>
      <c r="AR85" s="22"/>
      <c r="AS85" s="22"/>
      <c r="AT85" s="22"/>
      <c r="AU85" s="22"/>
      <c r="AV85" s="22"/>
      <c r="AW85" s="22"/>
    </row>
    <row r="86" spans="2:49" x14ac:dyDescent="0.15">
      <c r="B86" s="22"/>
      <c r="C86" s="22"/>
      <c r="D86" s="22"/>
      <c r="E86" s="22"/>
      <c r="F86" s="22"/>
      <c r="G86" s="22"/>
      <c r="H86" s="22"/>
      <c r="I86" s="22"/>
      <c r="J86" s="22"/>
      <c r="K86" s="22"/>
      <c r="L86" s="22"/>
      <c r="M86" s="22"/>
      <c r="N86" s="22"/>
      <c r="O86" s="22"/>
      <c r="P86" s="22"/>
      <c r="Q86" s="22"/>
      <c r="R86" s="22"/>
      <c r="S86" s="22"/>
      <c r="T86" s="22"/>
      <c r="U86" s="22"/>
      <c r="V86" s="22"/>
      <c r="W86" s="22"/>
      <c r="X86" s="22"/>
      <c r="Y86" s="22"/>
      <c r="Z86" s="22"/>
      <c r="AA86" s="22"/>
      <c r="AB86" s="22"/>
      <c r="AC86" s="22"/>
      <c r="AD86" s="22"/>
      <c r="AE86" s="22"/>
      <c r="AF86" s="22"/>
      <c r="AG86" s="22"/>
      <c r="AH86" s="22"/>
      <c r="AI86" s="22"/>
      <c r="AJ86" s="22"/>
      <c r="AK86" s="22"/>
      <c r="AL86" s="22"/>
      <c r="AM86" s="22"/>
      <c r="AN86" s="22"/>
      <c r="AO86" s="22"/>
      <c r="AP86" s="22"/>
      <c r="AQ86" s="22"/>
      <c r="AR86" s="22"/>
      <c r="AS86" s="22"/>
      <c r="AT86" s="22"/>
      <c r="AU86" s="22"/>
      <c r="AV86" s="22"/>
      <c r="AW86" s="22"/>
    </row>
    <row r="87" spans="2:49" x14ac:dyDescent="0.15">
      <c r="B87" s="22"/>
      <c r="C87" s="22"/>
      <c r="D87" s="22"/>
      <c r="E87" s="22"/>
      <c r="F87" s="22"/>
      <c r="G87" s="22"/>
      <c r="H87" s="22"/>
      <c r="I87" s="22"/>
      <c r="J87" s="22"/>
      <c r="K87" s="22"/>
      <c r="L87" s="22"/>
      <c r="M87" s="22"/>
      <c r="N87" s="22"/>
      <c r="O87" s="22"/>
      <c r="P87" s="22"/>
      <c r="Q87" s="22"/>
      <c r="R87" s="22"/>
      <c r="S87" s="22"/>
      <c r="T87" s="22"/>
      <c r="U87" s="22"/>
      <c r="V87" s="22"/>
      <c r="W87" s="22"/>
      <c r="X87" s="22"/>
      <c r="Y87" s="22"/>
      <c r="Z87" s="22"/>
      <c r="AA87" s="22"/>
      <c r="AB87" s="22"/>
      <c r="AC87" s="22"/>
      <c r="AD87" s="22"/>
      <c r="AE87" s="22"/>
      <c r="AF87" s="22"/>
      <c r="AG87" s="22"/>
      <c r="AH87" s="22"/>
      <c r="AI87" s="22"/>
      <c r="AJ87" s="22"/>
      <c r="AK87" s="22"/>
      <c r="AL87" s="22"/>
      <c r="AM87" s="22"/>
      <c r="AN87" s="22"/>
      <c r="AO87" s="22"/>
      <c r="AP87" s="22"/>
      <c r="AQ87" s="22"/>
      <c r="AR87" s="22"/>
      <c r="AS87" s="22"/>
      <c r="AT87" s="22"/>
      <c r="AU87" s="22"/>
      <c r="AV87" s="22"/>
      <c r="AW87" s="22"/>
    </row>
    <row r="88" spans="2:49" x14ac:dyDescent="0.15">
      <c r="B88" s="22"/>
      <c r="C88" s="22"/>
      <c r="D88" s="22"/>
      <c r="E88" s="22"/>
      <c r="F88" s="22"/>
      <c r="G88" s="22"/>
      <c r="H88" s="22"/>
      <c r="I88" s="22"/>
      <c r="J88" s="22"/>
      <c r="K88" s="22"/>
      <c r="L88" s="22"/>
      <c r="M88" s="22"/>
      <c r="N88" s="22"/>
      <c r="O88" s="22"/>
      <c r="P88" s="22"/>
      <c r="Q88" s="22"/>
      <c r="R88" s="22"/>
      <c r="S88" s="22"/>
      <c r="T88" s="22"/>
      <c r="U88" s="22"/>
      <c r="V88" s="22"/>
      <c r="W88" s="22"/>
      <c r="X88" s="22"/>
      <c r="Y88" s="22"/>
      <c r="Z88" s="22"/>
      <c r="AA88" s="22"/>
      <c r="AB88" s="22"/>
      <c r="AC88" s="22"/>
      <c r="AD88" s="22"/>
      <c r="AE88" s="22"/>
      <c r="AF88" s="22"/>
      <c r="AG88" s="22"/>
      <c r="AH88" s="22"/>
      <c r="AI88" s="22"/>
      <c r="AJ88" s="22"/>
      <c r="AK88" s="22"/>
      <c r="AL88" s="22"/>
      <c r="AM88" s="22"/>
      <c r="AN88" s="22"/>
      <c r="AO88" s="22"/>
      <c r="AP88" s="22"/>
      <c r="AQ88" s="22"/>
      <c r="AR88" s="22"/>
      <c r="AS88" s="22"/>
      <c r="AT88" s="22"/>
      <c r="AU88" s="22"/>
      <c r="AV88" s="22"/>
      <c r="AW88" s="22"/>
    </row>
    <row r="89" spans="2:49" x14ac:dyDescent="0.15">
      <c r="B89" s="22"/>
      <c r="C89" s="22"/>
      <c r="D89" s="22"/>
      <c r="E89" s="22"/>
      <c r="F89" s="22"/>
      <c r="G89" s="22"/>
      <c r="H89" s="22"/>
      <c r="I89" s="22"/>
      <c r="J89" s="22"/>
      <c r="K89" s="22"/>
      <c r="L89" s="22"/>
      <c r="M89" s="22"/>
      <c r="N89" s="22"/>
      <c r="O89" s="22"/>
      <c r="P89" s="22"/>
      <c r="Q89" s="22"/>
      <c r="R89" s="22"/>
      <c r="S89" s="22"/>
      <c r="T89" s="22"/>
      <c r="U89" s="22"/>
      <c r="V89" s="22"/>
      <c r="W89" s="22"/>
      <c r="X89" s="22"/>
      <c r="Y89" s="22"/>
      <c r="Z89" s="22"/>
      <c r="AA89" s="22"/>
      <c r="AB89" s="22"/>
      <c r="AC89" s="22"/>
      <c r="AD89" s="22"/>
      <c r="AE89" s="22"/>
      <c r="AF89" s="22"/>
      <c r="AG89" s="22"/>
      <c r="AH89" s="22"/>
      <c r="AI89" s="22"/>
      <c r="AJ89" s="22"/>
      <c r="AK89" s="22"/>
      <c r="AL89" s="22"/>
      <c r="AM89" s="22"/>
      <c r="AN89" s="22"/>
      <c r="AO89" s="22"/>
      <c r="AP89" s="22"/>
      <c r="AQ89" s="22"/>
      <c r="AR89" s="22"/>
      <c r="AS89" s="22"/>
      <c r="AT89" s="22"/>
      <c r="AU89" s="22"/>
      <c r="AV89" s="22"/>
      <c r="AW89" s="22"/>
    </row>
    <row r="90" spans="2:49" x14ac:dyDescent="0.15">
      <c r="B90" s="22"/>
      <c r="C90" s="22"/>
      <c r="D90" s="22"/>
      <c r="E90" s="22"/>
      <c r="F90" s="22"/>
      <c r="G90" s="22"/>
      <c r="H90" s="22"/>
      <c r="I90" s="22"/>
      <c r="J90" s="22"/>
      <c r="K90" s="22"/>
      <c r="L90" s="22"/>
      <c r="M90" s="22"/>
      <c r="N90" s="22"/>
      <c r="O90" s="22"/>
      <c r="P90" s="22"/>
      <c r="Q90" s="22"/>
      <c r="R90" s="22"/>
      <c r="S90" s="22"/>
      <c r="T90" s="22"/>
      <c r="U90" s="22"/>
      <c r="V90" s="22"/>
      <c r="W90" s="22"/>
      <c r="X90" s="22"/>
      <c r="Y90" s="22"/>
      <c r="Z90" s="22"/>
      <c r="AA90" s="22"/>
      <c r="AB90" s="22"/>
      <c r="AC90" s="22"/>
      <c r="AD90" s="22"/>
      <c r="AE90" s="22"/>
      <c r="AF90" s="22"/>
      <c r="AG90" s="22"/>
      <c r="AH90" s="22"/>
      <c r="AI90" s="22"/>
      <c r="AJ90" s="22"/>
      <c r="AK90" s="22"/>
      <c r="AL90" s="22"/>
      <c r="AM90" s="22"/>
      <c r="AN90" s="22"/>
      <c r="AO90" s="22"/>
      <c r="AP90" s="22"/>
      <c r="AQ90" s="22"/>
      <c r="AR90" s="22"/>
      <c r="AS90" s="22"/>
      <c r="AT90" s="22"/>
      <c r="AU90" s="22"/>
      <c r="AV90" s="22"/>
      <c r="AW90" s="22"/>
    </row>
    <row r="91" spans="2:49" x14ac:dyDescent="0.15">
      <c r="B91" s="22"/>
      <c r="C91" s="22"/>
      <c r="D91" s="22"/>
      <c r="E91" s="22"/>
      <c r="F91" s="22"/>
      <c r="G91" s="22"/>
      <c r="H91" s="22"/>
      <c r="I91" s="22"/>
      <c r="J91" s="22"/>
      <c r="K91" s="22"/>
      <c r="L91" s="22"/>
      <c r="M91" s="22"/>
      <c r="N91" s="22"/>
      <c r="O91" s="22"/>
      <c r="P91" s="22"/>
      <c r="Q91" s="22"/>
      <c r="R91" s="22"/>
      <c r="S91" s="22"/>
      <c r="T91" s="22"/>
      <c r="U91" s="22"/>
      <c r="V91" s="22"/>
      <c r="W91" s="22"/>
      <c r="X91" s="22"/>
      <c r="Y91" s="22"/>
      <c r="Z91" s="22"/>
      <c r="AA91" s="22"/>
      <c r="AB91" s="22"/>
      <c r="AC91" s="22"/>
      <c r="AD91" s="22"/>
      <c r="AE91" s="22"/>
      <c r="AF91" s="22"/>
      <c r="AG91" s="22"/>
      <c r="AH91" s="22"/>
      <c r="AI91" s="22"/>
      <c r="AJ91" s="22"/>
      <c r="AK91" s="22"/>
      <c r="AL91" s="22"/>
      <c r="AM91" s="22"/>
      <c r="AN91" s="22"/>
      <c r="AO91" s="22"/>
      <c r="AP91" s="22"/>
      <c r="AQ91" s="22"/>
      <c r="AR91" s="22"/>
      <c r="AS91" s="22"/>
      <c r="AT91" s="22"/>
      <c r="AU91" s="22"/>
      <c r="AV91" s="22"/>
      <c r="AW91" s="22"/>
    </row>
    <row r="92" spans="2:49" x14ac:dyDescent="0.15">
      <c r="B92" s="22"/>
      <c r="C92" s="22"/>
      <c r="D92" s="22"/>
      <c r="E92" s="22"/>
      <c r="F92" s="22"/>
      <c r="G92" s="22"/>
      <c r="H92" s="22"/>
      <c r="I92" s="22"/>
      <c r="J92" s="22"/>
      <c r="K92" s="22"/>
      <c r="L92" s="22"/>
      <c r="M92" s="22"/>
      <c r="N92" s="22"/>
      <c r="O92" s="22"/>
      <c r="P92" s="22"/>
      <c r="Q92" s="22"/>
      <c r="R92" s="22"/>
      <c r="S92" s="22"/>
      <c r="T92" s="22"/>
      <c r="U92" s="22"/>
      <c r="V92" s="22"/>
      <c r="W92" s="22"/>
      <c r="X92" s="22"/>
      <c r="Y92" s="22"/>
      <c r="Z92" s="22"/>
      <c r="AA92" s="22"/>
      <c r="AB92" s="22"/>
      <c r="AC92" s="22"/>
      <c r="AD92" s="22"/>
      <c r="AE92" s="22"/>
      <c r="AF92" s="22"/>
      <c r="AG92" s="22"/>
      <c r="AH92" s="22"/>
      <c r="AI92" s="22"/>
      <c r="AJ92" s="22"/>
      <c r="AK92" s="22"/>
      <c r="AL92" s="22"/>
      <c r="AM92" s="22"/>
      <c r="AN92" s="22"/>
      <c r="AO92" s="22"/>
      <c r="AP92" s="22"/>
      <c r="AQ92" s="22"/>
      <c r="AR92" s="22"/>
      <c r="AS92" s="22"/>
      <c r="AT92" s="22"/>
      <c r="AU92" s="22"/>
      <c r="AV92" s="22"/>
      <c r="AW92" s="22"/>
    </row>
    <row r="93" spans="2:49" x14ac:dyDescent="0.15">
      <c r="B93" s="22"/>
      <c r="C93" s="22"/>
      <c r="D93" s="22"/>
      <c r="E93" s="22"/>
      <c r="F93" s="22"/>
      <c r="G93" s="22"/>
      <c r="H93" s="22"/>
      <c r="I93" s="22"/>
      <c r="J93" s="22"/>
      <c r="K93" s="22"/>
      <c r="L93" s="22"/>
      <c r="M93" s="22"/>
      <c r="N93" s="22"/>
      <c r="O93" s="22"/>
      <c r="P93" s="22"/>
      <c r="Q93" s="22"/>
      <c r="R93" s="22"/>
      <c r="S93" s="22"/>
      <c r="T93" s="22"/>
      <c r="U93" s="22"/>
      <c r="V93" s="22"/>
      <c r="W93" s="22"/>
      <c r="X93" s="22"/>
      <c r="Y93" s="22"/>
      <c r="Z93" s="22"/>
      <c r="AA93" s="22"/>
      <c r="AB93" s="22"/>
      <c r="AC93" s="22"/>
      <c r="AD93" s="22"/>
      <c r="AE93" s="22"/>
      <c r="AF93" s="22"/>
      <c r="AG93" s="22"/>
      <c r="AH93" s="22"/>
      <c r="AI93" s="22"/>
      <c r="AJ93" s="22"/>
      <c r="AK93" s="22"/>
      <c r="AL93" s="22"/>
      <c r="AM93" s="22"/>
      <c r="AN93" s="22"/>
      <c r="AO93" s="22"/>
      <c r="AP93" s="22"/>
      <c r="AQ93" s="22"/>
      <c r="AR93" s="22"/>
      <c r="AS93" s="22"/>
      <c r="AT93" s="22"/>
      <c r="AU93" s="22"/>
      <c r="AV93" s="22"/>
      <c r="AW93" s="22"/>
    </row>
    <row r="94" spans="2:49" x14ac:dyDescent="0.15">
      <c r="B94" s="22"/>
      <c r="C94" s="22"/>
      <c r="D94" s="22"/>
      <c r="E94" s="22"/>
      <c r="F94" s="22"/>
      <c r="G94" s="22"/>
      <c r="H94" s="22"/>
      <c r="I94" s="22"/>
      <c r="J94" s="22"/>
      <c r="K94" s="22"/>
      <c r="L94" s="22"/>
      <c r="M94" s="22"/>
      <c r="N94" s="22"/>
      <c r="O94" s="22"/>
      <c r="P94" s="22"/>
      <c r="Q94" s="22"/>
      <c r="R94" s="22"/>
      <c r="S94" s="22"/>
      <c r="T94" s="22"/>
      <c r="U94" s="22"/>
      <c r="V94" s="22"/>
      <c r="W94" s="22"/>
      <c r="X94" s="22"/>
      <c r="Y94" s="22"/>
      <c r="Z94" s="22"/>
      <c r="AA94" s="22"/>
      <c r="AB94" s="22"/>
      <c r="AC94" s="22"/>
      <c r="AD94" s="22"/>
      <c r="AE94" s="22"/>
      <c r="AF94" s="22"/>
      <c r="AG94" s="22"/>
      <c r="AH94" s="22"/>
      <c r="AI94" s="22"/>
      <c r="AJ94" s="22"/>
      <c r="AK94" s="22"/>
      <c r="AL94" s="22"/>
      <c r="AM94" s="22"/>
      <c r="AN94" s="22"/>
      <c r="AO94" s="22"/>
      <c r="AP94" s="22"/>
      <c r="AQ94" s="22"/>
      <c r="AR94" s="22"/>
      <c r="AS94" s="22"/>
      <c r="AT94" s="22"/>
      <c r="AU94" s="22"/>
      <c r="AV94" s="22"/>
      <c r="AW94" s="22"/>
    </row>
    <row r="95" spans="2:49" x14ac:dyDescent="0.15">
      <c r="B95" s="22"/>
      <c r="C95" s="22"/>
      <c r="D95" s="22"/>
      <c r="E95" s="22"/>
      <c r="F95" s="22"/>
      <c r="G95" s="22"/>
      <c r="H95" s="22"/>
      <c r="I95" s="22"/>
      <c r="J95" s="22"/>
      <c r="K95" s="22"/>
      <c r="L95" s="22"/>
      <c r="M95" s="22"/>
      <c r="N95" s="22"/>
      <c r="O95" s="22"/>
      <c r="P95" s="22"/>
      <c r="Q95" s="22"/>
      <c r="R95" s="22"/>
      <c r="S95" s="22"/>
      <c r="T95" s="22"/>
      <c r="U95" s="22"/>
      <c r="V95" s="22"/>
      <c r="W95" s="22"/>
      <c r="X95" s="22"/>
      <c r="Y95" s="22"/>
      <c r="Z95" s="22"/>
      <c r="AA95" s="22"/>
      <c r="AB95" s="22"/>
      <c r="AC95" s="22"/>
      <c r="AD95" s="22"/>
      <c r="AE95" s="22"/>
      <c r="AF95" s="22"/>
      <c r="AG95" s="22"/>
      <c r="AH95" s="22"/>
      <c r="AI95" s="22"/>
      <c r="AJ95" s="22"/>
      <c r="AK95" s="22"/>
      <c r="AL95" s="22"/>
      <c r="AM95" s="22"/>
      <c r="AN95" s="22"/>
      <c r="AO95" s="22"/>
      <c r="AP95" s="22"/>
      <c r="AQ95" s="22"/>
      <c r="AR95" s="22"/>
      <c r="AS95" s="22"/>
      <c r="AT95" s="22"/>
      <c r="AU95" s="22"/>
      <c r="AV95" s="22"/>
      <c r="AW95" s="22"/>
    </row>
    <row r="96" spans="2:49" x14ac:dyDescent="0.15">
      <c r="B96" s="22"/>
      <c r="C96" s="22"/>
      <c r="D96" s="22"/>
      <c r="E96" s="22"/>
      <c r="F96" s="22"/>
      <c r="G96" s="22"/>
      <c r="H96" s="22"/>
      <c r="I96" s="22"/>
      <c r="J96" s="22"/>
      <c r="K96" s="22"/>
      <c r="L96" s="22"/>
      <c r="M96" s="22"/>
      <c r="N96" s="22"/>
      <c r="O96" s="22"/>
      <c r="P96" s="22"/>
      <c r="Q96" s="22"/>
      <c r="R96" s="22"/>
      <c r="S96" s="22"/>
      <c r="T96" s="22"/>
      <c r="U96" s="22"/>
      <c r="V96" s="22"/>
      <c r="W96" s="22"/>
      <c r="X96" s="22"/>
      <c r="Y96" s="22"/>
      <c r="Z96" s="22"/>
      <c r="AA96" s="22"/>
      <c r="AB96" s="22"/>
      <c r="AC96" s="22"/>
      <c r="AD96" s="22"/>
      <c r="AE96" s="22"/>
      <c r="AF96" s="22"/>
      <c r="AG96" s="22"/>
      <c r="AH96" s="22"/>
      <c r="AI96" s="22"/>
      <c r="AJ96" s="22"/>
      <c r="AK96" s="22"/>
      <c r="AL96" s="22"/>
      <c r="AM96" s="22"/>
      <c r="AN96" s="22"/>
      <c r="AO96" s="22"/>
      <c r="AP96" s="22"/>
      <c r="AQ96" s="22"/>
      <c r="AR96" s="22"/>
      <c r="AS96" s="22"/>
      <c r="AT96" s="22"/>
      <c r="AU96" s="22"/>
      <c r="AV96" s="22"/>
      <c r="AW96" s="22"/>
    </row>
    <row r="97" spans="2:49" x14ac:dyDescent="0.15">
      <c r="B97" s="22"/>
      <c r="C97" s="22"/>
      <c r="D97" s="22"/>
      <c r="E97" s="22"/>
      <c r="F97" s="22"/>
      <c r="G97" s="22"/>
      <c r="H97" s="22"/>
      <c r="I97" s="22"/>
      <c r="J97" s="22"/>
      <c r="K97" s="22"/>
      <c r="L97" s="22"/>
      <c r="M97" s="22"/>
      <c r="N97" s="22"/>
      <c r="O97" s="22"/>
      <c r="P97" s="22"/>
      <c r="Q97" s="22"/>
      <c r="R97" s="22"/>
      <c r="S97" s="22"/>
      <c r="T97" s="22"/>
      <c r="U97" s="22"/>
      <c r="V97" s="22"/>
      <c r="W97" s="22"/>
      <c r="X97" s="22"/>
      <c r="Y97" s="22"/>
      <c r="Z97" s="22"/>
      <c r="AA97" s="22"/>
      <c r="AB97" s="22"/>
      <c r="AC97" s="22"/>
      <c r="AD97" s="22"/>
      <c r="AE97" s="22"/>
      <c r="AF97" s="22"/>
      <c r="AG97" s="22"/>
      <c r="AH97" s="22"/>
      <c r="AI97" s="22"/>
      <c r="AJ97" s="22"/>
      <c r="AK97" s="22"/>
      <c r="AL97" s="22"/>
      <c r="AM97" s="22"/>
      <c r="AN97" s="22"/>
      <c r="AO97" s="22"/>
      <c r="AP97" s="22"/>
      <c r="AQ97" s="22"/>
      <c r="AR97" s="22"/>
      <c r="AS97" s="22"/>
      <c r="AT97" s="22"/>
      <c r="AU97" s="22"/>
      <c r="AV97" s="22"/>
      <c r="AW97" s="22"/>
    </row>
    <row r="98" spans="2:49" x14ac:dyDescent="0.15">
      <c r="B98" s="22"/>
      <c r="C98" s="22"/>
      <c r="D98" s="22"/>
      <c r="E98" s="22"/>
      <c r="F98" s="22"/>
      <c r="G98" s="22"/>
      <c r="H98" s="22"/>
      <c r="I98" s="22"/>
      <c r="J98" s="22"/>
      <c r="K98" s="22"/>
      <c r="L98" s="22"/>
      <c r="M98" s="22"/>
      <c r="N98" s="22"/>
      <c r="O98" s="22"/>
      <c r="P98" s="22"/>
      <c r="Q98" s="22"/>
      <c r="R98" s="22"/>
      <c r="S98" s="22"/>
      <c r="T98" s="22"/>
      <c r="U98" s="22"/>
      <c r="V98" s="22"/>
      <c r="W98" s="22"/>
      <c r="X98" s="22"/>
      <c r="Y98" s="22"/>
      <c r="Z98" s="22"/>
      <c r="AA98" s="22"/>
      <c r="AB98" s="22"/>
      <c r="AC98" s="22"/>
      <c r="AD98" s="22"/>
      <c r="AE98" s="22"/>
      <c r="AF98" s="22"/>
      <c r="AG98" s="22"/>
      <c r="AH98" s="22"/>
      <c r="AI98" s="22"/>
      <c r="AJ98" s="22"/>
      <c r="AK98" s="22"/>
      <c r="AL98" s="22"/>
      <c r="AM98" s="22"/>
      <c r="AN98" s="22"/>
      <c r="AO98" s="22"/>
      <c r="AP98" s="22"/>
      <c r="AQ98" s="22"/>
      <c r="AR98" s="22"/>
      <c r="AS98" s="22"/>
      <c r="AT98" s="22"/>
      <c r="AU98" s="22"/>
      <c r="AV98" s="22"/>
      <c r="AW98" s="22"/>
    </row>
    <row r="99" spans="2:49" x14ac:dyDescent="0.15">
      <c r="B99" s="22"/>
      <c r="C99" s="22"/>
      <c r="D99" s="22"/>
      <c r="E99" s="22"/>
      <c r="F99" s="22"/>
      <c r="G99" s="22"/>
      <c r="H99" s="22"/>
      <c r="I99" s="22"/>
      <c r="J99" s="22"/>
      <c r="K99" s="22"/>
      <c r="L99" s="22"/>
      <c r="M99" s="22"/>
      <c r="N99" s="22"/>
      <c r="O99" s="22"/>
      <c r="P99" s="22"/>
      <c r="Q99" s="22"/>
      <c r="R99" s="22"/>
      <c r="S99" s="22"/>
      <c r="T99" s="22"/>
      <c r="U99" s="22"/>
      <c r="V99" s="22"/>
      <c r="W99" s="22"/>
      <c r="X99" s="22"/>
      <c r="Y99" s="22"/>
      <c r="Z99" s="22"/>
      <c r="AA99" s="22"/>
      <c r="AB99" s="22"/>
      <c r="AC99" s="22"/>
      <c r="AD99" s="22"/>
      <c r="AE99" s="22"/>
      <c r="AF99" s="22"/>
      <c r="AG99" s="22"/>
      <c r="AH99" s="22"/>
      <c r="AI99" s="22"/>
      <c r="AJ99" s="22"/>
      <c r="AK99" s="22"/>
      <c r="AL99" s="22"/>
      <c r="AM99" s="22"/>
      <c r="AN99" s="22"/>
      <c r="AO99" s="22"/>
      <c r="AP99" s="22"/>
      <c r="AQ99" s="22"/>
      <c r="AR99" s="22"/>
      <c r="AS99" s="22"/>
      <c r="AT99" s="22"/>
      <c r="AU99" s="22"/>
      <c r="AV99" s="22"/>
      <c r="AW99" s="22"/>
    </row>
    <row r="100" spans="2:49" x14ac:dyDescent="0.15">
      <c r="B100" s="22"/>
      <c r="C100" s="22"/>
      <c r="D100" s="22"/>
      <c r="E100" s="22"/>
      <c r="F100" s="22"/>
      <c r="G100" s="22"/>
      <c r="H100" s="22"/>
      <c r="I100" s="22"/>
      <c r="J100" s="22"/>
      <c r="K100" s="22"/>
      <c r="L100" s="22"/>
      <c r="M100" s="22"/>
      <c r="N100" s="22"/>
      <c r="O100" s="22"/>
      <c r="P100" s="22"/>
      <c r="Q100" s="22"/>
      <c r="R100" s="22"/>
      <c r="S100" s="22"/>
      <c r="T100" s="22"/>
      <c r="U100" s="22"/>
      <c r="V100" s="22"/>
      <c r="W100" s="22"/>
      <c r="X100" s="22"/>
      <c r="Y100" s="22"/>
      <c r="Z100" s="22"/>
      <c r="AA100" s="22"/>
      <c r="AB100" s="22"/>
      <c r="AC100" s="22"/>
      <c r="AD100" s="22"/>
      <c r="AE100" s="22"/>
      <c r="AF100" s="22"/>
      <c r="AG100" s="22"/>
      <c r="AH100" s="22"/>
      <c r="AI100" s="22"/>
      <c r="AJ100" s="22"/>
      <c r="AK100" s="22"/>
      <c r="AL100" s="22"/>
      <c r="AM100" s="22"/>
      <c r="AN100" s="22"/>
      <c r="AO100" s="22"/>
      <c r="AP100" s="22"/>
      <c r="AQ100" s="22"/>
      <c r="AR100" s="22"/>
      <c r="AS100" s="22"/>
      <c r="AT100" s="22"/>
      <c r="AU100" s="22"/>
      <c r="AV100" s="22"/>
      <c r="AW100" s="22"/>
    </row>
    <row r="101" spans="2:49" x14ac:dyDescent="0.15">
      <c r="B101" s="22"/>
      <c r="C101" s="22"/>
      <c r="D101" s="22"/>
      <c r="E101" s="22"/>
      <c r="F101" s="22"/>
      <c r="G101" s="22"/>
      <c r="H101" s="22"/>
      <c r="I101" s="22"/>
      <c r="J101" s="22"/>
      <c r="K101" s="22"/>
      <c r="L101" s="22"/>
      <c r="M101" s="22"/>
      <c r="N101" s="22"/>
      <c r="O101" s="22"/>
      <c r="P101" s="22"/>
      <c r="Q101" s="22"/>
      <c r="R101" s="22"/>
      <c r="S101" s="22"/>
      <c r="T101" s="22"/>
      <c r="U101" s="22"/>
      <c r="V101" s="22"/>
      <c r="W101" s="22"/>
      <c r="X101" s="22"/>
      <c r="Y101" s="22"/>
      <c r="Z101" s="22"/>
      <c r="AA101" s="22"/>
      <c r="AB101" s="22"/>
      <c r="AC101" s="22"/>
      <c r="AD101" s="22"/>
      <c r="AE101" s="22"/>
      <c r="AF101" s="22"/>
      <c r="AG101" s="22"/>
      <c r="AH101" s="22"/>
      <c r="AI101" s="22"/>
      <c r="AJ101" s="22"/>
      <c r="AK101" s="22"/>
      <c r="AL101" s="22"/>
      <c r="AM101" s="22"/>
      <c r="AN101" s="22"/>
      <c r="AO101" s="22"/>
      <c r="AP101" s="22"/>
      <c r="AQ101" s="22"/>
      <c r="AR101" s="22"/>
      <c r="AS101" s="22"/>
      <c r="AT101" s="22"/>
      <c r="AU101" s="22"/>
      <c r="AV101" s="22"/>
      <c r="AW101" s="22"/>
    </row>
    <row r="102" spans="2:49" x14ac:dyDescent="0.15">
      <c r="B102" s="22"/>
      <c r="C102" s="22"/>
      <c r="D102" s="22"/>
      <c r="E102" s="22"/>
      <c r="F102" s="22"/>
      <c r="G102" s="22"/>
      <c r="H102" s="22"/>
      <c r="I102" s="22"/>
      <c r="J102" s="22"/>
      <c r="K102" s="22"/>
      <c r="L102" s="22"/>
      <c r="M102" s="22"/>
      <c r="N102" s="22"/>
      <c r="O102" s="22"/>
      <c r="P102" s="22"/>
      <c r="Q102" s="22"/>
      <c r="R102" s="22"/>
      <c r="S102" s="22"/>
      <c r="T102" s="22"/>
      <c r="U102" s="22"/>
      <c r="V102" s="22"/>
      <c r="W102" s="22"/>
      <c r="X102" s="22"/>
      <c r="Y102" s="22"/>
      <c r="Z102" s="22"/>
      <c r="AA102" s="22"/>
      <c r="AB102" s="22"/>
      <c r="AC102" s="22"/>
      <c r="AD102" s="22"/>
      <c r="AE102" s="22"/>
      <c r="AF102" s="22"/>
      <c r="AG102" s="22"/>
      <c r="AH102" s="22"/>
      <c r="AI102" s="22"/>
      <c r="AJ102" s="22"/>
      <c r="AK102" s="22"/>
      <c r="AL102" s="22"/>
      <c r="AM102" s="22"/>
      <c r="AN102" s="22"/>
      <c r="AO102" s="22"/>
      <c r="AP102" s="22"/>
      <c r="AQ102" s="22"/>
      <c r="AR102" s="22"/>
      <c r="AS102" s="22"/>
      <c r="AT102" s="22"/>
      <c r="AU102" s="22"/>
      <c r="AV102" s="22"/>
      <c r="AW102" s="22"/>
    </row>
    <row r="103" spans="2:49" x14ac:dyDescent="0.15">
      <c r="B103" s="22"/>
      <c r="C103" s="22"/>
      <c r="D103" s="22"/>
      <c r="E103" s="22"/>
      <c r="F103" s="22"/>
      <c r="G103" s="22"/>
      <c r="H103" s="22"/>
      <c r="I103" s="22"/>
      <c r="J103" s="22"/>
      <c r="K103" s="22"/>
      <c r="L103" s="22"/>
      <c r="M103" s="22"/>
      <c r="N103" s="22"/>
      <c r="O103" s="22"/>
      <c r="P103" s="22"/>
      <c r="Q103" s="22"/>
      <c r="R103" s="22"/>
      <c r="S103" s="22"/>
      <c r="T103" s="22"/>
      <c r="U103" s="22"/>
      <c r="V103" s="22"/>
      <c r="W103" s="22"/>
      <c r="X103" s="22"/>
      <c r="Y103" s="22"/>
      <c r="Z103" s="22"/>
      <c r="AA103" s="22"/>
      <c r="AB103" s="22"/>
      <c r="AC103" s="22"/>
      <c r="AD103" s="22"/>
      <c r="AE103" s="22"/>
      <c r="AF103" s="22"/>
      <c r="AG103" s="22"/>
      <c r="AH103" s="22"/>
      <c r="AI103" s="22"/>
      <c r="AJ103" s="22"/>
      <c r="AK103" s="22"/>
      <c r="AL103" s="22"/>
      <c r="AM103" s="22"/>
      <c r="AN103" s="22"/>
      <c r="AO103" s="22"/>
      <c r="AP103" s="22"/>
      <c r="AQ103" s="22"/>
      <c r="AR103" s="22"/>
      <c r="AS103" s="22"/>
      <c r="AT103" s="22"/>
      <c r="AU103" s="22"/>
      <c r="AV103" s="22"/>
      <c r="AW103" s="22"/>
    </row>
    <row r="104" spans="2:49" x14ac:dyDescent="0.15">
      <c r="B104" s="22"/>
      <c r="C104" s="22"/>
      <c r="D104" s="22"/>
      <c r="E104" s="22"/>
      <c r="F104" s="22"/>
      <c r="G104" s="22"/>
      <c r="H104" s="22"/>
      <c r="I104" s="22"/>
      <c r="J104" s="22"/>
      <c r="K104" s="22"/>
      <c r="L104" s="22"/>
      <c r="M104" s="22"/>
      <c r="N104" s="22"/>
      <c r="O104" s="22"/>
      <c r="P104" s="22"/>
      <c r="Q104" s="22"/>
      <c r="R104" s="22"/>
      <c r="S104" s="22"/>
      <c r="T104" s="22"/>
      <c r="U104" s="22"/>
      <c r="V104" s="22"/>
      <c r="W104" s="22"/>
      <c r="X104" s="22"/>
      <c r="Y104" s="22"/>
      <c r="Z104" s="22"/>
      <c r="AA104" s="22"/>
      <c r="AB104" s="22"/>
      <c r="AC104" s="22"/>
      <c r="AD104" s="22"/>
      <c r="AE104" s="22"/>
      <c r="AF104" s="22"/>
      <c r="AG104" s="22"/>
      <c r="AH104" s="22"/>
      <c r="AI104" s="22"/>
      <c r="AJ104" s="22"/>
      <c r="AK104" s="22"/>
      <c r="AL104" s="22"/>
      <c r="AM104" s="22"/>
      <c r="AN104" s="22"/>
      <c r="AO104" s="22"/>
      <c r="AP104" s="22"/>
      <c r="AQ104" s="22"/>
      <c r="AR104" s="22"/>
      <c r="AS104" s="22"/>
      <c r="AT104" s="22"/>
      <c r="AU104" s="22"/>
      <c r="AV104" s="22"/>
      <c r="AW104" s="22"/>
    </row>
    <row r="105" spans="2:49" x14ac:dyDescent="0.15">
      <c r="B105" s="22"/>
      <c r="C105" s="22"/>
      <c r="D105" s="22"/>
      <c r="E105" s="22"/>
      <c r="F105" s="22"/>
      <c r="G105" s="22"/>
      <c r="H105" s="22"/>
      <c r="I105" s="22"/>
      <c r="J105" s="22"/>
      <c r="K105" s="22"/>
      <c r="L105" s="22"/>
      <c r="M105" s="22"/>
      <c r="N105" s="22"/>
      <c r="O105" s="22"/>
      <c r="P105" s="22"/>
      <c r="Q105" s="22"/>
      <c r="R105" s="22"/>
      <c r="S105" s="22"/>
      <c r="T105" s="22"/>
      <c r="U105" s="22"/>
      <c r="V105" s="22"/>
      <c r="W105" s="22"/>
      <c r="X105" s="22"/>
      <c r="Y105" s="22"/>
      <c r="Z105" s="22"/>
      <c r="AA105" s="22"/>
      <c r="AB105" s="22"/>
      <c r="AC105" s="22"/>
      <c r="AD105" s="22"/>
      <c r="AE105" s="22"/>
      <c r="AF105" s="22"/>
      <c r="AG105" s="22"/>
      <c r="AH105" s="22"/>
      <c r="AI105" s="22"/>
      <c r="AJ105" s="22"/>
      <c r="AK105" s="22"/>
      <c r="AL105" s="22"/>
      <c r="AM105" s="22"/>
      <c r="AN105" s="22"/>
      <c r="AO105" s="22"/>
      <c r="AP105" s="22"/>
      <c r="AQ105" s="22"/>
      <c r="AR105" s="22"/>
      <c r="AS105" s="22"/>
      <c r="AT105" s="22"/>
      <c r="AU105" s="22"/>
      <c r="AV105" s="22"/>
      <c r="AW105" s="22"/>
    </row>
    <row r="106" spans="2:49" x14ac:dyDescent="0.15">
      <c r="B106" s="22"/>
      <c r="C106" s="22"/>
      <c r="D106" s="22"/>
      <c r="E106" s="22"/>
      <c r="F106" s="22"/>
      <c r="G106" s="22"/>
      <c r="H106" s="22"/>
      <c r="I106" s="22"/>
      <c r="J106" s="22"/>
      <c r="K106" s="22"/>
      <c r="L106" s="22"/>
      <c r="M106" s="22"/>
      <c r="N106" s="22"/>
      <c r="O106" s="22"/>
      <c r="P106" s="22"/>
      <c r="Q106" s="22"/>
      <c r="R106" s="22"/>
      <c r="S106" s="22"/>
      <c r="T106" s="22"/>
      <c r="U106" s="22"/>
      <c r="V106" s="22"/>
      <c r="W106" s="22"/>
      <c r="X106" s="22"/>
      <c r="Y106" s="22"/>
      <c r="Z106" s="22"/>
      <c r="AA106" s="22"/>
      <c r="AB106" s="22"/>
      <c r="AC106" s="22"/>
      <c r="AD106" s="22"/>
      <c r="AE106" s="22"/>
      <c r="AF106" s="22"/>
      <c r="AG106" s="22"/>
      <c r="AH106" s="22"/>
      <c r="AI106" s="22"/>
      <c r="AJ106" s="22"/>
      <c r="AK106" s="22"/>
      <c r="AL106" s="22"/>
      <c r="AM106" s="22"/>
      <c r="AN106" s="22"/>
      <c r="AO106" s="22"/>
      <c r="AP106" s="22"/>
      <c r="AQ106" s="22"/>
      <c r="AR106" s="22"/>
      <c r="AS106" s="22"/>
      <c r="AT106" s="22"/>
      <c r="AU106" s="22"/>
      <c r="AV106" s="22"/>
      <c r="AW106" s="22"/>
    </row>
    <row r="107" spans="2:49" x14ac:dyDescent="0.15">
      <c r="B107" s="22"/>
      <c r="C107" s="22"/>
      <c r="D107" s="22"/>
      <c r="E107" s="22"/>
      <c r="F107" s="22"/>
      <c r="G107" s="22"/>
      <c r="H107" s="22"/>
      <c r="I107" s="22"/>
      <c r="J107" s="22"/>
      <c r="K107" s="22"/>
      <c r="L107" s="22"/>
      <c r="M107" s="22"/>
      <c r="N107" s="22"/>
      <c r="O107" s="22"/>
      <c r="P107" s="22"/>
      <c r="Q107" s="22"/>
      <c r="R107" s="22"/>
      <c r="S107" s="22"/>
      <c r="T107" s="22"/>
      <c r="U107" s="22"/>
      <c r="V107" s="22"/>
      <c r="W107" s="22"/>
      <c r="X107" s="22"/>
      <c r="Y107" s="22"/>
      <c r="Z107" s="22"/>
      <c r="AA107" s="22"/>
      <c r="AB107" s="22"/>
      <c r="AC107" s="22"/>
      <c r="AD107" s="22"/>
      <c r="AE107" s="22"/>
      <c r="AF107" s="22"/>
      <c r="AG107" s="22"/>
      <c r="AH107" s="22"/>
      <c r="AI107" s="22"/>
      <c r="AJ107" s="22"/>
      <c r="AK107" s="22"/>
      <c r="AL107" s="22"/>
      <c r="AM107" s="22"/>
      <c r="AN107" s="22"/>
      <c r="AO107" s="22"/>
      <c r="AP107" s="22"/>
      <c r="AQ107" s="22"/>
      <c r="AR107" s="22"/>
      <c r="AS107" s="22"/>
      <c r="AT107" s="22"/>
      <c r="AU107" s="22"/>
      <c r="AV107" s="22"/>
      <c r="AW107" s="22"/>
    </row>
    <row r="108" spans="2:49" x14ac:dyDescent="0.15">
      <c r="B108" s="22"/>
      <c r="C108" s="22"/>
      <c r="D108" s="22"/>
      <c r="E108" s="22"/>
      <c r="F108" s="22"/>
      <c r="G108" s="22"/>
      <c r="H108" s="22"/>
      <c r="I108" s="22"/>
      <c r="J108" s="22"/>
      <c r="K108" s="22"/>
      <c r="L108" s="22"/>
      <c r="M108" s="22"/>
      <c r="N108" s="22"/>
      <c r="O108" s="22"/>
      <c r="P108" s="22"/>
      <c r="Q108" s="22"/>
      <c r="R108" s="22"/>
      <c r="S108" s="22"/>
      <c r="T108" s="22"/>
      <c r="U108" s="22"/>
      <c r="V108" s="22"/>
      <c r="W108" s="22"/>
      <c r="X108" s="22"/>
      <c r="Y108" s="22"/>
      <c r="Z108" s="22"/>
      <c r="AA108" s="22"/>
      <c r="AB108" s="22"/>
      <c r="AC108" s="22"/>
      <c r="AD108" s="22"/>
      <c r="AE108" s="22"/>
      <c r="AF108" s="22"/>
      <c r="AG108" s="22"/>
      <c r="AH108" s="22"/>
      <c r="AI108" s="22"/>
      <c r="AJ108" s="22"/>
      <c r="AK108" s="22"/>
      <c r="AL108" s="22"/>
      <c r="AM108" s="22"/>
      <c r="AN108" s="22"/>
      <c r="AO108" s="22"/>
      <c r="AP108" s="22"/>
      <c r="AQ108" s="22"/>
      <c r="AR108" s="22"/>
      <c r="AS108" s="22"/>
      <c r="AT108" s="22"/>
      <c r="AU108" s="22"/>
      <c r="AV108" s="22"/>
      <c r="AW108" s="22"/>
    </row>
    <row r="109" spans="2:49" x14ac:dyDescent="0.15">
      <c r="B109" s="22"/>
      <c r="C109" s="22"/>
      <c r="D109" s="22"/>
      <c r="E109" s="22"/>
      <c r="F109" s="22"/>
      <c r="G109" s="22"/>
      <c r="H109" s="22"/>
      <c r="I109" s="22"/>
      <c r="J109" s="22"/>
      <c r="K109" s="22"/>
      <c r="L109" s="22"/>
      <c r="M109" s="22"/>
      <c r="N109" s="22"/>
      <c r="O109" s="22"/>
      <c r="P109" s="22"/>
      <c r="Q109" s="22"/>
      <c r="R109" s="22"/>
      <c r="S109" s="22"/>
      <c r="T109" s="22"/>
      <c r="U109" s="22"/>
      <c r="V109" s="22"/>
      <c r="W109" s="22"/>
      <c r="X109" s="22"/>
      <c r="Y109" s="22"/>
      <c r="Z109" s="22"/>
      <c r="AA109" s="22"/>
      <c r="AB109" s="22"/>
      <c r="AC109" s="22"/>
      <c r="AD109" s="22"/>
      <c r="AE109" s="22"/>
      <c r="AF109" s="22"/>
      <c r="AG109" s="22"/>
      <c r="AH109" s="22"/>
      <c r="AI109" s="22"/>
      <c r="AJ109" s="22"/>
      <c r="AK109" s="22"/>
      <c r="AL109" s="22"/>
      <c r="AM109" s="22"/>
      <c r="AN109" s="22"/>
      <c r="AO109" s="22"/>
      <c r="AP109" s="22"/>
      <c r="AQ109" s="22"/>
      <c r="AR109" s="22"/>
      <c r="AS109" s="22"/>
      <c r="AT109" s="22"/>
      <c r="AU109" s="22"/>
      <c r="AV109" s="22"/>
      <c r="AW109" s="22"/>
    </row>
    <row r="110" spans="2:49" x14ac:dyDescent="0.15">
      <c r="B110" s="22"/>
      <c r="C110" s="22"/>
      <c r="D110" s="22"/>
      <c r="E110" s="22"/>
      <c r="F110" s="22"/>
      <c r="G110" s="22"/>
      <c r="H110" s="22"/>
      <c r="I110" s="22"/>
      <c r="J110" s="22"/>
      <c r="K110" s="22"/>
      <c r="L110" s="22"/>
      <c r="M110" s="22"/>
      <c r="N110" s="22"/>
      <c r="O110" s="22"/>
      <c r="P110" s="22"/>
      <c r="Q110" s="22"/>
      <c r="R110" s="22"/>
      <c r="S110" s="22"/>
      <c r="T110" s="22"/>
      <c r="U110" s="22"/>
      <c r="V110" s="22"/>
      <c r="W110" s="22"/>
      <c r="X110" s="22"/>
      <c r="Y110" s="22"/>
      <c r="Z110" s="22"/>
      <c r="AA110" s="22"/>
      <c r="AB110" s="22"/>
      <c r="AC110" s="22"/>
      <c r="AD110" s="22"/>
      <c r="AE110" s="22"/>
      <c r="AF110" s="22"/>
      <c r="AG110" s="22"/>
      <c r="AH110" s="22"/>
      <c r="AI110" s="22"/>
      <c r="AJ110" s="22"/>
      <c r="AK110" s="22"/>
      <c r="AL110" s="22"/>
      <c r="AM110" s="22"/>
      <c r="AN110" s="22"/>
      <c r="AO110" s="22"/>
      <c r="AP110" s="22"/>
      <c r="AQ110" s="22"/>
      <c r="AR110" s="22"/>
      <c r="AS110" s="22"/>
      <c r="AT110" s="22"/>
      <c r="AU110" s="22"/>
      <c r="AV110" s="22"/>
      <c r="AW110" s="22"/>
    </row>
    <row r="111" spans="2:49" x14ac:dyDescent="0.15">
      <c r="B111" s="22"/>
      <c r="C111" s="22"/>
      <c r="D111" s="22"/>
      <c r="E111" s="22"/>
      <c r="F111" s="22"/>
      <c r="G111" s="22"/>
      <c r="H111" s="22"/>
      <c r="I111" s="22"/>
      <c r="J111" s="22"/>
      <c r="K111" s="22"/>
      <c r="L111" s="22"/>
      <c r="M111" s="22"/>
      <c r="N111" s="22"/>
      <c r="O111" s="22"/>
      <c r="P111" s="22"/>
      <c r="Q111" s="22"/>
      <c r="R111" s="22"/>
      <c r="S111" s="22"/>
      <c r="T111" s="22"/>
      <c r="U111" s="22"/>
      <c r="V111" s="22"/>
      <c r="W111" s="22"/>
      <c r="X111" s="22"/>
      <c r="Y111" s="22"/>
      <c r="Z111" s="22"/>
      <c r="AA111" s="22"/>
      <c r="AB111" s="22"/>
      <c r="AC111" s="22"/>
      <c r="AD111" s="22"/>
      <c r="AE111" s="22"/>
      <c r="AF111" s="22"/>
      <c r="AG111" s="22"/>
      <c r="AH111" s="22"/>
      <c r="AI111" s="22"/>
      <c r="AJ111" s="22"/>
      <c r="AK111" s="22"/>
      <c r="AL111" s="22"/>
      <c r="AM111" s="22"/>
      <c r="AN111" s="22"/>
      <c r="AO111" s="22"/>
      <c r="AP111" s="22"/>
      <c r="AQ111" s="22"/>
      <c r="AR111" s="22"/>
      <c r="AS111" s="22"/>
      <c r="AT111" s="22"/>
      <c r="AU111" s="22"/>
      <c r="AV111" s="22"/>
      <c r="AW111" s="22"/>
    </row>
    <row r="112" spans="2:49" x14ac:dyDescent="0.15">
      <c r="B112" s="22"/>
      <c r="C112" s="22"/>
      <c r="D112" s="22"/>
      <c r="E112" s="22"/>
      <c r="F112" s="22"/>
      <c r="G112" s="22"/>
      <c r="H112" s="22"/>
      <c r="I112" s="22"/>
      <c r="J112" s="22"/>
      <c r="K112" s="22"/>
      <c r="L112" s="22"/>
      <c r="M112" s="22"/>
      <c r="N112" s="22"/>
      <c r="O112" s="22"/>
      <c r="P112" s="22"/>
      <c r="Q112" s="22"/>
      <c r="R112" s="22"/>
      <c r="S112" s="22"/>
      <c r="T112" s="22"/>
      <c r="U112" s="22"/>
      <c r="V112" s="22"/>
      <c r="W112" s="22"/>
      <c r="X112" s="22"/>
      <c r="Y112" s="22"/>
      <c r="Z112" s="22"/>
      <c r="AA112" s="22"/>
      <c r="AB112" s="22"/>
      <c r="AC112" s="22"/>
      <c r="AD112" s="22"/>
      <c r="AE112" s="22"/>
      <c r="AF112" s="22"/>
      <c r="AG112" s="22"/>
      <c r="AH112" s="22"/>
      <c r="AI112" s="22"/>
      <c r="AJ112" s="22"/>
      <c r="AK112" s="22"/>
      <c r="AL112" s="22"/>
      <c r="AM112" s="22"/>
      <c r="AN112" s="22"/>
      <c r="AO112" s="22"/>
      <c r="AP112" s="22"/>
      <c r="AQ112" s="22"/>
      <c r="AR112" s="22"/>
      <c r="AS112" s="22"/>
      <c r="AT112" s="22"/>
      <c r="AU112" s="22"/>
      <c r="AV112" s="22"/>
      <c r="AW112" s="22"/>
    </row>
    <row r="113" spans="2:49" x14ac:dyDescent="0.15">
      <c r="B113" s="22"/>
      <c r="C113" s="22"/>
      <c r="D113" s="22"/>
      <c r="E113" s="22"/>
      <c r="F113" s="22"/>
      <c r="G113" s="22"/>
      <c r="H113" s="22"/>
      <c r="I113" s="22"/>
      <c r="J113" s="22"/>
      <c r="K113" s="22"/>
      <c r="L113" s="22"/>
      <c r="M113" s="22"/>
      <c r="N113" s="22"/>
      <c r="O113" s="22"/>
      <c r="P113" s="22"/>
      <c r="Q113" s="22"/>
      <c r="R113" s="22"/>
      <c r="S113" s="22"/>
      <c r="T113" s="22"/>
      <c r="U113" s="22"/>
      <c r="V113" s="22"/>
      <c r="W113" s="22"/>
      <c r="X113" s="22"/>
      <c r="Y113" s="22"/>
      <c r="Z113" s="22"/>
      <c r="AA113" s="22"/>
      <c r="AB113" s="22"/>
      <c r="AC113" s="22"/>
      <c r="AD113" s="22"/>
      <c r="AE113" s="22"/>
      <c r="AF113" s="22"/>
      <c r="AG113" s="22"/>
      <c r="AH113" s="22"/>
      <c r="AI113" s="22"/>
      <c r="AJ113" s="22"/>
      <c r="AK113" s="22"/>
      <c r="AL113" s="22"/>
      <c r="AM113" s="22"/>
      <c r="AN113" s="22"/>
      <c r="AO113" s="22"/>
      <c r="AP113" s="22"/>
      <c r="AQ113" s="22"/>
      <c r="AR113" s="22"/>
      <c r="AS113" s="22"/>
      <c r="AT113" s="22"/>
      <c r="AU113" s="22"/>
      <c r="AV113" s="22"/>
      <c r="AW113" s="22"/>
    </row>
    <row r="114" spans="2:49" x14ac:dyDescent="0.15">
      <c r="B114" s="22"/>
      <c r="C114" s="22"/>
      <c r="D114" s="22"/>
      <c r="E114" s="22"/>
      <c r="F114" s="22"/>
      <c r="G114" s="22"/>
      <c r="H114" s="22"/>
      <c r="I114" s="22"/>
      <c r="J114" s="22"/>
      <c r="K114" s="22"/>
      <c r="L114" s="22"/>
      <c r="M114" s="22"/>
      <c r="N114" s="22"/>
      <c r="O114" s="22"/>
      <c r="P114" s="22"/>
      <c r="Q114" s="22"/>
      <c r="R114" s="22"/>
      <c r="S114" s="22"/>
      <c r="T114" s="22"/>
      <c r="U114" s="22"/>
      <c r="V114" s="22"/>
      <c r="W114" s="22"/>
      <c r="X114" s="22"/>
      <c r="Y114" s="22"/>
      <c r="Z114" s="22"/>
      <c r="AA114" s="22"/>
      <c r="AB114" s="22"/>
      <c r="AC114" s="22"/>
      <c r="AD114" s="22"/>
      <c r="AE114" s="22"/>
      <c r="AF114" s="22"/>
      <c r="AG114" s="22"/>
      <c r="AH114" s="22"/>
      <c r="AI114" s="22"/>
      <c r="AJ114" s="22"/>
      <c r="AK114" s="22"/>
      <c r="AL114" s="22"/>
      <c r="AM114" s="22"/>
      <c r="AN114" s="22"/>
      <c r="AO114" s="22"/>
      <c r="AP114" s="22"/>
      <c r="AQ114" s="22"/>
      <c r="AR114" s="22"/>
      <c r="AS114" s="22"/>
      <c r="AT114" s="22"/>
      <c r="AU114" s="22"/>
      <c r="AV114" s="22"/>
      <c r="AW114" s="22"/>
    </row>
    <row r="115" spans="2:49" x14ac:dyDescent="0.15">
      <c r="B115" s="22"/>
      <c r="C115" s="22"/>
      <c r="D115" s="22"/>
      <c r="E115" s="22"/>
      <c r="F115" s="22"/>
      <c r="G115" s="22"/>
      <c r="H115" s="22"/>
      <c r="I115" s="22"/>
      <c r="J115" s="22"/>
      <c r="K115" s="22"/>
      <c r="L115" s="22"/>
      <c r="M115" s="22"/>
      <c r="N115" s="22"/>
      <c r="O115" s="22"/>
      <c r="P115" s="22"/>
      <c r="Q115" s="22"/>
      <c r="R115" s="22"/>
      <c r="S115" s="22"/>
      <c r="T115" s="22"/>
      <c r="U115" s="22"/>
      <c r="V115" s="22"/>
      <c r="W115" s="22"/>
      <c r="X115" s="22"/>
      <c r="Y115" s="22"/>
      <c r="Z115" s="22"/>
      <c r="AA115" s="22"/>
      <c r="AB115" s="22"/>
      <c r="AC115" s="22"/>
      <c r="AD115" s="22"/>
      <c r="AE115" s="22"/>
      <c r="AF115" s="22"/>
      <c r="AG115" s="22"/>
      <c r="AH115" s="22"/>
      <c r="AI115" s="22"/>
      <c r="AJ115" s="22"/>
      <c r="AK115" s="22"/>
      <c r="AL115" s="22"/>
      <c r="AM115" s="22"/>
      <c r="AN115" s="22"/>
      <c r="AO115" s="22"/>
      <c r="AP115" s="22"/>
      <c r="AQ115" s="22"/>
      <c r="AR115" s="22"/>
      <c r="AS115" s="22"/>
      <c r="AT115" s="22"/>
      <c r="AU115" s="22"/>
      <c r="AV115" s="22"/>
      <c r="AW115" s="22"/>
    </row>
    <row r="116" spans="2:49" x14ac:dyDescent="0.15">
      <c r="B116" s="22"/>
      <c r="C116" s="22"/>
      <c r="D116" s="22"/>
      <c r="E116" s="22"/>
      <c r="F116" s="22"/>
      <c r="G116" s="22"/>
      <c r="H116" s="22"/>
      <c r="I116" s="22"/>
      <c r="J116" s="22"/>
      <c r="K116" s="22"/>
      <c r="L116" s="22"/>
      <c r="M116" s="22"/>
      <c r="N116" s="22"/>
      <c r="O116" s="22"/>
      <c r="P116" s="22"/>
      <c r="Q116" s="22"/>
      <c r="R116" s="22"/>
      <c r="S116" s="22"/>
      <c r="T116" s="22"/>
      <c r="U116" s="22"/>
      <c r="V116" s="22"/>
      <c r="W116" s="22"/>
      <c r="X116" s="22"/>
      <c r="Y116" s="22"/>
      <c r="Z116" s="22"/>
      <c r="AA116" s="22"/>
      <c r="AB116" s="22"/>
      <c r="AC116" s="22"/>
      <c r="AD116" s="22"/>
      <c r="AE116" s="22"/>
      <c r="AF116" s="22"/>
      <c r="AG116" s="22"/>
      <c r="AH116" s="22"/>
      <c r="AI116" s="22"/>
      <c r="AJ116" s="22"/>
      <c r="AK116" s="22"/>
      <c r="AL116" s="22"/>
      <c r="AM116" s="22"/>
      <c r="AN116" s="22"/>
      <c r="AO116" s="22"/>
      <c r="AP116" s="22"/>
      <c r="AQ116" s="22"/>
      <c r="AR116" s="22"/>
      <c r="AS116" s="22"/>
      <c r="AT116" s="22"/>
      <c r="AU116" s="22"/>
      <c r="AV116" s="22"/>
      <c r="AW116" s="22"/>
    </row>
    <row r="117" spans="2:49" x14ac:dyDescent="0.15">
      <c r="B117" s="22"/>
      <c r="C117" s="22"/>
      <c r="D117" s="22"/>
      <c r="E117" s="22"/>
      <c r="F117" s="22"/>
      <c r="G117" s="22"/>
      <c r="H117" s="22"/>
      <c r="I117" s="22"/>
      <c r="J117" s="22"/>
      <c r="K117" s="22"/>
      <c r="L117" s="22"/>
      <c r="M117" s="22"/>
      <c r="N117" s="22"/>
      <c r="O117" s="22"/>
      <c r="P117" s="22"/>
      <c r="Q117" s="22"/>
      <c r="R117" s="22"/>
      <c r="S117" s="22"/>
      <c r="T117" s="22"/>
      <c r="U117" s="22"/>
      <c r="V117" s="22"/>
      <c r="W117" s="22"/>
      <c r="X117" s="22"/>
      <c r="Y117" s="22"/>
      <c r="Z117" s="22"/>
      <c r="AA117" s="22"/>
      <c r="AB117" s="22"/>
      <c r="AC117" s="22"/>
      <c r="AD117" s="22"/>
      <c r="AE117" s="22"/>
      <c r="AF117" s="22"/>
      <c r="AG117" s="22"/>
      <c r="AH117" s="22"/>
      <c r="AI117" s="22"/>
      <c r="AJ117" s="22"/>
      <c r="AK117" s="22"/>
      <c r="AL117" s="22"/>
      <c r="AM117" s="22"/>
      <c r="AN117" s="22"/>
      <c r="AO117" s="22"/>
      <c r="AP117" s="22"/>
      <c r="AQ117" s="22"/>
      <c r="AR117" s="22"/>
      <c r="AS117" s="22"/>
      <c r="AT117" s="22"/>
      <c r="AU117" s="22"/>
      <c r="AV117" s="22"/>
      <c r="AW117" s="22"/>
    </row>
    <row r="118" spans="2:49" x14ac:dyDescent="0.15">
      <c r="B118" s="22"/>
      <c r="C118" s="22"/>
      <c r="D118" s="22"/>
      <c r="E118" s="22"/>
      <c r="F118" s="22"/>
      <c r="G118" s="22"/>
      <c r="H118" s="22"/>
      <c r="I118" s="22"/>
      <c r="J118" s="22"/>
      <c r="K118" s="22"/>
      <c r="L118" s="22"/>
      <c r="M118" s="22"/>
      <c r="N118" s="22"/>
      <c r="O118" s="22"/>
      <c r="P118" s="22"/>
      <c r="Q118" s="22"/>
      <c r="R118" s="22"/>
      <c r="S118" s="22"/>
      <c r="T118" s="22"/>
      <c r="U118" s="22"/>
      <c r="V118" s="22"/>
      <c r="W118" s="22"/>
      <c r="X118" s="22"/>
      <c r="Y118" s="22"/>
      <c r="Z118" s="22"/>
      <c r="AA118" s="22"/>
      <c r="AB118" s="22"/>
      <c r="AC118" s="22"/>
      <c r="AD118" s="22"/>
      <c r="AE118" s="22"/>
      <c r="AF118" s="22"/>
      <c r="AG118" s="22"/>
      <c r="AH118" s="22"/>
      <c r="AI118" s="22"/>
      <c r="AJ118" s="22"/>
      <c r="AK118" s="22"/>
      <c r="AL118" s="22"/>
      <c r="AM118" s="22"/>
      <c r="AN118" s="22"/>
      <c r="AO118" s="22"/>
      <c r="AP118" s="22"/>
      <c r="AQ118" s="22"/>
      <c r="AR118" s="22"/>
      <c r="AS118" s="22"/>
      <c r="AT118" s="22"/>
      <c r="AU118" s="22"/>
      <c r="AV118" s="22"/>
      <c r="AW118" s="22"/>
    </row>
    <row r="119" spans="2:49" x14ac:dyDescent="0.15">
      <c r="B119" s="22"/>
      <c r="C119" s="22"/>
      <c r="D119" s="22"/>
      <c r="E119" s="22"/>
      <c r="F119" s="22"/>
      <c r="G119" s="22"/>
      <c r="H119" s="22"/>
      <c r="I119" s="22"/>
      <c r="J119" s="22"/>
      <c r="K119" s="22"/>
      <c r="L119" s="22"/>
      <c r="M119" s="22"/>
      <c r="N119" s="22"/>
      <c r="O119" s="22"/>
      <c r="P119" s="22"/>
      <c r="Q119" s="22"/>
      <c r="R119" s="22"/>
      <c r="S119" s="22"/>
      <c r="T119" s="22"/>
      <c r="U119" s="22"/>
      <c r="V119" s="22"/>
      <c r="W119" s="22"/>
      <c r="X119" s="22"/>
      <c r="Y119" s="22"/>
      <c r="Z119" s="22"/>
      <c r="AA119" s="22"/>
      <c r="AB119" s="22"/>
      <c r="AC119" s="22"/>
      <c r="AD119" s="22"/>
      <c r="AE119" s="22"/>
      <c r="AF119" s="22"/>
      <c r="AG119" s="22"/>
      <c r="AH119" s="22"/>
      <c r="AI119" s="22"/>
      <c r="AJ119" s="22"/>
      <c r="AK119" s="22"/>
      <c r="AL119" s="22"/>
      <c r="AM119" s="22"/>
      <c r="AN119" s="22"/>
      <c r="AO119" s="22"/>
      <c r="AP119" s="22"/>
      <c r="AQ119" s="22"/>
      <c r="AR119" s="22"/>
      <c r="AS119" s="22"/>
      <c r="AT119" s="22"/>
      <c r="AU119" s="22"/>
      <c r="AV119" s="22"/>
      <c r="AW119" s="22"/>
    </row>
    <row r="120" spans="2:49" x14ac:dyDescent="0.15">
      <c r="B120" s="22"/>
      <c r="C120" s="22"/>
      <c r="D120" s="22"/>
      <c r="E120" s="22"/>
      <c r="F120" s="22"/>
      <c r="G120" s="22"/>
      <c r="H120" s="22"/>
      <c r="I120" s="22"/>
      <c r="J120" s="22"/>
      <c r="K120" s="22"/>
      <c r="L120" s="22"/>
      <c r="M120" s="22"/>
      <c r="N120" s="22"/>
      <c r="O120" s="22"/>
      <c r="P120" s="22"/>
      <c r="Q120" s="22"/>
      <c r="R120" s="22"/>
      <c r="S120" s="22"/>
      <c r="T120" s="22"/>
      <c r="U120" s="22"/>
      <c r="V120" s="22"/>
      <c r="W120" s="22"/>
      <c r="X120" s="22"/>
      <c r="Y120" s="22"/>
      <c r="Z120" s="22"/>
      <c r="AA120" s="22"/>
      <c r="AB120" s="22"/>
      <c r="AC120" s="22"/>
      <c r="AD120" s="22"/>
      <c r="AE120" s="22"/>
      <c r="AF120" s="22"/>
      <c r="AG120" s="22"/>
      <c r="AH120" s="22"/>
      <c r="AI120" s="22"/>
      <c r="AJ120" s="22"/>
      <c r="AK120" s="22"/>
      <c r="AL120" s="22"/>
      <c r="AM120" s="22"/>
      <c r="AN120" s="22"/>
      <c r="AO120" s="22"/>
      <c r="AP120" s="22"/>
      <c r="AQ120" s="22"/>
      <c r="AR120" s="22"/>
      <c r="AS120" s="22"/>
      <c r="AT120" s="22"/>
      <c r="AU120" s="22"/>
      <c r="AV120" s="22"/>
      <c r="AW120" s="22"/>
    </row>
    <row r="121" spans="2:49" x14ac:dyDescent="0.15">
      <c r="B121" s="22"/>
      <c r="C121" s="22"/>
      <c r="D121" s="22"/>
      <c r="E121" s="22"/>
      <c r="F121" s="22"/>
      <c r="G121" s="22"/>
      <c r="H121" s="22"/>
      <c r="I121" s="22"/>
      <c r="J121" s="22"/>
      <c r="K121" s="22"/>
      <c r="L121" s="22"/>
      <c r="M121" s="22"/>
      <c r="N121" s="22"/>
      <c r="O121" s="22"/>
      <c r="P121" s="22"/>
      <c r="Q121" s="22"/>
      <c r="R121" s="22"/>
      <c r="S121" s="22"/>
      <c r="T121" s="22"/>
      <c r="U121" s="22"/>
      <c r="V121" s="22"/>
      <c r="W121" s="22"/>
      <c r="X121" s="22"/>
      <c r="Y121" s="22"/>
      <c r="Z121" s="22"/>
      <c r="AA121" s="22"/>
      <c r="AB121" s="22"/>
      <c r="AC121" s="22"/>
      <c r="AD121" s="22"/>
      <c r="AE121" s="22"/>
      <c r="AF121" s="22"/>
      <c r="AG121" s="22"/>
      <c r="AH121" s="22"/>
      <c r="AI121" s="22"/>
      <c r="AJ121" s="22"/>
      <c r="AK121" s="22"/>
      <c r="AL121" s="22"/>
      <c r="AM121" s="22"/>
      <c r="AN121" s="22"/>
      <c r="AO121" s="22"/>
      <c r="AP121" s="22"/>
      <c r="AQ121" s="22"/>
      <c r="AR121" s="22"/>
      <c r="AS121" s="22"/>
      <c r="AT121" s="22"/>
      <c r="AU121" s="22"/>
      <c r="AV121" s="22"/>
      <c r="AW121" s="22"/>
    </row>
    <row r="122" spans="2:49" x14ac:dyDescent="0.15">
      <c r="B122" s="22"/>
      <c r="C122" s="22"/>
      <c r="D122" s="22"/>
      <c r="E122" s="22"/>
      <c r="F122" s="22"/>
      <c r="G122" s="22"/>
      <c r="H122" s="22"/>
      <c r="I122" s="22"/>
      <c r="J122" s="22"/>
      <c r="K122" s="22"/>
      <c r="L122" s="22"/>
      <c r="M122" s="22"/>
      <c r="N122" s="22"/>
      <c r="O122" s="22"/>
      <c r="P122" s="22"/>
      <c r="Q122" s="22"/>
      <c r="R122" s="22"/>
      <c r="S122" s="22"/>
      <c r="T122" s="22"/>
      <c r="U122" s="22"/>
      <c r="V122" s="22"/>
      <c r="W122" s="22"/>
      <c r="X122" s="22"/>
      <c r="Y122" s="22"/>
      <c r="Z122" s="22"/>
      <c r="AA122" s="22"/>
      <c r="AB122" s="22"/>
      <c r="AC122" s="22"/>
      <c r="AD122" s="22"/>
      <c r="AE122" s="22"/>
      <c r="AF122" s="22"/>
      <c r="AG122" s="22"/>
      <c r="AH122" s="22"/>
      <c r="AI122" s="22"/>
      <c r="AJ122" s="22"/>
      <c r="AK122" s="22"/>
      <c r="AL122" s="22"/>
      <c r="AM122" s="22"/>
      <c r="AN122" s="22"/>
      <c r="AO122" s="22"/>
      <c r="AP122" s="22"/>
      <c r="AQ122" s="22"/>
      <c r="AR122" s="22"/>
      <c r="AS122" s="22"/>
      <c r="AT122" s="22"/>
      <c r="AU122" s="22"/>
      <c r="AV122" s="22"/>
      <c r="AW122" s="22"/>
    </row>
    <row r="123" spans="2:49" x14ac:dyDescent="0.15">
      <c r="B123" s="22"/>
      <c r="C123" s="22"/>
      <c r="D123" s="22"/>
      <c r="E123" s="22"/>
      <c r="F123" s="22"/>
      <c r="G123" s="22"/>
      <c r="H123" s="22"/>
      <c r="I123" s="22"/>
      <c r="J123" s="22"/>
      <c r="K123" s="22"/>
      <c r="L123" s="22"/>
      <c r="M123" s="22"/>
      <c r="N123" s="22"/>
      <c r="O123" s="22"/>
      <c r="P123" s="22"/>
      <c r="Q123" s="22"/>
      <c r="R123" s="22"/>
      <c r="S123" s="22"/>
      <c r="T123" s="22"/>
      <c r="U123" s="22"/>
      <c r="V123" s="22"/>
      <c r="W123" s="22"/>
      <c r="X123" s="22"/>
      <c r="Y123" s="22"/>
      <c r="Z123" s="22"/>
      <c r="AA123" s="22"/>
      <c r="AB123" s="22"/>
      <c r="AC123" s="22"/>
      <c r="AD123" s="22"/>
      <c r="AE123" s="22"/>
      <c r="AF123" s="22"/>
      <c r="AG123" s="22"/>
      <c r="AH123" s="22"/>
      <c r="AI123" s="22"/>
      <c r="AJ123" s="22"/>
      <c r="AK123" s="22"/>
      <c r="AL123" s="22"/>
      <c r="AM123" s="22"/>
      <c r="AN123" s="22"/>
      <c r="AO123" s="22"/>
      <c r="AP123" s="22"/>
      <c r="AQ123" s="22"/>
      <c r="AR123" s="22"/>
      <c r="AS123" s="22"/>
      <c r="AT123" s="22"/>
      <c r="AU123" s="22"/>
      <c r="AV123" s="22"/>
      <c r="AW123" s="22"/>
    </row>
    <row r="124" spans="2:49" x14ac:dyDescent="0.15">
      <c r="B124" s="22"/>
      <c r="C124" s="22"/>
      <c r="D124" s="22"/>
      <c r="E124" s="22"/>
      <c r="F124" s="22"/>
      <c r="G124" s="22"/>
      <c r="H124" s="22"/>
      <c r="I124" s="22"/>
      <c r="J124" s="22"/>
      <c r="K124" s="22"/>
      <c r="L124" s="22"/>
      <c r="M124" s="22"/>
      <c r="N124" s="22"/>
      <c r="O124" s="22"/>
      <c r="P124" s="22"/>
      <c r="Q124" s="22"/>
      <c r="R124" s="22"/>
      <c r="S124" s="22"/>
      <c r="T124" s="22"/>
      <c r="U124" s="22"/>
      <c r="V124" s="22"/>
      <c r="W124" s="22"/>
      <c r="X124" s="22"/>
      <c r="Y124" s="22"/>
      <c r="Z124" s="22"/>
      <c r="AA124" s="22"/>
      <c r="AB124" s="22"/>
      <c r="AC124" s="22"/>
      <c r="AD124" s="22"/>
      <c r="AE124" s="22"/>
      <c r="AF124" s="22"/>
      <c r="AG124" s="22"/>
      <c r="AH124" s="22"/>
      <c r="AI124" s="22"/>
      <c r="AJ124" s="22"/>
      <c r="AK124" s="22"/>
      <c r="AL124" s="22"/>
      <c r="AM124" s="22"/>
      <c r="AN124" s="22"/>
      <c r="AO124" s="22"/>
      <c r="AP124" s="22"/>
      <c r="AQ124" s="22"/>
      <c r="AR124" s="22"/>
      <c r="AS124" s="22"/>
      <c r="AT124" s="22"/>
      <c r="AU124" s="22"/>
      <c r="AV124" s="22"/>
      <c r="AW124" s="22"/>
    </row>
    <row r="125" spans="2:49" x14ac:dyDescent="0.15">
      <c r="B125" s="22"/>
      <c r="C125" s="22"/>
      <c r="D125" s="22"/>
      <c r="E125" s="22"/>
      <c r="F125" s="22"/>
      <c r="G125" s="22"/>
      <c r="H125" s="22"/>
      <c r="I125" s="22"/>
      <c r="J125" s="22"/>
      <c r="K125" s="22"/>
      <c r="L125" s="22"/>
      <c r="M125" s="22"/>
      <c r="N125" s="22"/>
      <c r="O125" s="22"/>
      <c r="P125" s="22"/>
      <c r="Q125" s="22"/>
      <c r="R125" s="22"/>
      <c r="S125" s="22"/>
      <c r="T125" s="22"/>
      <c r="U125" s="22"/>
      <c r="V125" s="22"/>
      <c r="W125" s="22"/>
      <c r="X125" s="22"/>
      <c r="Y125" s="22"/>
      <c r="Z125" s="22"/>
      <c r="AA125" s="22"/>
      <c r="AB125" s="22"/>
      <c r="AC125" s="22"/>
      <c r="AD125" s="22"/>
      <c r="AE125" s="22"/>
      <c r="AF125" s="22"/>
      <c r="AG125" s="22"/>
      <c r="AH125" s="22"/>
      <c r="AI125" s="22"/>
      <c r="AJ125" s="22"/>
      <c r="AK125" s="22"/>
      <c r="AL125" s="22"/>
      <c r="AM125" s="22"/>
      <c r="AN125" s="22"/>
      <c r="AO125" s="22"/>
      <c r="AP125" s="22"/>
      <c r="AQ125" s="22"/>
      <c r="AR125" s="22"/>
      <c r="AS125" s="22"/>
      <c r="AT125" s="22"/>
      <c r="AU125" s="22"/>
      <c r="AV125" s="22"/>
      <c r="AW125" s="22"/>
    </row>
    <row r="126" spans="2:49" x14ac:dyDescent="0.15">
      <c r="B126" s="22"/>
      <c r="C126" s="22"/>
      <c r="D126" s="22"/>
      <c r="E126" s="22"/>
      <c r="F126" s="22"/>
      <c r="G126" s="22"/>
      <c r="H126" s="22"/>
      <c r="I126" s="22"/>
      <c r="J126" s="22"/>
      <c r="K126" s="22"/>
      <c r="L126" s="22"/>
      <c r="M126" s="22"/>
      <c r="N126" s="22"/>
      <c r="O126" s="22"/>
      <c r="P126" s="22"/>
      <c r="Q126" s="22"/>
      <c r="R126" s="22"/>
      <c r="S126" s="22"/>
      <c r="T126" s="22"/>
      <c r="U126" s="22"/>
      <c r="V126" s="22"/>
      <c r="W126" s="22"/>
      <c r="X126" s="22"/>
      <c r="Y126" s="22"/>
      <c r="Z126" s="22"/>
      <c r="AA126" s="22"/>
      <c r="AB126" s="22"/>
      <c r="AC126" s="22"/>
      <c r="AD126" s="22"/>
      <c r="AE126" s="22"/>
      <c r="AF126" s="22"/>
      <c r="AG126" s="22"/>
      <c r="AH126" s="22"/>
      <c r="AI126" s="22"/>
      <c r="AJ126" s="22"/>
      <c r="AK126" s="22"/>
      <c r="AL126" s="22"/>
      <c r="AM126" s="22"/>
      <c r="AN126" s="22"/>
      <c r="AO126" s="22"/>
      <c r="AP126" s="22"/>
      <c r="AQ126" s="22"/>
      <c r="AR126" s="22"/>
      <c r="AS126" s="22"/>
      <c r="AT126" s="22"/>
      <c r="AU126" s="22"/>
      <c r="AV126" s="22"/>
      <c r="AW126" s="22"/>
    </row>
    <row r="127" spans="2:49" x14ac:dyDescent="0.15">
      <c r="B127" s="22"/>
      <c r="C127" s="22"/>
      <c r="D127" s="22"/>
      <c r="E127" s="22"/>
      <c r="F127" s="22"/>
      <c r="G127" s="22"/>
      <c r="H127" s="22"/>
      <c r="I127" s="22"/>
      <c r="J127" s="22"/>
      <c r="K127" s="22"/>
      <c r="L127" s="22"/>
      <c r="M127" s="22"/>
      <c r="N127" s="22"/>
      <c r="O127" s="22"/>
      <c r="P127" s="22"/>
      <c r="Q127" s="22"/>
      <c r="R127" s="22"/>
      <c r="S127" s="22"/>
      <c r="T127" s="22"/>
      <c r="U127" s="22"/>
      <c r="V127" s="22"/>
      <c r="W127" s="22"/>
      <c r="X127" s="22"/>
      <c r="Y127" s="22"/>
      <c r="Z127" s="22"/>
      <c r="AA127" s="22"/>
      <c r="AB127" s="22"/>
      <c r="AC127" s="22"/>
      <c r="AD127" s="22"/>
      <c r="AE127" s="22"/>
      <c r="AF127" s="22"/>
      <c r="AG127" s="22"/>
      <c r="AH127" s="22"/>
      <c r="AI127" s="22"/>
      <c r="AJ127" s="22"/>
      <c r="AK127" s="22"/>
      <c r="AL127" s="22"/>
      <c r="AM127" s="22"/>
      <c r="AN127" s="22"/>
      <c r="AO127" s="22"/>
      <c r="AP127" s="22"/>
      <c r="AQ127" s="22"/>
      <c r="AR127" s="22"/>
      <c r="AS127" s="22"/>
      <c r="AT127" s="22"/>
      <c r="AU127" s="22"/>
      <c r="AV127" s="22"/>
      <c r="AW127" s="22"/>
    </row>
    <row r="128" spans="2:49" x14ac:dyDescent="0.15">
      <c r="B128" s="22"/>
      <c r="C128" s="22"/>
      <c r="D128" s="22"/>
      <c r="E128" s="22"/>
      <c r="F128" s="22"/>
      <c r="G128" s="22"/>
      <c r="H128" s="22"/>
      <c r="I128" s="22"/>
      <c r="J128" s="22"/>
      <c r="K128" s="22"/>
      <c r="L128" s="22"/>
      <c r="M128" s="22"/>
      <c r="N128" s="22"/>
      <c r="O128" s="22"/>
      <c r="P128" s="22"/>
      <c r="Q128" s="22"/>
      <c r="R128" s="22"/>
      <c r="S128" s="22"/>
      <c r="T128" s="22"/>
      <c r="U128" s="22"/>
      <c r="V128" s="22"/>
      <c r="W128" s="22"/>
      <c r="X128" s="22"/>
      <c r="Y128" s="22"/>
      <c r="Z128" s="22"/>
      <c r="AA128" s="22"/>
      <c r="AB128" s="22"/>
      <c r="AC128" s="22"/>
      <c r="AD128" s="22"/>
      <c r="AE128" s="22"/>
      <c r="AF128" s="22"/>
      <c r="AG128" s="22"/>
      <c r="AH128" s="22"/>
      <c r="AI128" s="22"/>
      <c r="AJ128" s="22"/>
      <c r="AK128" s="22"/>
      <c r="AL128" s="22"/>
      <c r="AM128" s="22"/>
      <c r="AN128" s="22"/>
      <c r="AO128" s="22"/>
      <c r="AP128" s="22"/>
      <c r="AQ128" s="22"/>
      <c r="AR128" s="22"/>
      <c r="AS128" s="22"/>
      <c r="AT128" s="22"/>
      <c r="AU128" s="22"/>
      <c r="AV128" s="22"/>
      <c r="AW128" s="22"/>
    </row>
    <row r="129" spans="2:49" x14ac:dyDescent="0.15">
      <c r="B129" s="22"/>
      <c r="C129" s="22"/>
      <c r="D129" s="22"/>
      <c r="E129" s="22"/>
      <c r="F129" s="22"/>
      <c r="G129" s="22"/>
      <c r="H129" s="22"/>
      <c r="I129" s="22"/>
      <c r="J129" s="22"/>
      <c r="K129" s="22"/>
      <c r="L129" s="22"/>
      <c r="M129" s="22"/>
      <c r="N129" s="22"/>
      <c r="O129" s="22"/>
      <c r="P129" s="22"/>
      <c r="Q129" s="22"/>
      <c r="R129" s="22"/>
      <c r="S129" s="22"/>
      <c r="T129" s="22"/>
      <c r="U129" s="22"/>
      <c r="V129" s="22"/>
      <c r="W129" s="22"/>
      <c r="X129" s="22"/>
      <c r="Y129" s="22"/>
      <c r="Z129" s="22"/>
      <c r="AA129" s="22"/>
      <c r="AB129" s="22"/>
      <c r="AC129" s="22"/>
      <c r="AD129" s="22"/>
      <c r="AE129" s="22"/>
      <c r="AF129" s="22"/>
      <c r="AG129" s="22"/>
      <c r="AH129" s="22"/>
      <c r="AI129" s="22"/>
      <c r="AJ129" s="22"/>
      <c r="AK129" s="22"/>
      <c r="AL129" s="22"/>
      <c r="AM129" s="22"/>
      <c r="AN129" s="22"/>
      <c r="AO129" s="22"/>
      <c r="AP129" s="22"/>
      <c r="AQ129" s="22"/>
      <c r="AR129" s="22"/>
      <c r="AS129" s="22"/>
      <c r="AT129" s="22"/>
      <c r="AU129" s="22"/>
      <c r="AV129" s="22"/>
      <c r="AW129" s="22"/>
    </row>
    <row r="130" spans="2:49" x14ac:dyDescent="0.15">
      <c r="B130" s="22"/>
      <c r="C130" s="22"/>
      <c r="D130" s="22"/>
      <c r="E130" s="22"/>
      <c r="F130" s="22"/>
      <c r="G130" s="22"/>
      <c r="H130" s="22"/>
      <c r="I130" s="22"/>
      <c r="J130" s="22"/>
      <c r="K130" s="22"/>
      <c r="L130" s="22"/>
      <c r="M130" s="22"/>
      <c r="N130" s="22"/>
      <c r="O130" s="22"/>
      <c r="P130" s="22"/>
      <c r="Q130" s="22"/>
      <c r="R130" s="22"/>
      <c r="S130" s="22"/>
      <c r="T130" s="22"/>
      <c r="U130" s="22"/>
      <c r="V130" s="22"/>
      <c r="W130" s="22"/>
      <c r="X130" s="22"/>
      <c r="Y130" s="22"/>
      <c r="Z130" s="22"/>
      <c r="AA130" s="22"/>
      <c r="AB130" s="22"/>
      <c r="AC130" s="22"/>
      <c r="AD130" s="22"/>
      <c r="AE130" s="22"/>
      <c r="AF130" s="22"/>
      <c r="AG130" s="22"/>
      <c r="AH130" s="22"/>
      <c r="AI130" s="22"/>
      <c r="AJ130" s="22"/>
      <c r="AK130" s="22"/>
      <c r="AL130" s="22"/>
      <c r="AM130" s="22"/>
      <c r="AN130" s="22"/>
      <c r="AO130" s="22"/>
      <c r="AP130" s="22"/>
      <c r="AQ130" s="22"/>
      <c r="AR130" s="22"/>
      <c r="AS130" s="22"/>
      <c r="AT130" s="22"/>
      <c r="AU130" s="22"/>
      <c r="AV130" s="22"/>
      <c r="AW130" s="22"/>
    </row>
    <row r="131" spans="2:49" x14ac:dyDescent="0.15">
      <c r="B131" s="22"/>
      <c r="C131" s="22"/>
      <c r="D131" s="22"/>
      <c r="E131" s="22"/>
      <c r="F131" s="22"/>
      <c r="G131" s="22"/>
      <c r="H131" s="22"/>
      <c r="I131" s="22"/>
      <c r="J131" s="22"/>
      <c r="K131" s="22"/>
      <c r="L131" s="22"/>
      <c r="M131" s="22"/>
      <c r="N131" s="22"/>
      <c r="O131" s="22"/>
      <c r="P131" s="22"/>
      <c r="Q131" s="22"/>
      <c r="R131" s="22"/>
      <c r="S131" s="22"/>
      <c r="T131" s="22"/>
      <c r="U131" s="22"/>
      <c r="V131" s="22"/>
      <c r="W131" s="22"/>
      <c r="X131" s="22"/>
      <c r="Y131" s="22"/>
      <c r="Z131" s="22"/>
      <c r="AA131" s="22"/>
      <c r="AB131" s="22"/>
      <c r="AC131" s="22"/>
      <c r="AD131" s="22"/>
      <c r="AE131" s="22"/>
      <c r="AF131" s="22"/>
      <c r="AG131" s="22"/>
      <c r="AH131" s="22"/>
      <c r="AI131" s="22"/>
      <c r="AJ131" s="22"/>
      <c r="AK131" s="22"/>
      <c r="AL131" s="22"/>
      <c r="AM131" s="22"/>
      <c r="AN131" s="22"/>
      <c r="AO131" s="22"/>
      <c r="AP131" s="22"/>
      <c r="AQ131" s="22"/>
      <c r="AR131" s="22"/>
      <c r="AS131" s="22"/>
      <c r="AT131" s="22"/>
      <c r="AU131" s="22"/>
      <c r="AV131" s="22"/>
      <c r="AW131" s="22"/>
    </row>
    <row r="132" spans="2:49" x14ac:dyDescent="0.15">
      <c r="B132" s="22"/>
      <c r="C132" s="22"/>
      <c r="D132" s="22"/>
      <c r="E132" s="22"/>
      <c r="F132" s="22"/>
      <c r="G132" s="22"/>
      <c r="H132" s="22"/>
      <c r="I132" s="22"/>
      <c r="J132" s="22"/>
      <c r="K132" s="22"/>
      <c r="L132" s="22"/>
      <c r="M132" s="22"/>
      <c r="N132" s="22"/>
      <c r="O132" s="22"/>
      <c r="P132" s="22"/>
      <c r="Q132" s="22"/>
      <c r="R132" s="22"/>
      <c r="S132" s="22"/>
      <c r="T132" s="22"/>
      <c r="U132" s="22"/>
      <c r="V132" s="22"/>
      <c r="W132" s="22"/>
      <c r="X132" s="22"/>
      <c r="Y132" s="22"/>
      <c r="Z132" s="22"/>
      <c r="AA132" s="22"/>
      <c r="AB132" s="22"/>
      <c r="AC132" s="22"/>
      <c r="AD132" s="22"/>
      <c r="AE132" s="22"/>
      <c r="AF132" s="22"/>
      <c r="AG132" s="22"/>
      <c r="AH132" s="22"/>
      <c r="AI132" s="22"/>
      <c r="AJ132" s="22"/>
      <c r="AK132" s="22"/>
      <c r="AL132" s="22"/>
      <c r="AM132" s="22"/>
      <c r="AN132" s="22"/>
      <c r="AO132" s="22"/>
      <c r="AP132" s="22"/>
      <c r="AQ132" s="22"/>
      <c r="AR132" s="22"/>
      <c r="AS132" s="22"/>
      <c r="AT132" s="22"/>
      <c r="AU132" s="22"/>
      <c r="AV132" s="22"/>
      <c r="AW132" s="22"/>
    </row>
    <row r="133" spans="2:49" x14ac:dyDescent="0.15">
      <c r="B133" s="22"/>
      <c r="C133" s="22"/>
      <c r="D133" s="22"/>
      <c r="E133" s="22"/>
      <c r="F133" s="22"/>
      <c r="G133" s="22"/>
      <c r="H133" s="22"/>
      <c r="I133" s="22"/>
      <c r="J133" s="22"/>
      <c r="K133" s="22"/>
      <c r="L133" s="22"/>
      <c r="M133" s="22"/>
      <c r="N133" s="22"/>
      <c r="O133" s="22"/>
      <c r="P133" s="22"/>
      <c r="Q133" s="22"/>
      <c r="R133" s="22"/>
      <c r="S133" s="22"/>
      <c r="T133" s="22"/>
      <c r="U133" s="22"/>
      <c r="V133" s="22"/>
      <c r="W133" s="22"/>
      <c r="X133" s="22"/>
      <c r="Y133" s="22"/>
      <c r="Z133" s="22"/>
      <c r="AA133" s="22"/>
      <c r="AB133" s="22"/>
      <c r="AC133" s="22"/>
      <c r="AD133" s="22"/>
      <c r="AE133" s="22"/>
      <c r="AF133" s="22"/>
      <c r="AG133" s="22"/>
      <c r="AH133" s="22"/>
      <c r="AI133" s="22"/>
      <c r="AJ133" s="22"/>
      <c r="AK133" s="22"/>
      <c r="AL133" s="22"/>
      <c r="AM133" s="22"/>
      <c r="AN133" s="22"/>
      <c r="AO133" s="22"/>
      <c r="AP133" s="22"/>
      <c r="AQ133" s="22"/>
      <c r="AR133" s="22"/>
      <c r="AS133" s="22"/>
      <c r="AT133" s="22"/>
      <c r="AU133" s="22"/>
      <c r="AV133" s="22"/>
      <c r="AW133" s="22"/>
    </row>
    <row r="134" spans="2:49" x14ac:dyDescent="0.15">
      <c r="B134" s="22"/>
      <c r="C134" s="22"/>
      <c r="D134" s="22"/>
      <c r="E134" s="22"/>
      <c r="F134" s="22"/>
      <c r="G134" s="22"/>
      <c r="H134" s="22"/>
      <c r="I134" s="22"/>
      <c r="J134" s="22"/>
      <c r="K134" s="22"/>
      <c r="L134" s="22"/>
      <c r="M134" s="22"/>
      <c r="N134" s="22"/>
      <c r="O134" s="22"/>
      <c r="P134" s="22"/>
      <c r="Q134" s="22"/>
      <c r="R134" s="22"/>
      <c r="S134" s="22"/>
      <c r="T134" s="22"/>
      <c r="U134" s="22"/>
      <c r="V134" s="22"/>
      <c r="W134" s="22"/>
      <c r="X134" s="22"/>
      <c r="Y134" s="22"/>
      <c r="Z134" s="22"/>
      <c r="AA134" s="22"/>
      <c r="AB134" s="22"/>
      <c r="AC134" s="22"/>
      <c r="AD134" s="22"/>
      <c r="AE134" s="22"/>
      <c r="AF134" s="22"/>
      <c r="AG134" s="22"/>
      <c r="AH134" s="22"/>
      <c r="AI134" s="22"/>
      <c r="AJ134" s="22"/>
      <c r="AK134" s="22"/>
      <c r="AL134" s="22"/>
      <c r="AM134" s="22"/>
      <c r="AN134" s="22"/>
      <c r="AO134" s="22"/>
      <c r="AP134" s="22"/>
      <c r="AQ134" s="22"/>
      <c r="AR134" s="22"/>
      <c r="AS134" s="22"/>
      <c r="AT134" s="22"/>
      <c r="AU134" s="22"/>
      <c r="AV134" s="22"/>
      <c r="AW134" s="22"/>
    </row>
    <row r="135" spans="2:49" x14ac:dyDescent="0.15">
      <c r="B135" s="22"/>
      <c r="C135" s="22"/>
      <c r="D135" s="22"/>
      <c r="E135" s="22"/>
      <c r="F135" s="22"/>
      <c r="G135" s="22"/>
      <c r="H135" s="22"/>
      <c r="I135" s="22"/>
      <c r="J135" s="22"/>
      <c r="K135" s="22"/>
      <c r="L135" s="22"/>
      <c r="M135" s="22"/>
      <c r="N135" s="22"/>
      <c r="O135" s="22"/>
      <c r="P135" s="22"/>
      <c r="Q135" s="22"/>
      <c r="R135" s="22"/>
      <c r="S135" s="22"/>
      <c r="T135" s="22"/>
      <c r="U135" s="22"/>
      <c r="V135" s="22"/>
      <c r="W135" s="22"/>
      <c r="X135" s="22"/>
      <c r="Y135" s="22"/>
      <c r="Z135" s="22"/>
      <c r="AA135" s="22"/>
      <c r="AB135" s="22"/>
      <c r="AC135" s="22"/>
      <c r="AD135" s="22"/>
      <c r="AE135" s="22"/>
      <c r="AF135" s="22"/>
      <c r="AG135" s="22"/>
      <c r="AH135" s="22"/>
      <c r="AI135" s="22"/>
      <c r="AJ135" s="22"/>
      <c r="AK135" s="22"/>
      <c r="AL135" s="22"/>
      <c r="AM135" s="22"/>
      <c r="AN135" s="22"/>
      <c r="AO135" s="22"/>
      <c r="AP135" s="22"/>
      <c r="AQ135" s="22"/>
      <c r="AR135" s="22"/>
      <c r="AS135" s="22"/>
      <c r="AT135" s="22"/>
      <c r="AU135" s="22"/>
      <c r="AV135" s="22"/>
      <c r="AW135" s="22"/>
    </row>
    <row r="136" spans="2:49" x14ac:dyDescent="0.15">
      <c r="B136" s="22"/>
      <c r="C136" s="22"/>
      <c r="D136" s="22"/>
      <c r="E136" s="22"/>
      <c r="F136" s="22"/>
      <c r="G136" s="22"/>
      <c r="H136" s="22"/>
      <c r="I136" s="22"/>
      <c r="J136" s="22"/>
      <c r="K136" s="22"/>
      <c r="L136" s="22"/>
      <c r="M136" s="22"/>
      <c r="N136" s="22"/>
      <c r="O136" s="22"/>
      <c r="P136" s="22"/>
      <c r="Q136" s="22"/>
      <c r="R136" s="22"/>
      <c r="S136" s="22"/>
      <c r="T136" s="22"/>
      <c r="U136" s="22"/>
      <c r="V136" s="22"/>
      <c r="W136" s="22"/>
      <c r="X136" s="22"/>
      <c r="Y136" s="22"/>
      <c r="Z136" s="22"/>
      <c r="AA136" s="22"/>
      <c r="AB136" s="22"/>
      <c r="AC136" s="22"/>
      <c r="AD136" s="22"/>
      <c r="AE136" s="22"/>
      <c r="AF136" s="22"/>
      <c r="AG136" s="22"/>
      <c r="AH136" s="22"/>
      <c r="AI136" s="22"/>
      <c r="AJ136" s="22"/>
      <c r="AK136" s="22"/>
      <c r="AL136" s="22"/>
      <c r="AM136" s="22"/>
      <c r="AN136" s="22"/>
      <c r="AO136" s="22"/>
      <c r="AP136" s="22"/>
      <c r="AQ136" s="22"/>
      <c r="AR136" s="22"/>
      <c r="AS136" s="22"/>
      <c r="AT136" s="22"/>
      <c r="AU136" s="22"/>
      <c r="AV136" s="22"/>
      <c r="AW136" s="22"/>
    </row>
    <row r="137" spans="2:49" x14ac:dyDescent="0.15">
      <c r="B137" s="22"/>
      <c r="C137" s="22"/>
      <c r="D137" s="22"/>
      <c r="E137" s="22"/>
      <c r="F137" s="22"/>
      <c r="G137" s="22"/>
      <c r="H137" s="22"/>
      <c r="I137" s="22"/>
      <c r="J137" s="22"/>
      <c r="K137" s="22"/>
      <c r="L137" s="22"/>
      <c r="M137" s="22"/>
      <c r="N137" s="22"/>
      <c r="O137" s="22"/>
      <c r="P137" s="22"/>
      <c r="Q137" s="22"/>
      <c r="R137" s="22"/>
      <c r="S137" s="22"/>
      <c r="T137" s="22"/>
      <c r="U137" s="22"/>
      <c r="V137" s="22"/>
      <c r="W137" s="22"/>
      <c r="X137" s="22"/>
      <c r="Y137" s="22"/>
      <c r="Z137" s="22"/>
      <c r="AA137" s="22"/>
      <c r="AB137" s="22"/>
      <c r="AC137" s="22"/>
      <c r="AD137" s="22"/>
      <c r="AE137" s="22"/>
      <c r="AF137" s="22"/>
      <c r="AG137" s="22"/>
      <c r="AH137" s="22"/>
      <c r="AI137" s="22"/>
      <c r="AJ137" s="22"/>
      <c r="AK137" s="22"/>
      <c r="AL137" s="22"/>
      <c r="AM137" s="22"/>
      <c r="AN137" s="22"/>
      <c r="AO137" s="22"/>
      <c r="AP137" s="22"/>
      <c r="AQ137" s="22"/>
      <c r="AR137" s="22"/>
      <c r="AS137" s="22"/>
      <c r="AT137" s="22"/>
      <c r="AU137" s="22"/>
      <c r="AV137" s="22"/>
      <c r="AW137" s="22"/>
    </row>
    <row r="138" spans="2:49" x14ac:dyDescent="0.15">
      <c r="B138" s="22"/>
      <c r="C138" s="22"/>
      <c r="D138" s="22"/>
      <c r="E138" s="22"/>
      <c r="F138" s="22"/>
      <c r="G138" s="22"/>
      <c r="H138" s="22"/>
      <c r="I138" s="22"/>
      <c r="J138" s="22"/>
      <c r="K138" s="22"/>
      <c r="L138" s="22"/>
      <c r="M138" s="22"/>
      <c r="N138" s="22"/>
      <c r="O138" s="22"/>
      <c r="P138" s="22"/>
      <c r="Q138" s="22"/>
      <c r="R138" s="22"/>
      <c r="S138" s="22"/>
      <c r="T138" s="22"/>
      <c r="U138" s="22"/>
      <c r="V138" s="22"/>
      <c r="W138" s="22"/>
      <c r="X138" s="22"/>
      <c r="Y138" s="22"/>
      <c r="Z138" s="22"/>
      <c r="AA138" s="22"/>
      <c r="AB138" s="22"/>
      <c r="AC138" s="22"/>
      <c r="AD138" s="22"/>
      <c r="AE138" s="22"/>
      <c r="AF138" s="22"/>
      <c r="AG138" s="22"/>
      <c r="AH138" s="22"/>
      <c r="AI138" s="22"/>
      <c r="AJ138" s="22"/>
      <c r="AK138" s="22"/>
      <c r="AL138" s="22"/>
      <c r="AM138" s="22"/>
      <c r="AN138" s="22"/>
      <c r="AO138" s="22"/>
      <c r="AP138" s="22"/>
      <c r="AQ138" s="22"/>
      <c r="AR138" s="22"/>
      <c r="AS138" s="22"/>
      <c r="AT138" s="22"/>
      <c r="AU138" s="22"/>
      <c r="AV138" s="22"/>
      <c r="AW138" s="22"/>
    </row>
    <row r="139" spans="2:49" x14ac:dyDescent="0.15">
      <c r="B139" s="22"/>
      <c r="C139" s="22"/>
      <c r="D139" s="22"/>
      <c r="E139" s="22"/>
      <c r="F139" s="22"/>
      <c r="G139" s="22"/>
      <c r="H139" s="22"/>
      <c r="I139" s="22"/>
      <c r="J139" s="22"/>
      <c r="K139" s="22"/>
      <c r="L139" s="22"/>
      <c r="M139" s="22"/>
      <c r="N139" s="22"/>
      <c r="O139" s="22"/>
      <c r="P139" s="22"/>
      <c r="Q139" s="22"/>
      <c r="R139" s="22"/>
      <c r="S139" s="22"/>
      <c r="T139" s="22"/>
      <c r="U139" s="22"/>
      <c r="V139" s="22"/>
      <c r="W139" s="22"/>
      <c r="X139" s="22"/>
      <c r="Y139" s="22"/>
      <c r="Z139" s="22"/>
      <c r="AA139" s="22"/>
      <c r="AB139" s="22"/>
      <c r="AC139" s="22"/>
      <c r="AD139" s="22"/>
      <c r="AE139" s="22"/>
      <c r="AF139" s="22"/>
      <c r="AG139" s="22"/>
      <c r="AH139" s="22"/>
      <c r="AI139" s="22"/>
      <c r="AJ139" s="22"/>
      <c r="AK139" s="22"/>
      <c r="AL139" s="22"/>
      <c r="AM139" s="22"/>
      <c r="AN139" s="22"/>
      <c r="AO139" s="22"/>
      <c r="AP139" s="22"/>
      <c r="AQ139" s="22"/>
      <c r="AR139" s="22"/>
      <c r="AS139" s="22"/>
      <c r="AT139" s="22"/>
      <c r="AU139" s="22"/>
      <c r="AV139" s="22"/>
      <c r="AW139" s="22"/>
    </row>
    <row r="140" spans="2:49" x14ac:dyDescent="0.15">
      <c r="B140" s="22"/>
      <c r="C140" s="22"/>
      <c r="D140" s="22"/>
      <c r="E140" s="22"/>
      <c r="F140" s="22"/>
      <c r="G140" s="22"/>
      <c r="H140" s="22"/>
      <c r="I140" s="22"/>
      <c r="J140" s="22"/>
      <c r="K140" s="22"/>
      <c r="L140" s="22"/>
      <c r="M140" s="22"/>
      <c r="N140" s="22"/>
      <c r="O140" s="22"/>
      <c r="P140" s="22"/>
      <c r="Q140" s="22"/>
      <c r="R140" s="22"/>
      <c r="S140" s="22"/>
      <c r="T140" s="22"/>
      <c r="U140" s="22"/>
      <c r="V140" s="22"/>
      <c r="W140" s="22"/>
      <c r="X140" s="22"/>
      <c r="Y140" s="22"/>
      <c r="Z140" s="22"/>
      <c r="AA140" s="22"/>
      <c r="AB140" s="22"/>
      <c r="AC140" s="22"/>
      <c r="AD140" s="22"/>
      <c r="AE140" s="22"/>
      <c r="AF140" s="22"/>
      <c r="AG140" s="22"/>
      <c r="AH140" s="22"/>
      <c r="AI140" s="22"/>
      <c r="AJ140" s="22"/>
      <c r="AK140" s="22"/>
      <c r="AL140" s="22"/>
      <c r="AM140" s="22"/>
      <c r="AN140" s="22"/>
      <c r="AO140" s="22"/>
      <c r="AP140" s="22"/>
      <c r="AQ140" s="22"/>
      <c r="AR140" s="22"/>
      <c r="AS140" s="22"/>
      <c r="AT140" s="22"/>
      <c r="AU140" s="22"/>
      <c r="AV140" s="22"/>
      <c r="AW140" s="22"/>
    </row>
    <row r="141" spans="2:49" x14ac:dyDescent="0.15">
      <c r="B141" s="22"/>
      <c r="C141" s="22"/>
      <c r="D141" s="22"/>
      <c r="E141" s="22"/>
      <c r="F141" s="22"/>
      <c r="G141" s="22"/>
      <c r="H141" s="22"/>
      <c r="I141" s="22"/>
      <c r="J141" s="22"/>
      <c r="K141" s="22"/>
      <c r="L141" s="22"/>
      <c r="M141" s="22"/>
      <c r="N141" s="22"/>
      <c r="O141" s="22"/>
      <c r="P141" s="22"/>
      <c r="Q141" s="22"/>
      <c r="R141" s="22"/>
      <c r="S141" s="22"/>
      <c r="T141" s="22"/>
      <c r="U141" s="22"/>
      <c r="V141" s="22"/>
      <c r="W141" s="22"/>
      <c r="X141" s="22"/>
      <c r="Y141" s="22"/>
      <c r="Z141" s="22"/>
      <c r="AA141" s="22"/>
      <c r="AB141" s="22"/>
      <c r="AC141" s="22"/>
      <c r="AD141" s="22"/>
      <c r="AE141" s="22"/>
      <c r="AF141" s="22"/>
      <c r="AG141" s="22"/>
      <c r="AH141" s="22"/>
      <c r="AI141" s="22"/>
      <c r="AJ141" s="22"/>
      <c r="AK141" s="22"/>
      <c r="AL141" s="22"/>
      <c r="AM141" s="22"/>
      <c r="AN141" s="22"/>
      <c r="AO141" s="22"/>
      <c r="AP141" s="22"/>
      <c r="AQ141" s="22"/>
      <c r="AR141" s="22"/>
      <c r="AS141" s="22"/>
      <c r="AT141" s="22"/>
      <c r="AU141" s="22"/>
      <c r="AV141" s="22"/>
      <c r="AW141" s="22"/>
    </row>
    <row r="142" spans="2:49" x14ac:dyDescent="0.15">
      <c r="B142" s="22"/>
      <c r="C142" s="22"/>
      <c r="D142" s="22"/>
      <c r="E142" s="22"/>
      <c r="F142" s="22"/>
      <c r="G142" s="22"/>
      <c r="H142" s="22"/>
      <c r="I142" s="22"/>
      <c r="J142" s="22"/>
      <c r="K142" s="22"/>
      <c r="L142" s="22"/>
      <c r="M142" s="22"/>
      <c r="N142" s="22"/>
      <c r="O142" s="22"/>
      <c r="P142" s="22"/>
      <c r="Q142" s="22"/>
      <c r="R142" s="22"/>
      <c r="S142" s="22"/>
      <c r="T142" s="22"/>
      <c r="U142" s="22"/>
      <c r="V142" s="22"/>
      <c r="W142" s="22"/>
      <c r="X142" s="22"/>
      <c r="Y142" s="22"/>
      <c r="Z142" s="22"/>
      <c r="AA142" s="22"/>
      <c r="AB142" s="22"/>
      <c r="AC142" s="22"/>
      <c r="AD142" s="22"/>
      <c r="AE142" s="22"/>
      <c r="AF142" s="22"/>
      <c r="AG142" s="22"/>
      <c r="AH142" s="22"/>
      <c r="AI142" s="22"/>
      <c r="AJ142" s="22"/>
      <c r="AK142" s="22"/>
      <c r="AL142" s="22"/>
      <c r="AM142" s="22"/>
      <c r="AN142" s="22"/>
      <c r="AO142" s="22"/>
      <c r="AP142" s="22"/>
      <c r="AQ142" s="22"/>
      <c r="AR142" s="22"/>
      <c r="AS142" s="22"/>
      <c r="AT142" s="22"/>
      <c r="AU142" s="22"/>
      <c r="AV142" s="22"/>
      <c r="AW142" s="22"/>
    </row>
    <row r="143" spans="2:49" x14ac:dyDescent="0.15">
      <c r="B143" s="22"/>
      <c r="C143" s="22"/>
      <c r="D143" s="22"/>
      <c r="E143" s="22"/>
      <c r="F143" s="22"/>
      <c r="G143" s="22"/>
      <c r="H143" s="22"/>
      <c r="I143" s="22"/>
      <c r="J143" s="22"/>
      <c r="K143" s="22"/>
      <c r="L143" s="22"/>
      <c r="M143" s="22"/>
      <c r="N143" s="22"/>
      <c r="O143" s="22"/>
      <c r="P143" s="22"/>
      <c r="Q143" s="22"/>
      <c r="R143" s="22"/>
      <c r="S143" s="22"/>
      <c r="T143" s="22"/>
      <c r="U143" s="22"/>
      <c r="V143" s="22"/>
      <c r="W143" s="22"/>
      <c r="X143" s="22"/>
      <c r="Y143" s="22"/>
      <c r="Z143" s="22"/>
      <c r="AA143" s="22"/>
      <c r="AB143" s="22"/>
      <c r="AC143" s="22"/>
      <c r="AD143" s="22"/>
      <c r="AE143" s="22"/>
      <c r="AF143" s="22"/>
      <c r="AG143" s="22"/>
      <c r="AH143" s="22"/>
      <c r="AI143" s="22"/>
      <c r="AJ143" s="22"/>
      <c r="AK143" s="22"/>
      <c r="AL143" s="22"/>
      <c r="AM143" s="22"/>
      <c r="AN143" s="22"/>
      <c r="AO143" s="22"/>
      <c r="AP143" s="22"/>
      <c r="AQ143" s="22"/>
      <c r="AR143" s="22"/>
      <c r="AS143" s="22"/>
      <c r="AT143" s="22"/>
      <c r="AU143" s="22"/>
      <c r="AV143" s="22"/>
      <c r="AW143" s="22"/>
    </row>
    <row r="144" spans="2:49" x14ac:dyDescent="0.15">
      <c r="B144" s="22"/>
      <c r="C144" s="22"/>
      <c r="D144" s="22"/>
      <c r="E144" s="22"/>
      <c r="F144" s="22"/>
      <c r="G144" s="22"/>
      <c r="H144" s="22"/>
      <c r="I144" s="22"/>
      <c r="J144" s="22"/>
      <c r="K144" s="22"/>
      <c r="L144" s="22"/>
      <c r="M144" s="22"/>
      <c r="N144" s="22"/>
      <c r="O144" s="22"/>
      <c r="P144" s="22"/>
      <c r="Q144" s="22"/>
      <c r="R144" s="22"/>
      <c r="S144" s="22"/>
      <c r="T144" s="22"/>
      <c r="U144" s="22"/>
      <c r="V144" s="22"/>
      <c r="W144" s="22"/>
      <c r="X144" s="22"/>
      <c r="Y144" s="22"/>
      <c r="Z144" s="22"/>
      <c r="AA144" s="22"/>
      <c r="AB144" s="22"/>
      <c r="AC144" s="22"/>
      <c r="AD144" s="22"/>
      <c r="AE144" s="22"/>
      <c r="AF144" s="22"/>
      <c r="AG144" s="22"/>
      <c r="AH144" s="22"/>
      <c r="AI144" s="22"/>
      <c r="AJ144" s="22"/>
      <c r="AK144" s="22"/>
      <c r="AL144" s="22"/>
      <c r="AM144" s="22"/>
      <c r="AN144" s="22"/>
      <c r="AO144" s="22"/>
      <c r="AP144" s="22"/>
      <c r="AQ144" s="22"/>
      <c r="AR144" s="22"/>
      <c r="AS144" s="22"/>
      <c r="AT144" s="22"/>
      <c r="AU144" s="22"/>
      <c r="AV144" s="22"/>
      <c r="AW144" s="22"/>
    </row>
    <row r="145" spans="2:49" x14ac:dyDescent="0.15">
      <c r="B145" s="22"/>
      <c r="C145" s="22"/>
      <c r="D145" s="22"/>
      <c r="E145" s="22"/>
      <c r="F145" s="22"/>
      <c r="G145" s="22"/>
      <c r="H145" s="22"/>
      <c r="I145" s="22"/>
      <c r="J145" s="22"/>
      <c r="K145" s="22"/>
      <c r="L145" s="22"/>
      <c r="M145" s="22"/>
      <c r="N145" s="22"/>
      <c r="O145" s="22"/>
      <c r="P145" s="22"/>
      <c r="Q145" s="22"/>
      <c r="R145" s="22"/>
      <c r="S145" s="22"/>
      <c r="T145" s="22"/>
      <c r="U145" s="22"/>
      <c r="V145" s="22"/>
      <c r="W145" s="22"/>
      <c r="X145" s="22"/>
      <c r="Y145" s="22"/>
      <c r="Z145" s="22"/>
      <c r="AA145" s="22"/>
      <c r="AB145" s="22"/>
      <c r="AC145" s="22"/>
      <c r="AD145" s="22"/>
      <c r="AE145" s="22"/>
      <c r="AF145" s="22"/>
      <c r="AG145" s="22"/>
      <c r="AH145" s="22"/>
      <c r="AI145" s="22"/>
      <c r="AJ145" s="22"/>
      <c r="AK145" s="22"/>
      <c r="AL145" s="22"/>
      <c r="AM145" s="22"/>
      <c r="AN145" s="22"/>
      <c r="AO145" s="22"/>
      <c r="AP145" s="22"/>
      <c r="AQ145" s="22"/>
      <c r="AR145" s="22"/>
      <c r="AS145" s="22"/>
      <c r="AT145" s="22"/>
      <c r="AU145" s="22"/>
      <c r="AV145" s="22"/>
      <c r="AW145" s="22"/>
    </row>
    <row r="146" spans="2:49" x14ac:dyDescent="0.15">
      <c r="B146" s="22"/>
      <c r="C146" s="22"/>
      <c r="D146" s="22"/>
      <c r="E146" s="22"/>
      <c r="F146" s="22"/>
      <c r="G146" s="22"/>
      <c r="H146" s="22"/>
      <c r="I146" s="22"/>
      <c r="J146" s="22"/>
      <c r="K146" s="22"/>
      <c r="L146" s="22"/>
      <c r="M146" s="22"/>
      <c r="N146" s="22"/>
      <c r="O146" s="22"/>
      <c r="P146" s="22"/>
      <c r="Q146" s="22"/>
      <c r="R146" s="22"/>
      <c r="S146" s="22"/>
      <c r="T146" s="22"/>
      <c r="U146" s="22"/>
      <c r="V146" s="22"/>
      <c r="W146" s="22"/>
      <c r="X146" s="22"/>
      <c r="Y146" s="22"/>
      <c r="Z146" s="22"/>
      <c r="AA146" s="22"/>
      <c r="AB146" s="22"/>
      <c r="AC146" s="22"/>
      <c r="AD146" s="22"/>
      <c r="AE146" s="22"/>
      <c r="AF146" s="22"/>
      <c r="AG146" s="22"/>
      <c r="AH146" s="22"/>
      <c r="AI146" s="22"/>
      <c r="AJ146" s="22"/>
      <c r="AK146" s="22"/>
      <c r="AL146" s="22"/>
      <c r="AM146" s="22"/>
      <c r="AN146" s="22"/>
      <c r="AO146" s="22"/>
      <c r="AP146" s="22"/>
      <c r="AQ146" s="22"/>
      <c r="AR146" s="22"/>
      <c r="AS146" s="22"/>
      <c r="AT146" s="22"/>
      <c r="AU146" s="22"/>
      <c r="AV146" s="22"/>
      <c r="AW146" s="22"/>
    </row>
    <row r="147" spans="2:49" x14ac:dyDescent="0.15">
      <c r="B147" s="22"/>
      <c r="C147" s="22"/>
      <c r="D147" s="22"/>
      <c r="E147" s="22"/>
      <c r="F147" s="22"/>
      <c r="G147" s="22"/>
      <c r="H147" s="22"/>
      <c r="I147" s="22"/>
      <c r="J147" s="22"/>
      <c r="K147" s="22"/>
      <c r="L147" s="22"/>
      <c r="M147" s="22"/>
      <c r="N147" s="22"/>
      <c r="O147" s="22"/>
      <c r="P147" s="22"/>
      <c r="Q147" s="22"/>
      <c r="R147" s="22"/>
      <c r="S147" s="22"/>
      <c r="T147" s="22"/>
      <c r="U147" s="22"/>
      <c r="V147" s="22"/>
      <c r="W147" s="22"/>
      <c r="X147" s="22"/>
      <c r="Y147" s="22"/>
      <c r="Z147" s="22"/>
      <c r="AA147" s="22"/>
      <c r="AB147" s="22"/>
      <c r="AC147" s="22"/>
      <c r="AD147" s="22"/>
      <c r="AE147" s="22"/>
      <c r="AF147" s="22"/>
      <c r="AG147" s="22"/>
      <c r="AH147" s="22"/>
      <c r="AI147" s="22"/>
      <c r="AJ147" s="22"/>
      <c r="AK147" s="22"/>
      <c r="AL147" s="22"/>
      <c r="AM147" s="22"/>
      <c r="AN147" s="22"/>
      <c r="AO147" s="22"/>
      <c r="AP147" s="22"/>
      <c r="AQ147" s="22"/>
      <c r="AR147" s="22"/>
      <c r="AS147" s="22"/>
      <c r="AT147" s="22"/>
      <c r="AU147" s="22"/>
      <c r="AV147" s="22"/>
      <c r="AW147" s="22"/>
    </row>
    <row r="148" spans="2:49" x14ac:dyDescent="0.15">
      <c r="B148" s="22"/>
      <c r="C148" s="22"/>
      <c r="D148" s="22"/>
      <c r="E148" s="22"/>
      <c r="F148" s="22"/>
      <c r="G148" s="22"/>
      <c r="H148" s="22"/>
      <c r="I148" s="22"/>
      <c r="J148" s="22"/>
      <c r="K148" s="22"/>
      <c r="L148" s="22"/>
      <c r="M148" s="22"/>
      <c r="N148" s="22"/>
      <c r="O148" s="22"/>
      <c r="P148" s="22"/>
      <c r="Q148" s="22"/>
      <c r="R148" s="22"/>
      <c r="S148" s="22"/>
      <c r="T148" s="22"/>
      <c r="U148" s="22"/>
      <c r="V148" s="22"/>
      <c r="W148" s="22"/>
      <c r="X148" s="22"/>
      <c r="Y148" s="22"/>
      <c r="Z148" s="22"/>
      <c r="AA148" s="22"/>
      <c r="AB148" s="22"/>
      <c r="AC148" s="22"/>
      <c r="AD148" s="22"/>
      <c r="AE148" s="22"/>
      <c r="AF148" s="22"/>
      <c r="AG148" s="22"/>
      <c r="AH148" s="22"/>
      <c r="AI148" s="22"/>
      <c r="AJ148" s="22"/>
      <c r="AK148" s="22"/>
      <c r="AL148" s="22"/>
      <c r="AM148" s="22"/>
      <c r="AN148" s="22"/>
      <c r="AO148" s="22"/>
      <c r="AP148" s="22"/>
      <c r="AQ148" s="22"/>
      <c r="AR148" s="22"/>
      <c r="AS148" s="22"/>
      <c r="AT148" s="22"/>
      <c r="AU148" s="22"/>
      <c r="AV148" s="22"/>
      <c r="AW148" s="22"/>
    </row>
    <row r="149" spans="2:49" x14ac:dyDescent="0.15">
      <c r="B149" s="22"/>
      <c r="C149" s="22"/>
      <c r="D149" s="22"/>
      <c r="E149" s="22"/>
      <c r="F149" s="22"/>
      <c r="G149" s="22"/>
      <c r="H149" s="22"/>
      <c r="I149" s="22"/>
      <c r="J149" s="22"/>
      <c r="K149" s="22"/>
      <c r="L149" s="22"/>
      <c r="M149" s="22"/>
      <c r="N149" s="22"/>
      <c r="O149" s="22"/>
      <c r="P149" s="22"/>
      <c r="Q149" s="22"/>
      <c r="R149" s="22"/>
      <c r="S149" s="22"/>
      <c r="T149" s="22"/>
      <c r="U149" s="22"/>
      <c r="V149" s="22"/>
      <c r="W149" s="22"/>
      <c r="X149" s="22"/>
      <c r="Y149" s="22"/>
      <c r="Z149" s="22"/>
      <c r="AA149" s="22"/>
      <c r="AB149" s="22"/>
      <c r="AC149" s="22"/>
      <c r="AD149" s="22"/>
      <c r="AE149" s="22"/>
      <c r="AF149" s="22"/>
      <c r="AG149" s="22"/>
      <c r="AH149" s="22"/>
      <c r="AI149" s="22"/>
      <c r="AJ149" s="22"/>
      <c r="AK149" s="22"/>
      <c r="AL149" s="22"/>
      <c r="AM149" s="22"/>
      <c r="AN149" s="22"/>
      <c r="AO149" s="22"/>
      <c r="AP149" s="22"/>
      <c r="AQ149" s="22"/>
      <c r="AR149" s="22"/>
      <c r="AS149" s="22"/>
      <c r="AT149" s="22"/>
      <c r="AU149" s="22"/>
      <c r="AV149" s="22"/>
      <c r="AW149" s="22"/>
    </row>
    <row r="150" spans="2:49" x14ac:dyDescent="0.15">
      <c r="B150" s="22"/>
      <c r="C150" s="22"/>
      <c r="D150" s="22"/>
      <c r="E150" s="22"/>
      <c r="F150" s="22"/>
      <c r="G150" s="22"/>
      <c r="H150" s="22"/>
      <c r="I150" s="22"/>
      <c r="J150" s="22"/>
      <c r="K150" s="22"/>
      <c r="L150" s="22"/>
      <c r="M150" s="22"/>
      <c r="N150" s="22"/>
      <c r="O150" s="22"/>
      <c r="P150" s="22"/>
      <c r="Q150" s="22"/>
      <c r="R150" s="22"/>
      <c r="S150" s="22"/>
      <c r="T150" s="22"/>
      <c r="U150" s="22"/>
      <c r="V150" s="22"/>
      <c r="W150" s="22"/>
      <c r="X150" s="22"/>
      <c r="Y150" s="22"/>
      <c r="Z150" s="22"/>
      <c r="AA150" s="22"/>
      <c r="AB150" s="22"/>
      <c r="AC150" s="22"/>
      <c r="AD150" s="22"/>
      <c r="AE150" s="22"/>
      <c r="AF150" s="22"/>
      <c r="AG150" s="22"/>
      <c r="AH150" s="22"/>
      <c r="AI150" s="22"/>
      <c r="AJ150" s="22"/>
      <c r="AK150" s="22"/>
      <c r="AL150" s="22"/>
      <c r="AM150" s="22"/>
      <c r="AN150" s="22"/>
      <c r="AO150" s="22"/>
      <c r="AP150" s="22"/>
      <c r="AQ150" s="22"/>
      <c r="AR150" s="22"/>
      <c r="AS150" s="22"/>
      <c r="AT150" s="22"/>
      <c r="AU150" s="22"/>
      <c r="AV150" s="22"/>
      <c r="AW150" s="22"/>
    </row>
    <row r="151" spans="2:49" x14ac:dyDescent="0.15">
      <c r="B151" s="22"/>
      <c r="C151" s="22"/>
      <c r="D151" s="22"/>
      <c r="E151" s="22"/>
      <c r="F151" s="22"/>
      <c r="G151" s="22"/>
      <c r="H151" s="22"/>
      <c r="I151" s="22"/>
      <c r="J151" s="22"/>
      <c r="K151" s="22"/>
      <c r="L151" s="22"/>
      <c r="M151" s="22"/>
      <c r="N151" s="22"/>
      <c r="O151" s="22"/>
      <c r="P151" s="22"/>
      <c r="Q151" s="22"/>
      <c r="R151" s="22"/>
      <c r="S151" s="22"/>
      <c r="T151" s="22"/>
      <c r="U151" s="22"/>
      <c r="V151" s="22"/>
      <c r="W151" s="22"/>
      <c r="X151" s="22"/>
      <c r="Y151" s="22"/>
      <c r="Z151" s="22"/>
      <c r="AA151" s="22"/>
      <c r="AB151" s="22"/>
      <c r="AC151" s="22"/>
      <c r="AD151" s="22"/>
      <c r="AE151" s="22"/>
      <c r="AF151" s="22"/>
      <c r="AG151" s="22"/>
      <c r="AH151" s="22"/>
      <c r="AI151" s="22"/>
      <c r="AJ151" s="22"/>
      <c r="AK151" s="22"/>
      <c r="AL151" s="22"/>
      <c r="AM151" s="22"/>
      <c r="AN151" s="22"/>
      <c r="AO151" s="22"/>
      <c r="AP151" s="22"/>
      <c r="AQ151" s="22"/>
      <c r="AR151" s="22"/>
      <c r="AS151" s="22"/>
      <c r="AT151" s="22"/>
      <c r="AU151" s="22"/>
      <c r="AV151" s="22"/>
      <c r="AW151" s="22"/>
    </row>
    <row r="152" spans="2:49" x14ac:dyDescent="0.15">
      <c r="B152" s="22"/>
      <c r="C152" s="22"/>
      <c r="D152" s="22"/>
      <c r="E152" s="22"/>
      <c r="F152" s="22"/>
      <c r="G152" s="22"/>
      <c r="H152" s="22"/>
      <c r="I152" s="22"/>
      <c r="J152" s="22"/>
      <c r="K152" s="22"/>
      <c r="L152" s="22"/>
      <c r="M152" s="22"/>
      <c r="N152" s="22"/>
      <c r="O152" s="22"/>
      <c r="P152" s="22"/>
      <c r="Q152" s="22"/>
      <c r="R152" s="22"/>
      <c r="S152" s="22"/>
      <c r="T152" s="22"/>
      <c r="U152" s="22"/>
      <c r="V152" s="22"/>
      <c r="W152" s="22"/>
      <c r="X152" s="22"/>
      <c r="Y152" s="22"/>
      <c r="Z152" s="22"/>
      <c r="AA152" s="22"/>
      <c r="AB152" s="22"/>
      <c r="AC152" s="22"/>
      <c r="AD152" s="22"/>
      <c r="AE152" s="22"/>
      <c r="AF152" s="22"/>
      <c r="AG152" s="22"/>
      <c r="AH152" s="22"/>
      <c r="AI152" s="22"/>
      <c r="AJ152" s="22"/>
      <c r="AK152" s="22"/>
      <c r="AL152" s="22"/>
      <c r="AM152" s="22"/>
      <c r="AN152" s="22"/>
      <c r="AO152" s="22"/>
      <c r="AP152" s="22"/>
      <c r="AQ152" s="22"/>
      <c r="AR152" s="22"/>
      <c r="AS152" s="22"/>
      <c r="AT152" s="22"/>
      <c r="AU152" s="22"/>
      <c r="AV152" s="22"/>
      <c r="AW152" s="22"/>
    </row>
    <row r="153" spans="2:49" x14ac:dyDescent="0.15">
      <c r="B153" s="22"/>
      <c r="C153" s="22"/>
      <c r="D153" s="22"/>
      <c r="E153" s="22"/>
      <c r="F153" s="22"/>
      <c r="G153" s="22"/>
      <c r="H153" s="22"/>
      <c r="I153" s="22"/>
      <c r="J153" s="22"/>
      <c r="K153" s="22"/>
      <c r="L153" s="22"/>
      <c r="M153" s="22"/>
      <c r="N153" s="22"/>
      <c r="O153" s="22"/>
      <c r="P153" s="22"/>
      <c r="Q153" s="22"/>
      <c r="R153" s="22"/>
      <c r="S153" s="22"/>
      <c r="T153" s="22"/>
      <c r="U153" s="22"/>
      <c r="V153" s="22"/>
      <c r="W153" s="22"/>
      <c r="X153" s="22"/>
      <c r="Y153" s="22"/>
      <c r="Z153" s="22"/>
      <c r="AA153" s="22"/>
      <c r="AB153" s="22"/>
      <c r="AC153" s="22"/>
      <c r="AD153" s="22"/>
      <c r="AE153" s="22"/>
      <c r="AF153" s="22"/>
      <c r="AG153" s="22"/>
      <c r="AH153" s="22"/>
      <c r="AI153" s="22"/>
      <c r="AJ153" s="22"/>
      <c r="AK153" s="22"/>
      <c r="AL153" s="22"/>
      <c r="AM153" s="22"/>
      <c r="AN153" s="22"/>
      <c r="AO153" s="22"/>
      <c r="AP153" s="22"/>
      <c r="AQ153" s="22"/>
      <c r="AR153" s="22"/>
      <c r="AS153" s="22"/>
      <c r="AT153" s="22"/>
      <c r="AU153" s="22"/>
      <c r="AV153" s="22"/>
      <c r="AW153" s="22"/>
    </row>
    <row r="154" spans="2:49" x14ac:dyDescent="0.15">
      <c r="B154" s="22"/>
      <c r="C154" s="22"/>
      <c r="D154" s="22"/>
      <c r="E154" s="22"/>
      <c r="F154" s="22"/>
      <c r="G154" s="22"/>
      <c r="H154" s="22"/>
      <c r="I154" s="22"/>
      <c r="J154" s="22"/>
      <c r="K154" s="22"/>
      <c r="L154" s="22"/>
      <c r="M154" s="22"/>
      <c r="N154" s="22"/>
      <c r="O154" s="22"/>
      <c r="P154" s="22"/>
      <c r="Q154" s="22"/>
      <c r="R154" s="22"/>
      <c r="S154" s="22"/>
      <c r="T154" s="22"/>
      <c r="U154" s="22"/>
      <c r="V154" s="22"/>
      <c r="W154" s="22"/>
      <c r="X154" s="22"/>
      <c r="Y154" s="22"/>
      <c r="Z154" s="22"/>
      <c r="AA154" s="22"/>
      <c r="AB154" s="22"/>
      <c r="AC154" s="22"/>
      <c r="AD154" s="22"/>
      <c r="AE154" s="22"/>
      <c r="AF154" s="22"/>
      <c r="AG154" s="22"/>
      <c r="AH154" s="22"/>
      <c r="AI154" s="22"/>
      <c r="AJ154" s="22"/>
      <c r="AK154" s="22"/>
      <c r="AL154" s="22"/>
      <c r="AM154" s="22"/>
      <c r="AN154" s="22"/>
      <c r="AO154" s="22"/>
      <c r="AP154" s="22"/>
      <c r="AQ154" s="22"/>
      <c r="AR154" s="22"/>
      <c r="AS154" s="22"/>
      <c r="AT154" s="22"/>
      <c r="AU154" s="22"/>
      <c r="AV154" s="22"/>
      <c r="AW154" s="22"/>
    </row>
    <row r="155" spans="2:49" x14ac:dyDescent="0.15">
      <c r="B155" s="22"/>
      <c r="C155" s="22"/>
      <c r="D155" s="22"/>
      <c r="E155" s="22"/>
      <c r="F155" s="22"/>
      <c r="G155" s="22"/>
      <c r="H155" s="22"/>
      <c r="I155" s="22"/>
      <c r="J155" s="22"/>
      <c r="K155" s="22"/>
      <c r="L155" s="22"/>
      <c r="M155" s="22"/>
      <c r="N155" s="22"/>
      <c r="O155" s="22"/>
      <c r="P155" s="22"/>
      <c r="Q155" s="22"/>
      <c r="R155" s="22"/>
      <c r="S155" s="22"/>
      <c r="T155" s="22"/>
      <c r="U155" s="22"/>
      <c r="V155" s="22"/>
      <c r="W155" s="22"/>
      <c r="X155" s="22"/>
      <c r="Y155" s="22"/>
      <c r="Z155" s="22"/>
      <c r="AA155" s="22"/>
      <c r="AB155" s="22"/>
      <c r="AC155" s="22"/>
      <c r="AD155" s="22"/>
      <c r="AE155" s="22"/>
      <c r="AF155" s="22"/>
      <c r="AG155" s="22"/>
      <c r="AH155" s="22"/>
      <c r="AI155" s="22"/>
      <c r="AJ155" s="22"/>
      <c r="AK155" s="22"/>
      <c r="AL155" s="22"/>
      <c r="AM155" s="22"/>
      <c r="AN155" s="22"/>
      <c r="AO155" s="22"/>
      <c r="AP155" s="22"/>
      <c r="AQ155" s="22"/>
      <c r="AR155" s="22"/>
      <c r="AS155" s="22"/>
      <c r="AT155" s="22"/>
      <c r="AU155" s="22"/>
      <c r="AV155" s="22"/>
      <c r="AW155" s="22"/>
    </row>
    <row r="156" spans="2:49" x14ac:dyDescent="0.15">
      <c r="B156" s="22"/>
      <c r="C156" s="22"/>
      <c r="D156" s="22"/>
      <c r="E156" s="22"/>
      <c r="F156" s="22"/>
      <c r="G156" s="22"/>
      <c r="H156" s="22"/>
      <c r="I156" s="22"/>
      <c r="J156" s="22"/>
      <c r="K156" s="22"/>
      <c r="L156" s="22"/>
      <c r="M156" s="22"/>
      <c r="N156" s="22"/>
      <c r="O156" s="22"/>
      <c r="P156" s="22"/>
      <c r="Q156" s="22"/>
      <c r="R156" s="22"/>
      <c r="S156" s="22"/>
      <c r="T156" s="22"/>
      <c r="U156" s="22"/>
      <c r="V156" s="22"/>
      <c r="W156" s="22"/>
      <c r="X156" s="22"/>
      <c r="Y156" s="22"/>
      <c r="Z156" s="22"/>
      <c r="AA156" s="22"/>
      <c r="AB156" s="22"/>
      <c r="AC156" s="22"/>
      <c r="AD156" s="22"/>
      <c r="AE156" s="22"/>
      <c r="AF156" s="22"/>
      <c r="AG156" s="22"/>
      <c r="AH156" s="22"/>
      <c r="AI156" s="22"/>
      <c r="AJ156" s="22"/>
      <c r="AK156" s="22"/>
      <c r="AL156" s="22"/>
      <c r="AM156" s="22"/>
      <c r="AN156" s="22"/>
      <c r="AO156" s="22"/>
      <c r="AP156" s="22"/>
      <c r="AQ156" s="22"/>
      <c r="AR156" s="22"/>
      <c r="AS156" s="22"/>
      <c r="AT156" s="22"/>
      <c r="AU156" s="22"/>
      <c r="AV156" s="22"/>
      <c r="AW156" s="22"/>
    </row>
    <row r="157" spans="2:49" x14ac:dyDescent="0.15">
      <c r="B157" s="22"/>
      <c r="C157" s="22"/>
      <c r="D157" s="22"/>
      <c r="E157" s="22"/>
      <c r="F157" s="22"/>
      <c r="G157" s="22"/>
      <c r="H157" s="22"/>
      <c r="I157" s="22"/>
      <c r="J157" s="22"/>
      <c r="K157" s="22"/>
      <c r="L157" s="22"/>
      <c r="M157" s="22"/>
      <c r="N157" s="22"/>
      <c r="O157" s="22"/>
      <c r="P157" s="22"/>
      <c r="Q157" s="22"/>
      <c r="R157" s="22"/>
      <c r="S157" s="22"/>
      <c r="T157" s="22"/>
      <c r="U157" s="22"/>
      <c r="V157" s="22"/>
      <c r="W157" s="22"/>
      <c r="X157" s="22"/>
      <c r="Y157" s="22"/>
      <c r="Z157" s="22"/>
      <c r="AA157" s="22"/>
      <c r="AB157" s="22"/>
      <c r="AC157" s="22"/>
      <c r="AD157" s="22"/>
      <c r="AE157" s="22"/>
      <c r="AF157" s="22"/>
      <c r="AG157" s="22"/>
      <c r="AH157" s="22"/>
      <c r="AI157" s="22"/>
      <c r="AJ157" s="22"/>
      <c r="AK157" s="22"/>
      <c r="AL157" s="22"/>
      <c r="AM157" s="22"/>
      <c r="AN157" s="22"/>
      <c r="AO157" s="22"/>
      <c r="AP157" s="22"/>
      <c r="AQ157" s="22"/>
      <c r="AR157" s="22"/>
      <c r="AS157" s="22"/>
      <c r="AT157" s="22"/>
      <c r="AU157" s="22"/>
      <c r="AV157" s="22"/>
      <c r="AW157" s="22"/>
    </row>
    <row r="158" spans="2:49" x14ac:dyDescent="0.15">
      <c r="B158" s="22"/>
      <c r="C158" s="22"/>
      <c r="D158" s="22"/>
      <c r="E158" s="22"/>
      <c r="F158" s="22"/>
      <c r="G158" s="22"/>
      <c r="H158" s="22"/>
      <c r="I158" s="22"/>
      <c r="J158" s="22"/>
      <c r="K158" s="22"/>
      <c r="L158" s="22"/>
      <c r="M158" s="22"/>
      <c r="N158" s="22"/>
      <c r="O158" s="22"/>
      <c r="P158" s="22"/>
      <c r="Q158" s="22"/>
      <c r="R158" s="22"/>
      <c r="S158" s="22"/>
      <c r="T158" s="22"/>
      <c r="U158" s="22"/>
      <c r="V158" s="22"/>
      <c r="W158" s="22"/>
      <c r="X158" s="22"/>
      <c r="Y158" s="22"/>
      <c r="Z158" s="22"/>
      <c r="AA158" s="22"/>
      <c r="AB158" s="22"/>
      <c r="AC158" s="22"/>
      <c r="AD158" s="22"/>
      <c r="AE158" s="22"/>
      <c r="AF158" s="22"/>
      <c r="AG158" s="22"/>
      <c r="AH158" s="22"/>
      <c r="AI158" s="22"/>
      <c r="AJ158" s="22"/>
      <c r="AK158" s="22"/>
      <c r="AL158" s="22"/>
      <c r="AM158" s="22"/>
      <c r="AN158" s="22"/>
      <c r="AO158" s="22"/>
      <c r="AP158" s="22"/>
      <c r="AQ158" s="22"/>
      <c r="AR158" s="22"/>
      <c r="AS158" s="22"/>
      <c r="AT158" s="22"/>
      <c r="AU158" s="22"/>
      <c r="AV158" s="22"/>
      <c r="AW158" s="22"/>
    </row>
    <row r="159" spans="2:49" x14ac:dyDescent="0.15">
      <c r="B159" s="22"/>
      <c r="C159" s="22"/>
      <c r="D159" s="22"/>
      <c r="E159" s="22"/>
      <c r="F159" s="22"/>
      <c r="G159" s="22"/>
      <c r="H159" s="22"/>
      <c r="I159" s="22"/>
      <c r="J159" s="22"/>
      <c r="K159" s="22"/>
      <c r="L159" s="22"/>
      <c r="M159" s="22"/>
      <c r="N159" s="22"/>
      <c r="O159" s="22"/>
      <c r="P159" s="22"/>
      <c r="Q159" s="22"/>
      <c r="R159" s="22"/>
      <c r="S159" s="22"/>
      <c r="T159" s="22"/>
      <c r="U159" s="22"/>
      <c r="V159" s="22"/>
      <c r="W159" s="22"/>
      <c r="X159" s="22"/>
      <c r="Y159" s="22"/>
      <c r="Z159" s="22"/>
      <c r="AA159" s="22"/>
      <c r="AB159" s="22"/>
      <c r="AC159" s="22"/>
      <c r="AD159" s="22"/>
      <c r="AE159" s="22"/>
      <c r="AF159" s="22"/>
      <c r="AG159" s="22"/>
      <c r="AH159" s="22"/>
      <c r="AI159" s="22"/>
      <c r="AJ159" s="22"/>
      <c r="AK159" s="22"/>
      <c r="AL159" s="22"/>
      <c r="AM159" s="22"/>
      <c r="AN159" s="22"/>
      <c r="AO159" s="22"/>
      <c r="AP159" s="22"/>
      <c r="AQ159" s="22"/>
      <c r="AR159" s="22"/>
      <c r="AS159" s="22"/>
      <c r="AT159" s="22"/>
      <c r="AU159" s="22"/>
      <c r="AV159" s="22"/>
      <c r="AW159" s="22"/>
    </row>
    <row r="160" spans="2:49" x14ac:dyDescent="0.15">
      <c r="B160" s="22"/>
      <c r="C160" s="22"/>
      <c r="D160" s="22"/>
      <c r="E160" s="22"/>
      <c r="F160" s="22"/>
      <c r="G160" s="22"/>
      <c r="H160" s="22"/>
      <c r="I160" s="22"/>
      <c r="J160" s="22"/>
      <c r="K160" s="22"/>
      <c r="L160" s="22"/>
      <c r="M160" s="22"/>
      <c r="N160" s="22"/>
      <c r="O160" s="22"/>
      <c r="P160" s="22"/>
      <c r="Q160" s="22"/>
      <c r="R160" s="22"/>
      <c r="S160" s="22"/>
      <c r="T160" s="22"/>
      <c r="U160" s="22"/>
      <c r="V160" s="22"/>
      <c r="W160" s="22"/>
      <c r="X160" s="22"/>
      <c r="Y160" s="22"/>
      <c r="Z160" s="22"/>
      <c r="AA160" s="22"/>
      <c r="AB160" s="22"/>
      <c r="AC160" s="22"/>
      <c r="AD160" s="22"/>
      <c r="AE160" s="22"/>
      <c r="AF160" s="22"/>
      <c r="AG160" s="22"/>
      <c r="AH160" s="22"/>
      <c r="AI160" s="22"/>
      <c r="AJ160" s="22"/>
      <c r="AK160" s="22"/>
      <c r="AL160" s="22"/>
      <c r="AM160" s="22"/>
      <c r="AN160" s="22"/>
      <c r="AO160" s="22"/>
      <c r="AP160" s="22"/>
      <c r="AQ160" s="22"/>
      <c r="AR160" s="22"/>
      <c r="AS160" s="22"/>
      <c r="AT160" s="22"/>
      <c r="AU160" s="22"/>
      <c r="AV160" s="22"/>
      <c r="AW160" s="22"/>
    </row>
    <row r="161" spans="2:49" x14ac:dyDescent="0.15">
      <c r="B161" s="22"/>
      <c r="C161" s="22"/>
      <c r="D161" s="22"/>
      <c r="E161" s="22"/>
      <c r="F161" s="22"/>
      <c r="G161" s="22"/>
      <c r="H161" s="22"/>
      <c r="I161" s="22"/>
      <c r="J161" s="22"/>
      <c r="K161" s="22"/>
      <c r="L161" s="22"/>
      <c r="M161" s="22"/>
      <c r="N161" s="22"/>
      <c r="O161" s="22"/>
      <c r="P161" s="22"/>
      <c r="Q161" s="22"/>
      <c r="R161" s="22"/>
      <c r="S161" s="22"/>
      <c r="T161" s="22"/>
      <c r="U161" s="22"/>
      <c r="V161" s="22"/>
      <c r="W161" s="22"/>
      <c r="X161" s="22"/>
      <c r="Y161" s="22"/>
      <c r="Z161" s="22"/>
      <c r="AA161" s="22"/>
      <c r="AB161" s="22"/>
      <c r="AC161" s="22"/>
      <c r="AD161" s="22"/>
      <c r="AE161" s="22"/>
      <c r="AF161" s="22"/>
      <c r="AG161" s="22"/>
      <c r="AH161" s="22"/>
      <c r="AI161" s="22"/>
      <c r="AJ161" s="22"/>
      <c r="AK161" s="22"/>
      <c r="AL161" s="22"/>
      <c r="AM161" s="22"/>
      <c r="AN161" s="22"/>
      <c r="AO161" s="22"/>
      <c r="AP161" s="22"/>
      <c r="AQ161" s="22"/>
      <c r="AR161" s="22"/>
      <c r="AS161" s="22"/>
      <c r="AT161" s="22"/>
      <c r="AU161" s="22"/>
      <c r="AV161" s="22"/>
      <c r="AW161" s="22"/>
    </row>
    <row r="162" spans="2:49" x14ac:dyDescent="0.15">
      <c r="B162" s="22"/>
      <c r="C162" s="22"/>
      <c r="D162" s="22"/>
      <c r="E162" s="22"/>
      <c r="F162" s="22"/>
      <c r="G162" s="22"/>
      <c r="H162" s="22"/>
      <c r="I162" s="22"/>
      <c r="J162" s="22"/>
      <c r="K162" s="22"/>
      <c r="L162" s="22"/>
      <c r="M162" s="22"/>
      <c r="N162" s="22"/>
      <c r="O162" s="22"/>
      <c r="P162" s="22"/>
      <c r="Q162" s="22"/>
      <c r="R162" s="22"/>
      <c r="S162" s="22"/>
      <c r="T162" s="22"/>
      <c r="U162" s="22"/>
      <c r="V162" s="22"/>
      <c r="W162" s="22"/>
      <c r="X162" s="22"/>
      <c r="Y162" s="22"/>
      <c r="Z162" s="22"/>
      <c r="AA162" s="22"/>
      <c r="AB162" s="22"/>
      <c r="AC162" s="22"/>
      <c r="AD162" s="22"/>
      <c r="AE162" s="22"/>
      <c r="AF162" s="22"/>
      <c r="AG162" s="22"/>
      <c r="AH162" s="22"/>
      <c r="AI162" s="22"/>
      <c r="AJ162" s="22"/>
      <c r="AK162" s="22"/>
      <c r="AL162" s="22"/>
      <c r="AM162" s="22"/>
      <c r="AN162" s="22"/>
      <c r="AO162" s="22"/>
      <c r="AP162" s="22"/>
      <c r="AQ162" s="22"/>
      <c r="AR162" s="22"/>
      <c r="AS162" s="22"/>
      <c r="AT162" s="22"/>
      <c r="AU162" s="22"/>
      <c r="AV162" s="22"/>
      <c r="AW162" s="22"/>
    </row>
    <row r="163" spans="2:49" x14ac:dyDescent="0.15">
      <c r="B163" s="22"/>
      <c r="C163" s="22"/>
      <c r="D163" s="22"/>
      <c r="E163" s="22"/>
      <c r="F163" s="22"/>
      <c r="G163" s="22"/>
      <c r="H163" s="22"/>
      <c r="I163" s="22"/>
      <c r="J163" s="22"/>
      <c r="K163" s="22"/>
      <c r="L163" s="22"/>
      <c r="M163" s="22"/>
      <c r="N163" s="22"/>
      <c r="O163" s="22"/>
      <c r="P163" s="22"/>
      <c r="Q163" s="22"/>
      <c r="R163" s="22"/>
      <c r="S163" s="22"/>
      <c r="T163" s="22"/>
      <c r="U163" s="22"/>
      <c r="V163" s="22"/>
      <c r="W163" s="22"/>
      <c r="X163" s="22"/>
      <c r="Y163" s="22"/>
      <c r="Z163" s="22"/>
      <c r="AA163" s="22"/>
      <c r="AB163" s="22"/>
      <c r="AC163" s="22"/>
      <c r="AD163" s="22"/>
      <c r="AE163" s="22"/>
      <c r="AF163" s="22"/>
      <c r="AG163" s="22"/>
      <c r="AH163" s="22"/>
      <c r="AI163" s="22"/>
      <c r="AJ163" s="22"/>
      <c r="AK163" s="22"/>
      <c r="AL163" s="22"/>
      <c r="AM163" s="22"/>
      <c r="AN163" s="22"/>
      <c r="AO163" s="22"/>
      <c r="AP163" s="22"/>
      <c r="AQ163" s="22"/>
      <c r="AR163" s="22"/>
      <c r="AS163" s="22"/>
      <c r="AT163" s="22"/>
      <c r="AU163" s="22"/>
      <c r="AV163" s="22"/>
      <c r="AW163" s="22"/>
    </row>
    <row r="164" spans="2:49" x14ac:dyDescent="0.15">
      <c r="B164" s="22"/>
      <c r="C164" s="22"/>
      <c r="D164" s="22"/>
      <c r="E164" s="22"/>
      <c r="F164" s="22"/>
      <c r="G164" s="22"/>
      <c r="H164" s="22"/>
      <c r="I164" s="22"/>
      <c r="J164" s="22"/>
      <c r="K164" s="22"/>
      <c r="L164" s="22"/>
      <c r="M164" s="22"/>
      <c r="N164" s="22"/>
      <c r="O164" s="22"/>
      <c r="P164" s="22"/>
      <c r="Q164" s="22"/>
      <c r="R164" s="22"/>
      <c r="S164" s="22"/>
      <c r="T164" s="22"/>
      <c r="U164" s="22"/>
      <c r="V164" s="22"/>
      <c r="W164" s="22"/>
      <c r="X164" s="22"/>
      <c r="Y164" s="22"/>
      <c r="Z164" s="22"/>
      <c r="AA164" s="22"/>
      <c r="AB164" s="22"/>
      <c r="AC164" s="22"/>
      <c r="AD164" s="22"/>
      <c r="AE164" s="22"/>
      <c r="AF164" s="22"/>
      <c r="AG164" s="22"/>
      <c r="AH164" s="22"/>
      <c r="AI164" s="22"/>
      <c r="AJ164" s="22"/>
      <c r="AK164" s="22"/>
      <c r="AL164" s="22"/>
      <c r="AM164" s="22"/>
      <c r="AN164" s="22"/>
      <c r="AO164" s="22"/>
      <c r="AP164" s="22"/>
      <c r="AQ164" s="22"/>
      <c r="AR164" s="22"/>
      <c r="AS164" s="22"/>
      <c r="AT164" s="22"/>
      <c r="AU164" s="22"/>
      <c r="AV164" s="22"/>
      <c r="AW164" s="22"/>
    </row>
    <row r="165" spans="2:49" x14ac:dyDescent="0.15">
      <c r="B165" s="22"/>
      <c r="C165" s="22"/>
      <c r="D165" s="22"/>
      <c r="E165" s="22"/>
      <c r="F165" s="22"/>
      <c r="G165" s="22"/>
      <c r="H165" s="22"/>
      <c r="I165" s="22"/>
      <c r="J165" s="22"/>
      <c r="K165" s="22"/>
      <c r="L165" s="22"/>
      <c r="M165" s="22"/>
      <c r="N165" s="22"/>
      <c r="O165" s="22"/>
      <c r="P165" s="22"/>
      <c r="Q165" s="22"/>
      <c r="R165" s="22"/>
      <c r="S165" s="22"/>
      <c r="T165" s="22"/>
      <c r="U165" s="22"/>
      <c r="V165" s="22"/>
      <c r="W165" s="22"/>
      <c r="X165" s="22"/>
      <c r="Y165" s="22"/>
      <c r="Z165" s="22"/>
      <c r="AA165" s="22"/>
      <c r="AB165" s="22"/>
      <c r="AC165" s="22"/>
      <c r="AD165" s="22"/>
      <c r="AE165" s="22"/>
      <c r="AF165" s="22"/>
      <c r="AG165" s="22"/>
      <c r="AH165" s="22"/>
      <c r="AI165" s="22"/>
      <c r="AJ165" s="22"/>
      <c r="AK165" s="22"/>
      <c r="AL165" s="22"/>
      <c r="AM165" s="22"/>
      <c r="AN165" s="22"/>
      <c r="AO165" s="22"/>
      <c r="AP165" s="22"/>
      <c r="AQ165" s="22"/>
      <c r="AR165" s="22"/>
      <c r="AS165" s="22"/>
      <c r="AT165" s="22"/>
      <c r="AU165" s="22"/>
      <c r="AV165" s="22"/>
      <c r="AW165" s="22"/>
    </row>
    <row r="166" spans="2:49" x14ac:dyDescent="0.15">
      <c r="B166" s="22"/>
      <c r="C166" s="22"/>
      <c r="D166" s="22"/>
      <c r="E166" s="22"/>
      <c r="F166" s="22"/>
      <c r="G166" s="22"/>
      <c r="H166" s="22"/>
      <c r="I166" s="22"/>
      <c r="J166" s="22"/>
      <c r="K166" s="22"/>
      <c r="L166" s="22"/>
      <c r="M166" s="22"/>
      <c r="N166" s="22"/>
      <c r="O166" s="22"/>
      <c r="P166" s="22"/>
      <c r="Q166" s="22"/>
      <c r="R166" s="22"/>
      <c r="S166" s="22"/>
      <c r="T166" s="22"/>
      <c r="U166" s="22"/>
      <c r="V166" s="22"/>
      <c r="W166" s="22"/>
      <c r="X166" s="22"/>
      <c r="Y166" s="22"/>
      <c r="Z166" s="22"/>
      <c r="AA166" s="22"/>
      <c r="AB166" s="22"/>
      <c r="AC166" s="22"/>
      <c r="AD166" s="22"/>
      <c r="AE166" s="22"/>
      <c r="AF166" s="22"/>
      <c r="AG166" s="22"/>
      <c r="AH166" s="22"/>
      <c r="AI166" s="22"/>
      <c r="AJ166" s="22"/>
      <c r="AK166" s="22"/>
      <c r="AL166" s="22"/>
      <c r="AM166" s="22"/>
      <c r="AN166" s="22"/>
      <c r="AO166" s="22"/>
      <c r="AP166" s="22"/>
      <c r="AQ166" s="22"/>
      <c r="AR166" s="22"/>
      <c r="AS166" s="22"/>
      <c r="AT166" s="22"/>
      <c r="AU166" s="22"/>
      <c r="AV166" s="22"/>
      <c r="AW166" s="22"/>
    </row>
    <row r="167" spans="2:49" x14ac:dyDescent="0.15">
      <c r="B167" s="22"/>
      <c r="C167" s="22"/>
      <c r="D167" s="22"/>
      <c r="E167" s="22"/>
      <c r="F167" s="22"/>
      <c r="G167" s="22"/>
      <c r="H167" s="22"/>
      <c r="I167" s="22"/>
      <c r="J167" s="22"/>
      <c r="K167" s="22"/>
      <c r="L167" s="22"/>
      <c r="M167" s="22"/>
      <c r="N167" s="22"/>
      <c r="O167" s="22"/>
      <c r="P167" s="22"/>
      <c r="Q167" s="22"/>
      <c r="R167" s="22"/>
      <c r="S167" s="22"/>
      <c r="T167" s="22"/>
      <c r="U167" s="22"/>
      <c r="V167" s="22"/>
      <c r="W167" s="22"/>
      <c r="X167" s="22"/>
      <c r="Y167" s="22"/>
      <c r="Z167" s="22"/>
      <c r="AA167" s="22"/>
      <c r="AB167" s="22"/>
      <c r="AC167" s="22"/>
      <c r="AD167" s="22"/>
      <c r="AE167" s="22"/>
      <c r="AF167" s="22"/>
      <c r="AG167" s="22"/>
      <c r="AH167" s="22"/>
      <c r="AI167" s="22"/>
      <c r="AJ167" s="22"/>
      <c r="AK167" s="22"/>
      <c r="AL167" s="22"/>
      <c r="AM167" s="22"/>
      <c r="AN167" s="22"/>
      <c r="AO167" s="22"/>
      <c r="AP167" s="22"/>
      <c r="AQ167" s="22"/>
      <c r="AR167" s="22"/>
      <c r="AS167" s="22"/>
      <c r="AT167" s="22"/>
      <c r="AU167" s="22"/>
      <c r="AV167" s="22"/>
      <c r="AW167" s="22"/>
    </row>
    <row r="168" spans="2:49" x14ac:dyDescent="0.15">
      <c r="B168" s="22"/>
      <c r="C168" s="22"/>
      <c r="D168" s="22"/>
      <c r="E168" s="22"/>
      <c r="F168" s="22"/>
      <c r="G168" s="22"/>
      <c r="H168" s="22"/>
      <c r="I168" s="22"/>
      <c r="J168" s="22"/>
      <c r="K168" s="22"/>
      <c r="L168" s="22"/>
      <c r="M168" s="22"/>
      <c r="N168" s="22"/>
      <c r="O168" s="22"/>
      <c r="P168" s="22"/>
      <c r="Q168" s="22"/>
      <c r="R168" s="22"/>
      <c r="S168" s="22"/>
      <c r="T168" s="22"/>
      <c r="U168" s="22"/>
      <c r="V168" s="22"/>
      <c r="W168" s="22"/>
      <c r="X168" s="22"/>
      <c r="Y168" s="22"/>
      <c r="Z168" s="22"/>
      <c r="AA168" s="22"/>
      <c r="AB168" s="22"/>
      <c r="AC168" s="22"/>
      <c r="AD168" s="22"/>
      <c r="AE168" s="22"/>
      <c r="AF168" s="22"/>
      <c r="AG168" s="22"/>
      <c r="AH168" s="22"/>
      <c r="AI168" s="22"/>
      <c r="AJ168" s="22"/>
      <c r="AK168" s="22"/>
      <c r="AL168" s="22"/>
      <c r="AM168" s="22"/>
      <c r="AN168" s="22"/>
      <c r="AO168" s="22"/>
      <c r="AP168" s="22"/>
      <c r="AQ168" s="22"/>
      <c r="AR168" s="22"/>
      <c r="AS168" s="22"/>
      <c r="AT168" s="22"/>
      <c r="AU168" s="22"/>
      <c r="AV168" s="22"/>
      <c r="AW168" s="22"/>
    </row>
    <row r="169" spans="2:49" x14ac:dyDescent="0.15">
      <c r="B169" s="22"/>
      <c r="C169" s="22"/>
      <c r="D169" s="22"/>
      <c r="E169" s="22"/>
      <c r="F169" s="22"/>
      <c r="G169" s="22"/>
      <c r="H169" s="22"/>
      <c r="I169" s="22"/>
      <c r="J169" s="22"/>
      <c r="K169" s="22"/>
      <c r="L169" s="22"/>
      <c r="M169" s="22"/>
      <c r="N169" s="22"/>
      <c r="O169" s="22"/>
      <c r="P169" s="22"/>
      <c r="Q169" s="22"/>
      <c r="R169" s="22"/>
      <c r="S169" s="22"/>
      <c r="T169" s="22"/>
      <c r="U169" s="22"/>
      <c r="V169" s="22"/>
      <c r="W169" s="22"/>
      <c r="X169" s="22"/>
      <c r="Y169" s="22"/>
      <c r="Z169" s="22"/>
      <c r="AA169" s="22"/>
      <c r="AB169" s="22"/>
      <c r="AC169" s="22"/>
      <c r="AD169" s="22"/>
      <c r="AE169" s="22"/>
      <c r="AF169" s="22"/>
      <c r="AG169" s="22"/>
      <c r="AH169" s="22"/>
      <c r="AI169" s="22"/>
      <c r="AJ169" s="22"/>
      <c r="AK169" s="22"/>
      <c r="AL169" s="22"/>
      <c r="AM169" s="22"/>
      <c r="AN169" s="22"/>
      <c r="AO169" s="22"/>
      <c r="AP169" s="22"/>
      <c r="AQ169" s="22"/>
      <c r="AR169" s="22"/>
      <c r="AS169" s="22"/>
      <c r="AT169" s="22"/>
      <c r="AU169" s="22"/>
      <c r="AV169" s="22"/>
      <c r="AW169" s="22"/>
    </row>
    <row r="170" spans="2:49" x14ac:dyDescent="0.15">
      <c r="B170" s="22"/>
      <c r="C170" s="22"/>
      <c r="D170" s="22"/>
      <c r="E170" s="22"/>
      <c r="F170" s="22"/>
      <c r="G170" s="22"/>
      <c r="H170" s="22"/>
      <c r="I170" s="22"/>
      <c r="J170" s="22"/>
      <c r="K170" s="22"/>
      <c r="L170" s="22"/>
      <c r="M170" s="22"/>
      <c r="N170" s="22"/>
      <c r="O170" s="22"/>
      <c r="P170" s="22"/>
      <c r="Q170" s="22"/>
      <c r="R170" s="22"/>
      <c r="S170" s="22"/>
      <c r="T170" s="22"/>
      <c r="U170" s="22"/>
      <c r="V170" s="22"/>
      <c r="W170" s="22"/>
      <c r="X170" s="22"/>
      <c r="Y170" s="22"/>
      <c r="Z170" s="22"/>
      <c r="AA170" s="22"/>
      <c r="AB170" s="22"/>
      <c r="AC170" s="22"/>
      <c r="AD170" s="22"/>
      <c r="AE170" s="22"/>
      <c r="AF170" s="22"/>
      <c r="AG170" s="22"/>
      <c r="AH170" s="22"/>
      <c r="AI170" s="22"/>
      <c r="AJ170" s="22"/>
      <c r="AK170" s="22"/>
      <c r="AL170" s="22"/>
      <c r="AM170" s="22"/>
      <c r="AN170" s="22"/>
      <c r="AO170" s="22"/>
      <c r="AP170" s="22"/>
      <c r="AQ170" s="22"/>
      <c r="AR170" s="22"/>
      <c r="AS170" s="22"/>
      <c r="AT170" s="22"/>
      <c r="AU170" s="22"/>
      <c r="AV170" s="22"/>
      <c r="AW170" s="22"/>
    </row>
    <row r="171" spans="2:49" x14ac:dyDescent="0.15">
      <c r="B171" s="22"/>
      <c r="C171" s="22"/>
      <c r="D171" s="22"/>
      <c r="E171" s="22"/>
      <c r="F171" s="22"/>
      <c r="G171" s="22"/>
      <c r="H171" s="22"/>
      <c r="I171" s="22"/>
      <c r="J171" s="22"/>
      <c r="K171" s="22"/>
      <c r="L171" s="22"/>
      <c r="M171" s="22"/>
      <c r="N171" s="22"/>
      <c r="O171" s="22"/>
      <c r="P171" s="22"/>
      <c r="Q171" s="22"/>
      <c r="R171" s="22"/>
      <c r="S171" s="22"/>
      <c r="T171" s="22"/>
      <c r="U171" s="22"/>
      <c r="V171" s="22"/>
      <c r="W171" s="22"/>
      <c r="X171" s="22"/>
      <c r="Y171" s="22"/>
      <c r="Z171" s="22"/>
      <c r="AA171" s="22"/>
      <c r="AB171" s="22"/>
      <c r="AC171" s="22"/>
      <c r="AD171" s="22"/>
      <c r="AE171" s="22"/>
      <c r="AF171" s="22"/>
      <c r="AG171" s="22"/>
      <c r="AH171" s="22"/>
      <c r="AI171" s="22"/>
      <c r="AJ171" s="22"/>
      <c r="AK171" s="22"/>
      <c r="AL171" s="22"/>
      <c r="AM171" s="22"/>
      <c r="AN171" s="22"/>
      <c r="AO171" s="22"/>
      <c r="AP171" s="22"/>
      <c r="AQ171" s="22"/>
      <c r="AR171" s="22"/>
      <c r="AS171" s="22"/>
      <c r="AT171" s="22"/>
      <c r="AU171" s="22"/>
      <c r="AV171" s="22"/>
      <c r="AW171" s="22"/>
    </row>
    <row r="172" spans="2:49" x14ac:dyDescent="0.15">
      <c r="B172" s="22"/>
      <c r="C172" s="22"/>
      <c r="D172" s="22"/>
      <c r="E172" s="22"/>
      <c r="F172" s="22"/>
      <c r="G172" s="22"/>
      <c r="H172" s="22"/>
      <c r="I172" s="22"/>
      <c r="J172" s="22"/>
      <c r="K172" s="22"/>
      <c r="L172" s="22"/>
      <c r="M172" s="22"/>
      <c r="N172" s="22"/>
      <c r="O172" s="22"/>
      <c r="P172" s="22"/>
      <c r="Q172" s="22"/>
      <c r="R172" s="22"/>
      <c r="S172" s="22"/>
      <c r="T172" s="22"/>
      <c r="U172" s="22"/>
      <c r="V172" s="22"/>
      <c r="W172" s="22"/>
      <c r="X172" s="22"/>
      <c r="Y172" s="22"/>
      <c r="Z172" s="22"/>
      <c r="AA172" s="22"/>
      <c r="AB172" s="22"/>
      <c r="AC172" s="22"/>
      <c r="AD172" s="22"/>
      <c r="AE172" s="22"/>
      <c r="AF172" s="22"/>
      <c r="AG172" s="22"/>
      <c r="AH172" s="22"/>
      <c r="AI172" s="22"/>
      <c r="AJ172" s="22"/>
      <c r="AK172" s="22"/>
      <c r="AL172" s="22"/>
      <c r="AM172" s="22"/>
      <c r="AN172" s="22"/>
      <c r="AO172" s="22"/>
      <c r="AP172" s="22"/>
      <c r="AQ172" s="22"/>
      <c r="AR172" s="22"/>
      <c r="AS172" s="22"/>
      <c r="AT172" s="22"/>
      <c r="AU172" s="22"/>
      <c r="AV172" s="22"/>
      <c r="AW172" s="22"/>
    </row>
    <row r="173" spans="2:49" x14ac:dyDescent="0.15">
      <c r="B173" s="22"/>
      <c r="C173" s="22"/>
      <c r="D173" s="22"/>
      <c r="E173" s="22"/>
      <c r="F173" s="22"/>
      <c r="G173" s="22"/>
      <c r="H173" s="22"/>
      <c r="I173" s="22"/>
      <c r="J173" s="22"/>
      <c r="K173" s="22"/>
      <c r="L173" s="22"/>
      <c r="M173" s="22"/>
      <c r="N173" s="22"/>
      <c r="O173" s="22"/>
      <c r="P173" s="22"/>
      <c r="Q173" s="22"/>
      <c r="R173" s="22"/>
      <c r="S173" s="22"/>
      <c r="T173" s="22"/>
      <c r="U173" s="22"/>
      <c r="V173" s="22"/>
      <c r="W173" s="22"/>
      <c r="X173" s="22"/>
      <c r="Y173" s="22"/>
      <c r="Z173" s="22"/>
      <c r="AA173" s="22"/>
      <c r="AB173" s="22"/>
      <c r="AC173" s="22"/>
      <c r="AD173" s="22"/>
      <c r="AE173" s="22"/>
      <c r="AF173" s="22"/>
      <c r="AG173" s="22"/>
      <c r="AH173" s="22"/>
      <c r="AI173" s="22"/>
      <c r="AJ173" s="22"/>
      <c r="AK173" s="22"/>
      <c r="AL173" s="22"/>
      <c r="AM173" s="22"/>
      <c r="AN173" s="22"/>
      <c r="AO173" s="22"/>
      <c r="AP173" s="22"/>
      <c r="AQ173" s="22"/>
      <c r="AR173" s="22"/>
      <c r="AS173" s="22"/>
      <c r="AT173" s="22"/>
      <c r="AU173" s="22"/>
      <c r="AV173" s="22"/>
      <c r="AW173" s="22"/>
    </row>
    <row r="174" spans="2:49" x14ac:dyDescent="0.15">
      <c r="B174" s="22"/>
      <c r="C174" s="22"/>
      <c r="D174" s="22"/>
      <c r="E174" s="22"/>
      <c r="F174" s="22"/>
      <c r="G174" s="22"/>
      <c r="H174" s="22"/>
      <c r="I174" s="22"/>
      <c r="J174" s="22"/>
      <c r="K174" s="22"/>
      <c r="L174" s="22"/>
      <c r="M174" s="22"/>
      <c r="N174" s="22"/>
      <c r="O174" s="22"/>
      <c r="P174" s="22"/>
      <c r="Q174" s="22"/>
      <c r="R174" s="22"/>
      <c r="S174" s="22"/>
      <c r="T174" s="22"/>
      <c r="U174" s="22"/>
      <c r="V174" s="22"/>
      <c r="W174" s="22"/>
      <c r="X174" s="22"/>
      <c r="Y174" s="22"/>
      <c r="Z174" s="22"/>
      <c r="AA174" s="22"/>
      <c r="AB174" s="22"/>
      <c r="AC174" s="22"/>
      <c r="AD174" s="22"/>
      <c r="AE174" s="22"/>
      <c r="AF174" s="22"/>
      <c r="AG174" s="22"/>
      <c r="AH174" s="22"/>
      <c r="AI174" s="22"/>
      <c r="AJ174" s="22"/>
      <c r="AK174" s="22"/>
      <c r="AL174" s="22"/>
      <c r="AM174" s="22"/>
      <c r="AN174" s="22"/>
      <c r="AO174" s="22"/>
      <c r="AP174" s="22"/>
      <c r="AQ174" s="22"/>
      <c r="AR174" s="22"/>
      <c r="AS174" s="22"/>
      <c r="AT174" s="22"/>
      <c r="AU174" s="22"/>
      <c r="AV174" s="22"/>
      <c r="AW174" s="22"/>
    </row>
    <row r="175" spans="2:49" x14ac:dyDescent="0.15">
      <c r="B175" s="22"/>
      <c r="C175" s="22"/>
      <c r="D175" s="22"/>
      <c r="E175" s="22"/>
      <c r="F175" s="22"/>
      <c r="G175" s="22"/>
      <c r="H175" s="22"/>
      <c r="I175" s="22"/>
      <c r="J175" s="22"/>
      <c r="K175" s="22"/>
      <c r="L175" s="22"/>
      <c r="M175" s="22"/>
      <c r="N175" s="22"/>
      <c r="O175" s="22"/>
      <c r="P175" s="22"/>
      <c r="Q175" s="22"/>
      <c r="R175" s="22"/>
      <c r="S175" s="22"/>
      <c r="T175" s="22"/>
      <c r="U175" s="22"/>
      <c r="V175" s="22"/>
      <c r="W175" s="22"/>
      <c r="X175" s="22"/>
      <c r="Y175" s="22"/>
      <c r="Z175" s="22"/>
      <c r="AA175" s="22"/>
      <c r="AB175" s="22"/>
      <c r="AC175" s="22"/>
      <c r="AD175" s="22"/>
      <c r="AE175" s="22"/>
      <c r="AF175" s="22"/>
      <c r="AG175" s="22"/>
      <c r="AH175" s="22"/>
      <c r="AI175" s="22"/>
      <c r="AJ175" s="22"/>
      <c r="AK175" s="22"/>
      <c r="AL175" s="22"/>
      <c r="AM175" s="22"/>
      <c r="AN175" s="22"/>
      <c r="AO175" s="22"/>
      <c r="AP175" s="22"/>
      <c r="AQ175" s="22"/>
      <c r="AR175" s="22"/>
      <c r="AS175" s="22"/>
      <c r="AT175" s="22"/>
      <c r="AU175" s="22"/>
      <c r="AV175" s="22"/>
      <c r="AW175" s="22"/>
    </row>
    <row r="176" spans="2:49" x14ac:dyDescent="0.15">
      <c r="B176" s="22"/>
      <c r="C176" s="22"/>
      <c r="D176" s="22"/>
      <c r="E176" s="22"/>
      <c r="F176" s="22"/>
      <c r="G176" s="22"/>
      <c r="H176" s="22"/>
      <c r="I176" s="22"/>
      <c r="J176" s="22"/>
      <c r="K176" s="22"/>
      <c r="L176" s="22"/>
      <c r="M176" s="22"/>
      <c r="N176" s="22"/>
      <c r="O176" s="22"/>
      <c r="P176" s="22"/>
      <c r="Q176" s="22"/>
      <c r="R176" s="22"/>
      <c r="S176" s="22"/>
      <c r="T176" s="22"/>
      <c r="U176" s="22"/>
      <c r="V176" s="22"/>
      <c r="W176" s="22"/>
      <c r="X176" s="22"/>
      <c r="Y176" s="22"/>
      <c r="Z176" s="22"/>
      <c r="AA176" s="22"/>
      <c r="AB176" s="22"/>
      <c r="AC176" s="22"/>
      <c r="AD176" s="22"/>
      <c r="AE176" s="22"/>
      <c r="AF176" s="22"/>
      <c r="AG176" s="22"/>
      <c r="AH176" s="22"/>
      <c r="AI176" s="22"/>
      <c r="AJ176" s="22"/>
      <c r="AK176" s="22"/>
      <c r="AL176" s="22"/>
      <c r="AM176" s="22"/>
      <c r="AN176" s="22"/>
      <c r="AO176" s="22"/>
      <c r="AP176" s="22"/>
      <c r="AQ176" s="22"/>
      <c r="AR176" s="22"/>
      <c r="AS176" s="22"/>
      <c r="AT176" s="22"/>
      <c r="AU176" s="22"/>
      <c r="AV176" s="22"/>
      <c r="AW176" s="22"/>
    </row>
    <row r="177" spans="2:49" x14ac:dyDescent="0.15">
      <c r="B177" s="22"/>
      <c r="C177" s="22"/>
      <c r="D177" s="22"/>
      <c r="E177" s="22"/>
      <c r="F177" s="22"/>
      <c r="G177" s="22"/>
      <c r="H177" s="22"/>
      <c r="I177" s="22"/>
      <c r="J177" s="22"/>
      <c r="K177" s="22"/>
      <c r="L177" s="22"/>
      <c r="M177" s="22"/>
      <c r="N177" s="22"/>
      <c r="O177" s="22"/>
      <c r="P177" s="22"/>
      <c r="Q177" s="22"/>
      <c r="R177" s="22"/>
      <c r="S177" s="22"/>
      <c r="T177" s="22"/>
      <c r="U177" s="22"/>
      <c r="V177" s="22"/>
      <c r="W177" s="22"/>
      <c r="X177" s="22"/>
      <c r="Y177" s="22"/>
      <c r="Z177" s="22"/>
      <c r="AA177" s="22"/>
      <c r="AB177" s="22"/>
      <c r="AC177" s="22"/>
      <c r="AD177" s="22"/>
      <c r="AE177" s="22"/>
      <c r="AF177" s="22"/>
      <c r="AG177" s="22"/>
      <c r="AH177" s="22"/>
      <c r="AI177" s="22"/>
      <c r="AJ177" s="22"/>
      <c r="AK177" s="22"/>
      <c r="AL177" s="22"/>
      <c r="AM177" s="22"/>
      <c r="AN177" s="22"/>
      <c r="AO177" s="22"/>
      <c r="AP177" s="22"/>
      <c r="AQ177" s="22"/>
      <c r="AR177" s="22"/>
      <c r="AS177" s="22"/>
      <c r="AT177" s="22"/>
      <c r="AU177" s="22"/>
      <c r="AV177" s="22"/>
      <c r="AW177" s="22"/>
    </row>
    <row r="178" spans="2:49" x14ac:dyDescent="0.15">
      <c r="B178" s="22"/>
      <c r="C178" s="22"/>
      <c r="D178" s="22"/>
      <c r="E178" s="22"/>
      <c r="F178" s="22"/>
      <c r="G178" s="22"/>
      <c r="H178" s="22"/>
      <c r="I178" s="22"/>
      <c r="J178" s="22"/>
      <c r="K178" s="22"/>
      <c r="L178" s="22"/>
      <c r="M178" s="22"/>
      <c r="N178" s="22"/>
      <c r="O178" s="22"/>
      <c r="P178" s="22"/>
      <c r="Q178" s="22"/>
      <c r="R178" s="22"/>
      <c r="S178" s="22"/>
      <c r="T178" s="22"/>
      <c r="U178" s="22"/>
      <c r="V178" s="22"/>
      <c r="W178" s="22"/>
      <c r="X178" s="22"/>
      <c r="Y178" s="22"/>
      <c r="Z178" s="22"/>
      <c r="AA178" s="22"/>
      <c r="AB178" s="22"/>
      <c r="AC178" s="22"/>
      <c r="AD178" s="22"/>
      <c r="AE178" s="22"/>
      <c r="AF178" s="22"/>
      <c r="AG178" s="22"/>
      <c r="AH178" s="22"/>
      <c r="AI178" s="22"/>
      <c r="AJ178" s="22"/>
      <c r="AK178" s="22"/>
      <c r="AL178" s="22"/>
      <c r="AM178" s="22"/>
      <c r="AN178" s="22"/>
      <c r="AO178" s="22"/>
      <c r="AP178" s="22"/>
      <c r="AQ178" s="22"/>
      <c r="AR178" s="22"/>
      <c r="AS178" s="22"/>
      <c r="AT178" s="22"/>
      <c r="AU178" s="22"/>
      <c r="AV178" s="22"/>
      <c r="AW178" s="22"/>
    </row>
    <row r="179" spans="2:49" x14ac:dyDescent="0.15">
      <c r="B179" s="22"/>
      <c r="C179" s="22"/>
      <c r="D179" s="22"/>
      <c r="E179" s="22"/>
      <c r="F179" s="22"/>
      <c r="G179" s="22"/>
      <c r="H179" s="22"/>
      <c r="I179" s="22"/>
      <c r="J179" s="22"/>
      <c r="K179" s="22"/>
      <c r="L179" s="22"/>
      <c r="M179" s="22"/>
      <c r="N179" s="22"/>
      <c r="O179" s="22"/>
      <c r="P179" s="22"/>
      <c r="Q179" s="22"/>
      <c r="R179" s="22"/>
      <c r="S179" s="22"/>
      <c r="T179" s="22"/>
      <c r="U179" s="22"/>
      <c r="V179" s="22"/>
      <c r="W179" s="22"/>
      <c r="X179" s="22"/>
      <c r="Y179" s="22"/>
      <c r="Z179" s="22"/>
      <c r="AA179" s="22"/>
      <c r="AB179" s="22"/>
      <c r="AC179" s="22"/>
      <c r="AD179" s="22"/>
      <c r="AE179" s="22"/>
      <c r="AF179" s="22"/>
      <c r="AG179" s="22"/>
      <c r="AH179" s="22"/>
      <c r="AI179" s="22"/>
      <c r="AJ179" s="22"/>
      <c r="AK179" s="22"/>
      <c r="AL179" s="22"/>
      <c r="AM179" s="22"/>
      <c r="AN179" s="22"/>
      <c r="AO179" s="22"/>
      <c r="AP179" s="22"/>
      <c r="AQ179" s="22"/>
      <c r="AR179" s="22"/>
      <c r="AS179" s="22"/>
      <c r="AT179" s="22"/>
      <c r="AU179" s="22"/>
      <c r="AV179" s="22"/>
      <c r="AW179" s="22"/>
    </row>
    <row r="180" spans="2:49" x14ac:dyDescent="0.15">
      <c r="B180" s="22"/>
      <c r="C180" s="22"/>
      <c r="D180" s="22"/>
      <c r="E180" s="22"/>
      <c r="F180" s="22"/>
      <c r="G180" s="22"/>
      <c r="H180" s="22"/>
      <c r="I180" s="22"/>
      <c r="J180" s="22"/>
      <c r="K180" s="22"/>
      <c r="L180" s="22"/>
      <c r="M180" s="22"/>
      <c r="N180" s="22"/>
      <c r="O180" s="22"/>
      <c r="P180" s="22"/>
      <c r="Q180" s="22"/>
      <c r="R180" s="22"/>
      <c r="S180" s="22"/>
      <c r="T180" s="22"/>
      <c r="U180" s="22"/>
      <c r="V180" s="22"/>
      <c r="W180" s="22"/>
      <c r="X180" s="22"/>
      <c r="Y180" s="22"/>
      <c r="Z180" s="22"/>
      <c r="AA180" s="22"/>
      <c r="AB180" s="22"/>
      <c r="AC180" s="22"/>
      <c r="AD180" s="22"/>
      <c r="AE180" s="22"/>
      <c r="AF180" s="22"/>
      <c r="AG180" s="22"/>
      <c r="AH180" s="22"/>
      <c r="AI180" s="22"/>
      <c r="AJ180" s="22"/>
      <c r="AK180" s="22"/>
      <c r="AL180" s="22"/>
      <c r="AM180" s="22"/>
      <c r="AN180" s="22"/>
      <c r="AO180" s="22"/>
      <c r="AP180" s="22"/>
      <c r="AQ180" s="22"/>
      <c r="AR180" s="22"/>
      <c r="AS180" s="22"/>
      <c r="AT180" s="22"/>
      <c r="AU180" s="22"/>
      <c r="AV180" s="22"/>
      <c r="AW180" s="22"/>
    </row>
    <row r="181" spans="2:49" x14ac:dyDescent="0.15">
      <c r="B181" s="22"/>
      <c r="C181" s="22"/>
      <c r="D181" s="22"/>
      <c r="E181" s="22"/>
      <c r="F181" s="22"/>
      <c r="G181" s="22"/>
      <c r="H181" s="22"/>
      <c r="I181" s="22"/>
      <c r="J181" s="22"/>
      <c r="K181" s="22"/>
      <c r="L181" s="22"/>
      <c r="M181" s="22"/>
      <c r="N181" s="22"/>
      <c r="O181" s="22"/>
      <c r="P181" s="22"/>
      <c r="Q181" s="22"/>
      <c r="R181" s="22"/>
      <c r="S181" s="22"/>
      <c r="T181" s="22"/>
      <c r="U181" s="22"/>
      <c r="V181" s="22"/>
      <c r="W181" s="22"/>
      <c r="X181" s="22"/>
      <c r="Y181" s="22"/>
      <c r="Z181" s="22"/>
      <c r="AA181" s="22"/>
      <c r="AB181" s="22"/>
      <c r="AC181" s="22"/>
      <c r="AD181" s="22"/>
      <c r="AE181" s="22"/>
      <c r="AF181" s="22"/>
      <c r="AG181" s="22"/>
      <c r="AH181" s="22"/>
      <c r="AI181" s="22"/>
      <c r="AJ181" s="22"/>
      <c r="AK181" s="22"/>
      <c r="AL181" s="22"/>
      <c r="AM181" s="22"/>
      <c r="AN181" s="22"/>
      <c r="AO181" s="22"/>
      <c r="AP181" s="22"/>
      <c r="AQ181" s="22"/>
      <c r="AR181" s="22"/>
      <c r="AS181" s="22"/>
      <c r="AT181" s="22"/>
      <c r="AU181" s="22"/>
      <c r="AV181" s="22"/>
      <c r="AW181" s="22"/>
    </row>
    <row r="182" spans="2:49" x14ac:dyDescent="0.15">
      <c r="B182" s="22"/>
      <c r="C182" s="22"/>
      <c r="D182" s="22"/>
      <c r="E182" s="22"/>
      <c r="F182" s="22"/>
      <c r="G182" s="22"/>
      <c r="H182" s="22"/>
      <c r="I182" s="22"/>
      <c r="J182" s="22"/>
      <c r="K182" s="22"/>
      <c r="L182" s="22"/>
      <c r="M182" s="22"/>
      <c r="N182" s="22"/>
      <c r="O182" s="22"/>
      <c r="P182" s="22"/>
      <c r="Q182" s="22"/>
      <c r="R182" s="22"/>
      <c r="S182" s="22"/>
      <c r="T182" s="22"/>
      <c r="U182" s="22"/>
      <c r="V182" s="22"/>
      <c r="W182" s="22"/>
      <c r="X182" s="22"/>
      <c r="Y182" s="22"/>
      <c r="Z182" s="22"/>
      <c r="AA182" s="22"/>
      <c r="AB182" s="22"/>
      <c r="AC182" s="22"/>
      <c r="AD182" s="22"/>
      <c r="AE182" s="22"/>
      <c r="AF182" s="22"/>
      <c r="AG182" s="22"/>
      <c r="AH182" s="22"/>
      <c r="AI182" s="22"/>
      <c r="AJ182" s="22"/>
      <c r="AK182" s="22"/>
      <c r="AL182" s="22"/>
      <c r="AM182" s="22"/>
      <c r="AN182" s="22"/>
      <c r="AO182" s="22"/>
      <c r="AP182" s="22"/>
      <c r="AQ182" s="22"/>
      <c r="AR182" s="22"/>
      <c r="AS182" s="22"/>
      <c r="AT182" s="22"/>
      <c r="AU182" s="22"/>
      <c r="AV182" s="22"/>
      <c r="AW182" s="22"/>
    </row>
    <row r="183" spans="2:49" x14ac:dyDescent="0.15">
      <c r="B183" s="22"/>
      <c r="C183" s="22"/>
      <c r="D183" s="22"/>
      <c r="E183" s="22"/>
      <c r="F183" s="22"/>
      <c r="G183" s="22"/>
      <c r="H183" s="22"/>
      <c r="I183" s="22"/>
      <c r="J183" s="22"/>
      <c r="K183" s="22"/>
      <c r="L183" s="22"/>
      <c r="M183" s="22"/>
      <c r="N183" s="22"/>
      <c r="O183" s="22"/>
      <c r="P183" s="22"/>
      <c r="Q183" s="22"/>
      <c r="R183" s="22"/>
      <c r="S183" s="22"/>
      <c r="T183" s="22"/>
      <c r="U183" s="22"/>
      <c r="V183" s="22"/>
      <c r="W183" s="22"/>
      <c r="X183" s="22"/>
      <c r="Y183" s="22"/>
      <c r="Z183" s="22"/>
      <c r="AA183" s="22"/>
      <c r="AB183" s="22"/>
      <c r="AC183" s="22"/>
      <c r="AD183" s="22"/>
      <c r="AE183" s="22"/>
      <c r="AF183" s="22"/>
      <c r="AG183" s="22"/>
      <c r="AH183" s="22"/>
      <c r="AI183" s="22"/>
      <c r="AJ183" s="22"/>
      <c r="AK183" s="22"/>
      <c r="AL183" s="22"/>
      <c r="AM183" s="22"/>
      <c r="AN183" s="22"/>
      <c r="AO183" s="22"/>
      <c r="AP183" s="22"/>
      <c r="AQ183" s="22"/>
      <c r="AR183" s="22"/>
      <c r="AS183" s="22"/>
      <c r="AT183" s="22"/>
      <c r="AU183" s="22"/>
      <c r="AV183" s="22"/>
      <c r="AW183" s="22"/>
    </row>
    <row r="184" spans="2:49" x14ac:dyDescent="0.15">
      <c r="B184" s="22"/>
      <c r="C184" s="22"/>
      <c r="D184" s="22"/>
      <c r="E184" s="22"/>
      <c r="F184" s="22"/>
      <c r="G184" s="22"/>
      <c r="H184" s="22"/>
      <c r="I184" s="22"/>
      <c r="J184" s="22"/>
      <c r="K184" s="22"/>
      <c r="L184" s="22"/>
      <c r="M184" s="22"/>
      <c r="N184" s="22"/>
      <c r="O184" s="22"/>
      <c r="P184" s="22"/>
      <c r="Q184" s="22"/>
      <c r="R184" s="22"/>
      <c r="S184" s="22"/>
      <c r="T184" s="22"/>
      <c r="U184" s="22"/>
      <c r="V184" s="22"/>
      <c r="W184" s="22"/>
      <c r="X184" s="22"/>
      <c r="Y184" s="22"/>
      <c r="Z184" s="22"/>
      <c r="AA184" s="22"/>
      <c r="AB184" s="22"/>
      <c r="AC184" s="22"/>
      <c r="AD184" s="22"/>
      <c r="AE184" s="22"/>
      <c r="AF184" s="22"/>
      <c r="AG184" s="22"/>
      <c r="AH184" s="22"/>
      <c r="AI184" s="22"/>
      <c r="AJ184" s="22"/>
      <c r="AK184" s="22"/>
      <c r="AL184" s="22"/>
      <c r="AM184" s="22"/>
      <c r="AN184" s="22"/>
      <c r="AO184" s="22"/>
      <c r="AP184" s="22"/>
      <c r="AQ184" s="22"/>
      <c r="AR184" s="22"/>
      <c r="AS184" s="22"/>
      <c r="AT184" s="22"/>
      <c r="AU184" s="22"/>
      <c r="AV184" s="22"/>
      <c r="AW184" s="22"/>
    </row>
    <row r="185" spans="2:49" x14ac:dyDescent="0.15">
      <c r="B185" s="22"/>
      <c r="C185" s="22"/>
      <c r="D185" s="22"/>
      <c r="E185" s="22"/>
      <c r="F185" s="22"/>
      <c r="G185" s="22"/>
      <c r="H185" s="22"/>
      <c r="I185" s="22"/>
      <c r="J185" s="22"/>
      <c r="K185" s="22"/>
      <c r="L185" s="22"/>
      <c r="M185" s="22"/>
      <c r="N185" s="22"/>
      <c r="O185" s="22"/>
      <c r="P185" s="22"/>
      <c r="Q185" s="22"/>
      <c r="R185" s="22"/>
      <c r="S185" s="22"/>
      <c r="T185" s="22"/>
      <c r="U185" s="22"/>
      <c r="V185" s="22"/>
      <c r="W185" s="22"/>
      <c r="X185" s="22"/>
      <c r="Y185" s="22"/>
      <c r="Z185" s="22"/>
      <c r="AA185" s="22"/>
      <c r="AB185" s="22"/>
      <c r="AC185" s="22"/>
      <c r="AD185" s="22"/>
      <c r="AE185" s="22"/>
      <c r="AF185" s="22"/>
      <c r="AG185" s="22"/>
      <c r="AH185" s="22"/>
      <c r="AI185" s="22"/>
      <c r="AJ185" s="22"/>
      <c r="AK185" s="22"/>
      <c r="AL185" s="22"/>
      <c r="AM185" s="22"/>
      <c r="AN185" s="22"/>
      <c r="AO185" s="22"/>
      <c r="AP185" s="22"/>
      <c r="AQ185" s="22"/>
      <c r="AR185" s="22"/>
      <c r="AS185" s="22"/>
      <c r="AT185" s="22"/>
      <c r="AU185" s="22"/>
      <c r="AV185" s="22"/>
      <c r="AW185" s="22"/>
    </row>
    <row r="186" spans="2:49" x14ac:dyDescent="0.15">
      <c r="B186" s="22"/>
      <c r="C186" s="22"/>
      <c r="D186" s="22"/>
      <c r="E186" s="22"/>
      <c r="F186" s="22"/>
      <c r="G186" s="22"/>
      <c r="H186" s="22"/>
      <c r="I186" s="22"/>
      <c r="J186" s="22"/>
      <c r="K186" s="22"/>
      <c r="L186" s="22"/>
      <c r="M186" s="22"/>
      <c r="N186" s="22"/>
      <c r="O186" s="22"/>
      <c r="P186" s="22"/>
      <c r="Q186" s="22"/>
      <c r="R186" s="22"/>
      <c r="S186" s="22"/>
      <c r="T186" s="22"/>
      <c r="U186" s="22"/>
      <c r="V186" s="22"/>
      <c r="W186" s="22"/>
      <c r="X186" s="22"/>
      <c r="Y186" s="22"/>
      <c r="Z186" s="22"/>
      <c r="AA186" s="22"/>
      <c r="AB186" s="22"/>
      <c r="AC186" s="22"/>
      <c r="AD186" s="22"/>
      <c r="AE186" s="22"/>
      <c r="AF186" s="22"/>
      <c r="AG186" s="22"/>
      <c r="AH186" s="22"/>
      <c r="AI186" s="22"/>
      <c r="AJ186" s="22"/>
      <c r="AK186" s="22"/>
      <c r="AL186" s="22"/>
      <c r="AM186" s="22"/>
      <c r="AN186" s="22"/>
      <c r="AO186" s="22"/>
      <c r="AP186" s="22"/>
      <c r="AQ186" s="22"/>
      <c r="AR186" s="22"/>
      <c r="AS186" s="22"/>
      <c r="AT186" s="22"/>
      <c r="AU186" s="22"/>
      <c r="AV186" s="22"/>
      <c r="AW186" s="22"/>
    </row>
    <row r="187" spans="2:49" x14ac:dyDescent="0.15">
      <c r="B187" s="22"/>
      <c r="C187" s="22"/>
      <c r="D187" s="22"/>
      <c r="E187" s="22"/>
      <c r="F187" s="22"/>
      <c r="G187" s="22"/>
      <c r="H187" s="22"/>
      <c r="I187" s="22"/>
      <c r="J187" s="22"/>
      <c r="K187" s="22"/>
      <c r="L187" s="22"/>
      <c r="M187" s="22"/>
      <c r="N187" s="22"/>
      <c r="O187" s="22"/>
      <c r="P187" s="22"/>
      <c r="Q187" s="22"/>
      <c r="R187" s="22"/>
      <c r="S187" s="22"/>
      <c r="T187" s="22"/>
      <c r="U187" s="22"/>
      <c r="V187" s="22"/>
      <c r="W187" s="22"/>
      <c r="X187" s="22"/>
      <c r="Y187" s="22"/>
      <c r="Z187" s="22"/>
      <c r="AA187" s="22"/>
      <c r="AB187" s="22"/>
      <c r="AC187" s="22"/>
      <c r="AD187" s="22"/>
      <c r="AE187" s="22"/>
      <c r="AF187" s="22"/>
      <c r="AG187" s="22"/>
      <c r="AH187" s="22"/>
      <c r="AI187" s="22"/>
      <c r="AJ187" s="22"/>
      <c r="AK187" s="22"/>
      <c r="AL187" s="22"/>
      <c r="AM187" s="22"/>
      <c r="AN187" s="22"/>
      <c r="AO187" s="22"/>
      <c r="AP187" s="22"/>
      <c r="AQ187" s="22"/>
      <c r="AR187" s="22"/>
      <c r="AS187" s="22"/>
      <c r="AT187" s="22"/>
      <c r="AU187" s="22"/>
      <c r="AV187" s="22"/>
      <c r="AW187" s="22"/>
    </row>
    <row r="188" spans="2:49" x14ac:dyDescent="0.15">
      <c r="B188" s="22"/>
      <c r="C188" s="22"/>
      <c r="D188" s="22"/>
      <c r="E188" s="22"/>
      <c r="F188" s="22"/>
      <c r="G188" s="22"/>
      <c r="H188" s="22"/>
      <c r="I188" s="22"/>
      <c r="J188" s="22"/>
      <c r="K188" s="22"/>
      <c r="L188" s="22"/>
      <c r="M188" s="22"/>
      <c r="N188" s="22"/>
      <c r="O188" s="22"/>
      <c r="P188" s="22"/>
      <c r="Q188" s="22"/>
      <c r="R188" s="22"/>
      <c r="S188" s="22"/>
      <c r="T188" s="22"/>
      <c r="U188" s="22"/>
      <c r="V188" s="22"/>
      <c r="W188" s="22"/>
      <c r="X188" s="22"/>
      <c r="Y188" s="22"/>
      <c r="Z188" s="22"/>
      <c r="AA188" s="22"/>
      <c r="AB188" s="22"/>
      <c r="AC188" s="22"/>
      <c r="AD188" s="22"/>
      <c r="AE188" s="22"/>
      <c r="AF188" s="22"/>
      <c r="AG188" s="22"/>
      <c r="AH188" s="22"/>
      <c r="AI188" s="22"/>
      <c r="AJ188" s="22"/>
      <c r="AK188" s="22"/>
      <c r="AL188" s="22"/>
      <c r="AM188" s="22"/>
      <c r="AN188" s="22"/>
      <c r="AO188" s="22"/>
      <c r="AP188" s="22"/>
      <c r="AQ188" s="22"/>
      <c r="AR188" s="22"/>
      <c r="AS188" s="22"/>
      <c r="AT188" s="22"/>
      <c r="AU188" s="22"/>
      <c r="AV188" s="22"/>
      <c r="AW188" s="22"/>
    </row>
    <row r="189" spans="2:49" x14ac:dyDescent="0.15">
      <c r="B189" s="22"/>
      <c r="C189" s="22"/>
      <c r="D189" s="22"/>
      <c r="E189" s="22"/>
      <c r="F189" s="22"/>
      <c r="G189" s="22"/>
      <c r="H189" s="22"/>
      <c r="I189" s="22"/>
      <c r="J189" s="22"/>
      <c r="K189" s="22"/>
      <c r="L189" s="22"/>
      <c r="M189" s="22"/>
      <c r="N189" s="22"/>
      <c r="O189" s="22"/>
      <c r="P189" s="22"/>
      <c r="Q189" s="22"/>
      <c r="R189" s="22"/>
      <c r="S189" s="22"/>
      <c r="T189" s="22"/>
      <c r="U189" s="22"/>
      <c r="V189" s="22"/>
      <c r="W189" s="22"/>
      <c r="X189" s="22"/>
      <c r="Y189" s="22"/>
      <c r="Z189" s="22"/>
      <c r="AA189" s="22"/>
      <c r="AB189" s="22"/>
      <c r="AC189" s="22"/>
      <c r="AD189" s="22"/>
      <c r="AE189" s="22"/>
      <c r="AF189" s="22"/>
      <c r="AG189" s="22"/>
      <c r="AH189" s="22"/>
      <c r="AI189" s="22"/>
      <c r="AJ189" s="22"/>
      <c r="AK189" s="22"/>
      <c r="AL189" s="22"/>
      <c r="AM189" s="22"/>
      <c r="AN189" s="22"/>
      <c r="AO189" s="22"/>
      <c r="AP189" s="22"/>
      <c r="AQ189" s="22"/>
      <c r="AR189" s="22"/>
      <c r="AS189" s="22"/>
      <c r="AT189" s="22"/>
      <c r="AU189" s="22"/>
      <c r="AV189" s="22"/>
      <c r="AW189" s="22"/>
    </row>
    <row r="190" spans="2:49" x14ac:dyDescent="0.15">
      <c r="B190" s="22"/>
      <c r="C190" s="22"/>
      <c r="D190" s="22"/>
      <c r="E190" s="22"/>
      <c r="F190" s="22"/>
      <c r="G190" s="22"/>
      <c r="H190" s="22"/>
      <c r="I190" s="22"/>
      <c r="J190" s="22"/>
      <c r="K190" s="22"/>
      <c r="L190" s="22"/>
      <c r="M190" s="22"/>
      <c r="N190" s="22"/>
      <c r="O190" s="22"/>
      <c r="P190" s="22"/>
      <c r="Q190" s="22"/>
      <c r="R190" s="22"/>
      <c r="S190" s="22"/>
      <c r="T190" s="22"/>
      <c r="U190" s="22"/>
      <c r="V190" s="22"/>
      <c r="W190" s="22"/>
      <c r="X190" s="22"/>
      <c r="Y190" s="22"/>
      <c r="Z190" s="22"/>
      <c r="AA190" s="22"/>
      <c r="AB190" s="22"/>
      <c r="AC190" s="22"/>
      <c r="AD190" s="22"/>
      <c r="AE190" s="22"/>
      <c r="AF190" s="22"/>
      <c r="AG190" s="22"/>
      <c r="AH190" s="22"/>
      <c r="AI190" s="22"/>
      <c r="AJ190" s="22"/>
      <c r="AK190" s="22"/>
      <c r="AL190" s="22"/>
      <c r="AM190" s="22"/>
      <c r="AN190" s="22"/>
      <c r="AO190" s="22"/>
      <c r="AP190" s="22"/>
      <c r="AQ190" s="22"/>
      <c r="AR190" s="22"/>
      <c r="AS190" s="22"/>
      <c r="AT190" s="22"/>
      <c r="AU190" s="22"/>
      <c r="AV190" s="22"/>
      <c r="AW190" s="22"/>
    </row>
    <row r="191" spans="2:49" x14ac:dyDescent="0.15">
      <c r="B191" s="22"/>
      <c r="C191" s="22"/>
      <c r="D191" s="22"/>
      <c r="E191" s="22"/>
      <c r="F191" s="22"/>
      <c r="G191" s="22"/>
      <c r="H191" s="22"/>
      <c r="I191" s="22"/>
      <c r="J191" s="22"/>
      <c r="K191" s="22"/>
      <c r="L191" s="22"/>
      <c r="M191" s="22"/>
      <c r="N191" s="22"/>
      <c r="O191" s="22"/>
      <c r="P191" s="22"/>
      <c r="Q191" s="22"/>
      <c r="R191" s="22"/>
      <c r="S191" s="22"/>
      <c r="T191" s="22"/>
      <c r="U191" s="22"/>
      <c r="V191" s="22"/>
      <c r="W191" s="22"/>
      <c r="X191" s="22"/>
      <c r="Y191" s="22"/>
      <c r="Z191" s="22"/>
      <c r="AA191" s="22"/>
      <c r="AB191" s="22"/>
      <c r="AC191" s="22"/>
      <c r="AD191" s="22"/>
      <c r="AE191" s="22"/>
      <c r="AF191" s="22"/>
      <c r="AG191" s="22"/>
      <c r="AH191" s="22"/>
      <c r="AI191" s="22"/>
      <c r="AJ191" s="22"/>
      <c r="AK191" s="22"/>
      <c r="AL191" s="22"/>
      <c r="AM191" s="22"/>
      <c r="AN191" s="22"/>
      <c r="AO191" s="22"/>
      <c r="AP191" s="22"/>
      <c r="AQ191" s="22"/>
      <c r="AR191" s="22"/>
      <c r="AS191" s="22"/>
      <c r="AT191" s="22"/>
      <c r="AU191" s="22"/>
      <c r="AV191" s="22"/>
      <c r="AW191" s="22"/>
    </row>
    <row r="192" spans="2:49" x14ac:dyDescent="0.15">
      <c r="B192" s="22"/>
      <c r="C192" s="22"/>
      <c r="D192" s="22"/>
      <c r="E192" s="22"/>
      <c r="F192" s="22"/>
      <c r="G192" s="22"/>
      <c r="H192" s="22"/>
      <c r="I192" s="22"/>
      <c r="J192" s="22"/>
      <c r="K192" s="22"/>
      <c r="L192" s="22"/>
      <c r="M192" s="22"/>
      <c r="N192" s="22"/>
      <c r="O192" s="22"/>
      <c r="P192" s="22"/>
      <c r="Q192" s="22"/>
      <c r="R192" s="22"/>
      <c r="S192" s="22"/>
      <c r="T192" s="22"/>
      <c r="U192" s="22"/>
      <c r="V192" s="22"/>
      <c r="W192" s="22"/>
      <c r="X192" s="22"/>
      <c r="Y192" s="22"/>
      <c r="Z192" s="22"/>
      <c r="AA192" s="22"/>
      <c r="AB192" s="22"/>
      <c r="AC192" s="22"/>
      <c r="AD192" s="22"/>
      <c r="AE192" s="22"/>
      <c r="AF192" s="22"/>
      <c r="AG192" s="22"/>
      <c r="AH192" s="22"/>
      <c r="AI192" s="22"/>
      <c r="AJ192" s="22"/>
      <c r="AK192" s="22"/>
      <c r="AL192" s="22"/>
      <c r="AM192" s="22"/>
      <c r="AN192" s="22"/>
      <c r="AO192" s="22"/>
      <c r="AP192" s="22"/>
      <c r="AQ192" s="22"/>
      <c r="AR192" s="22"/>
      <c r="AS192" s="22"/>
      <c r="AT192" s="22"/>
      <c r="AU192" s="22"/>
      <c r="AV192" s="22"/>
      <c r="AW192" s="22"/>
    </row>
    <row r="193" spans="2:49" x14ac:dyDescent="0.15">
      <c r="B193" s="22"/>
      <c r="C193" s="22"/>
      <c r="D193" s="22"/>
      <c r="E193" s="22"/>
      <c r="F193" s="22"/>
      <c r="G193" s="22"/>
      <c r="H193" s="22"/>
      <c r="I193" s="22"/>
      <c r="J193" s="22"/>
      <c r="K193" s="22"/>
      <c r="L193" s="22"/>
      <c r="M193" s="22"/>
      <c r="N193" s="22"/>
      <c r="O193" s="22"/>
      <c r="P193" s="22"/>
      <c r="Q193" s="22"/>
      <c r="R193" s="22"/>
      <c r="S193" s="22"/>
      <c r="T193" s="22"/>
      <c r="U193" s="22"/>
      <c r="V193" s="22"/>
      <c r="W193" s="22"/>
      <c r="X193" s="22"/>
      <c r="Y193" s="22"/>
      <c r="Z193" s="22"/>
      <c r="AA193" s="22"/>
      <c r="AB193" s="22"/>
      <c r="AC193" s="22"/>
      <c r="AD193" s="22"/>
      <c r="AE193" s="22"/>
      <c r="AF193" s="22"/>
      <c r="AG193" s="22"/>
      <c r="AH193" s="22"/>
      <c r="AI193" s="22"/>
      <c r="AJ193" s="22"/>
      <c r="AK193" s="22"/>
      <c r="AL193" s="22"/>
      <c r="AM193" s="22"/>
      <c r="AN193" s="22"/>
      <c r="AO193" s="22"/>
      <c r="AP193" s="22"/>
      <c r="AQ193" s="22"/>
      <c r="AR193" s="22"/>
      <c r="AS193" s="22"/>
      <c r="AT193" s="22"/>
      <c r="AU193" s="22"/>
      <c r="AV193" s="22"/>
      <c r="AW193" s="22"/>
    </row>
    <row r="194" spans="2:49" x14ac:dyDescent="0.15">
      <c r="B194" s="22"/>
      <c r="C194" s="22"/>
      <c r="D194" s="22"/>
      <c r="E194" s="22"/>
      <c r="F194" s="22"/>
      <c r="G194" s="22"/>
      <c r="H194" s="22"/>
      <c r="I194" s="22"/>
      <c r="J194" s="22"/>
      <c r="K194" s="22"/>
      <c r="L194" s="22"/>
      <c r="M194" s="22"/>
      <c r="N194" s="22"/>
      <c r="O194" s="22"/>
      <c r="P194" s="22"/>
      <c r="Q194" s="22"/>
      <c r="R194" s="22"/>
      <c r="S194" s="22"/>
      <c r="T194" s="22"/>
      <c r="U194" s="22"/>
      <c r="V194" s="22"/>
      <c r="W194" s="22"/>
      <c r="X194" s="22"/>
      <c r="Y194" s="22"/>
      <c r="Z194" s="22"/>
      <c r="AA194" s="22"/>
      <c r="AB194" s="22"/>
      <c r="AC194" s="22"/>
      <c r="AD194" s="22"/>
      <c r="AE194" s="22"/>
      <c r="AF194" s="22"/>
      <c r="AG194" s="22"/>
      <c r="AH194" s="22"/>
      <c r="AI194" s="22"/>
      <c r="AJ194" s="22"/>
      <c r="AK194" s="22"/>
      <c r="AL194" s="22"/>
      <c r="AM194" s="22"/>
      <c r="AN194" s="22"/>
      <c r="AO194" s="22"/>
      <c r="AP194" s="22"/>
      <c r="AQ194" s="22"/>
      <c r="AR194" s="22"/>
      <c r="AS194" s="22"/>
      <c r="AT194" s="22"/>
      <c r="AU194" s="22"/>
      <c r="AV194" s="22"/>
      <c r="AW194" s="22"/>
    </row>
    <row r="195" spans="2:49" x14ac:dyDescent="0.15">
      <c r="B195" s="22"/>
      <c r="C195" s="22"/>
      <c r="D195" s="22"/>
      <c r="E195" s="22"/>
      <c r="F195" s="22"/>
      <c r="G195" s="22"/>
      <c r="H195" s="22"/>
      <c r="I195" s="22"/>
      <c r="J195" s="22"/>
      <c r="K195" s="22"/>
      <c r="L195" s="22"/>
      <c r="M195" s="22"/>
      <c r="N195" s="22"/>
      <c r="O195" s="22"/>
      <c r="P195" s="22"/>
      <c r="Q195" s="22"/>
      <c r="R195" s="22"/>
      <c r="S195" s="22"/>
      <c r="T195" s="22"/>
      <c r="U195" s="22"/>
      <c r="V195" s="22"/>
      <c r="W195" s="22"/>
      <c r="X195" s="22"/>
      <c r="Y195" s="22"/>
      <c r="Z195" s="22"/>
      <c r="AA195" s="22"/>
      <c r="AB195" s="22"/>
      <c r="AC195" s="22"/>
      <c r="AD195" s="22"/>
      <c r="AE195" s="22"/>
      <c r="AF195" s="22"/>
      <c r="AG195" s="22"/>
      <c r="AH195" s="22"/>
      <c r="AI195" s="22"/>
      <c r="AJ195" s="22"/>
      <c r="AK195" s="22"/>
      <c r="AL195" s="22"/>
      <c r="AM195" s="22"/>
      <c r="AN195" s="22"/>
      <c r="AO195" s="22"/>
      <c r="AP195" s="22"/>
      <c r="AQ195" s="22"/>
      <c r="AR195" s="22"/>
      <c r="AS195" s="22"/>
      <c r="AT195" s="22"/>
      <c r="AU195" s="22"/>
      <c r="AV195" s="22"/>
      <c r="AW195" s="22"/>
    </row>
    <row r="196" spans="2:49" x14ac:dyDescent="0.15">
      <c r="B196" s="22"/>
      <c r="C196" s="22"/>
      <c r="D196" s="22"/>
      <c r="E196" s="22"/>
      <c r="F196" s="22"/>
      <c r="G196" s="22"/>
      <c r="H196" s="22"/>
      <c r="I196" s="22"/>
      <c r="J196" s="22"/>
      <c r="K196" s="22"/>
      <c r="L196" s="22"/>
      <c r="M196" s="22"/>
      <c r="N196" s="22"/>
      <c r="O196" s="22"/>
      <c r="P196" s="22"/>
      <c r="Q196" s="22"/>
      <c r="R196" s="22"/>
      <c r="S196" s="22"/>
      <c r="T196" s="22"/>
      <c r="U196" s="22"/>
      <c r="V196" s="22"/>
      <c r="W196" s="22"/>
      <c r="X196" s="22"/>
      <c r="Y196" s="22"/>
      <c r="Z196" s="22"/>
      <c r="AA196" s="22"/>
      <c r="AB196" s="22"/>
      <c r="AC196" s="22"/>
      <c r="AD196" s="22"/>
      <c r="AE196" s="22"/>
      <c r="AF196" s="22"/>
      <c r="AG196" s="22"/>
      <c r="AH196" s="22"/>
      <c r="AI196" s="22"/>
      <c r="AJ196" s="22"/>
      <c r="AK196" s="22"/>
      <c r="AL196" s="22"/>
      <c r="AM196" s="22"/>
      <c r="AN196" s="22"/>
      <c r="AO196" s="22"/>
      <c r="AP196" s="22"/>
      <c r="AQ196" s="22"/>
      <c r="AR196" s="22"/>
      <c r="AS196" s="22"/>
      <c r="AT196" s="22"/>
      <c r="AU196" s="22"/>
      <c r="AV196" s="22"/>
      <c r="AW196" s="22"/>
    </row>
    <row r="197" spans="2:49" x14ac:dyDescent="0.15">
      <c r="B197" s="22"/>
      <c r="C197" s="22"/>
      <c r="D197" s="22"/>
      <c r="E197" s="22"/>
      <c r="F197" s="22"/>
      <c r="G197" s="22"/>
      <c r="H197" s="22"/>
      <c r="I197" s="22"/>
      <c r="J197" s="22"/>
      <c r="K197" s="22"/>
      <c r="L197" s="22"/>
      <c r="M197" s="22"/>
      <c r="N197" s="22"/>
      <c r="O197" s="22"/>
      <c r="P197" s="22"/>
      <c r="Q197" s="22"/>
      <c r="R197" s="22"/>
      <c r="S197" s="22"/>
      <c r="T197" s="22"/>
      <c r="U197" s="22"/>
      <c r="V197" s="22"/>
      <c r="W197" s="22"/>
      <c r="X197" s="22"/>
      <c r="Y197" s="22"/>
      <c r="Z197" s="22"/>
      <c r="AA197" s="22"/>
      <c r="AB197" s="22"/>
      <c r="AC197" s="22"/>
      <c r="AD197" s="22"/>
      <c r="AE197" s="22"/>
      <c r="AF197" s="22"/>
      <c r="AG197" s="22"/>
      <c r="AH197" s="22"/>
      <c r="AI197" s="22"/>
      <c r="AJ197" s="22"/>
      <c r="AK197" s="22"/>
      <c r="AL197" s="22"/>
      <c r="AM197" s="22"/>
      <c r="AN197" s="22"/>
      <c r="AO197" s="22"/>
      <c r="AP197" s="22"/>
      <c r="AQ197" s="22"/>
      <c r="AR197" s="22"/>
      <c r="AS197" s="22"/>
      <c r="AT197" s="22"/>
      <c r="AU197" s="22"/>
      <c r="AV197" s="22"/>
      <c r="AW197" s="22"/>
    </row>
    <row r="198" spans="2:49" x14ac:dyDescent="0.15">
      <c r="B198" s="22"/>
      <c r="C198" s="22"/>
      <c r="D198" s="22"/>
      <c r="E198" s="22"/>
      <c r="F198" s="22"/>
      <c r="G198" s="22"/>
      <c r="H198" s="22"/>
      <c r="I198" s="22"/>
      <c r="J198" s="22"/>
      <c r="K198" s="22"/>
      <c r="L198" s="22"/>
      <c r="M198" s="22"/>
      <c r="N198" s="22"/>
      <c r="O198" s="22"/>
      <c r="P198" s="22"/>
      <c r="Q198" s="22"/>
      <c r="R198" s="22"/>
      <c r="S198" s="22"/>
      <c r="T198" s="22"/>
      <c r="U198" s="22"/>
      <c r="V198" s="22"/>
      <c r="W198" s="22"/>
      <c r="X198" s="22"/>
      <c r="Y198" s="22"/>
      <c r="Z198" s="22"/>
      <c r="AA198" s="22"/>
      <c r="AB198" s="22"/>
      <c r="AC198" s="22"/>
      <c r="AD198" s="22"/>
      <c r="AE198" s="22"/>
      <c r="AF198" s="22"/>
      <c r="AG198" s="22"/>
      <c r="AH198" s="22"/>
      <c r="AI198" s="22"/>
      <c r="AJ198" s="22"/>
      <c r="AK198" s="22"/>
      <c r="AL198" s="22"/>
      <c r="AM198" s="22"/>
      <c r="AN198" s="22"/>
      <c r="AO198" s="22"/>
      <c r="AP198" s="22"/>
      <c r="AQ198" s="22"/>
      <c r="AR198" s="22"/>
      <c r="AS198" s="22"/>
      <c r="AT198" s="22"/>
      <c r="AU198" s="22"/>
      <c r="AV198" s="22"/>
      <c r="AW198" s="22"/>
    </row>
    <row r="199" spans="2:49" x14ac:dyDescent="0.15">
      <c r="B199" s="22"/>
      <c r="C199" s="22"/>
      <c r="D199" s="22"/>
      <c r="E199" s="22"/>
      <c r="F199" s="22"/>
      <c r="G199" s="22"/>
      <c r="H199" s="22"/>
      <c r="I199" s="22"/>
      <c r="J199" s="22"/>
      <c r="K199" s="22"/>
      <c r="L199" s="22"/>
      <c r="M199" s="22"/>
      <c r="N199" s="22"/>
      <c r="O199" s="22"/>
      <c r="P199" s="22"/>
      <c r="Q199" s="22"/>
      <c r="R199" s="22"/>
      <c r="S199" s="22"/>
      <c r="T199" s="22"/>
      <c r="U199" s="22"/>
      <c r="V199" s="22"/>
      <c r="W199" s="22"/>
      <c r="X199" s="22"/>
      <c r="Y199" s="22"/>
      <c r="Z199" s="22"/>
      <c r="AA199" s="22"/>
      <c r="AB199" s="22"/>
      <c r="AC199" s="22"/>
      <c r="AD199" s="22"/>
      <c r="AE199" s="22"/>
      <c r="AF199" s="22"/>
      <c r="AG199" s="22"/>
      <c r="AH199" s="22"/>
      <c r="AI199" s="22"/>
      <c r="AJ199" s="22"/>
      <c r="AK199" s="22"/>
      <c r="AL199" s="22"/>
      <c r="AM199" s="22"/>
      <c r="AN199" s="22"/>
      <c r="AO199" s="22"/>
      <c r="AP199" s="22"/>
      <c r="AQ199" s="22"/>
      <c r="AR199" s="22"/>
      <c r="AS199" s="22"/>
      <c r="AT199" s="22"/>
      <c r="AU199" s="22"/>
      <c r="AV199" s="22"/>
      <c r="AW199" s="22"/>
    </row>
    <row r="200" spans="2:49" x14ac:dyDescent="0.15">
      <c r="B200" s="22"/>
      <c r="C200" s="22"/>
      <c r="D200" s="22"/>
      <c r="E200" s="22"/>
      <c r="F200" s="22"/>
      <c r="G200" s="22"/>
      <c r="H200" s="22"/>
      <c r="I200" s="22"/>
      <c r="J200" s="22"/>
      <c r="K200" s="22"/>
      <c r="L200" s="22"/>
      <c r="M200" s="22"/>
      <c r="N200" s="22"/>
      <c r="O200" s="22"/>
      <c r="P200" s="22"/>
      <c r="Q200" s="22"/>
      <c r="R200" s="22"/>
      <c r="S200" s="22"/>
      <c r="T200" s="22"/>
      <c r="U200" s="22"/>
      <c r="V200" s="22"/>
      <c r="W200" s="22"/>
      <c r="X200" s="22"/>
      <c r="Y200" s="22"/>
      <c r="Z200" s="22"/>
      <c r="AA200" s="22"/>
      <c r="AB200" s="22"/>
      <c r="AC200" s="22"/>
      <c r="AD200" s="22"/>
      <c r="AE200" s="22"/>
      <c r="AF200" s="22"/>
      <c r="AG200" s="22"/>
      <c r="AH200" s="22"/>
      <c r="AI200" s="22"/>
      <c r="AJ200" s="22"/>
      <c r="AK200" s="22"/>
      <c r="AL200" s="22"/>
      <c r="AM200" s="22"/>
      <c r="AN200" s="22"/>
      <c r="AO200" s="22"/>
      <c r="AP200" s="22"/>
      <c r="AQ200" s="22"/>
      <c r="AR200" s="22"/>
      <c r="AS200" s="22"/>
      <c r="AT200" s="22"/>
      <c r="AU200" s="22"/>
      <c r="AV200" s="22"/>
      <c r="AW200" s="22"/>
    </row>
    <row r="201" spans="2:49" x14ac:dyDescent="0.15">
      <c r="B201" s="22"/>
      <c r="C201" s="22"/>
      <c r="D201" s="22"/>
      <c r="E201" s="22"/>
      <c r="F201" s="22"/>
      <c r="G201" s="22"/>
      <c r="H201" s="22"/>
      <c r="I201" s="22"/>
      <c r="J201" s="22"/>
      <c r="K201" s="22"/>
      <c r="L201" s="22"/>
      <c r="M201" s="22"/>
      <c r="N201" s="22"/>
      <c r="O201" s="22"/>
      <c r="P201" s="22"/>
      <c r="Q201" s="22"/>
      <c r="R201" s="22"/>
      <c r="S201" s="22"/>
      <c r="T201" s="22"/>
      <c r="U201" s="22"/>
      <c r="V201" s="22"/>
      <c r="W201" s="22"/>
      <c r="X201" s="22"/>
      <c r="Y201" s="22"/>
      <c r="Z201" s="22"/>
      <c r="AA201" s="22"/>
      <c r="AB201" s="22"/>
      <c r="AC201" s="22"/>
      <c r="AD201" s="22"/>
      <c r="AE201" s="22"/>
      <c r="AF201" s="22"/>
      <c r="AG201" s="22"/>
      <c r="AH201" s="22"/>
      <c r="AI201" s="22"/>
      <c r="AJ201" s="22"/>
      <c r="AK201" s="22"/>
      <c r="AL201" s="22"/>
      <c r="AM201" s="22"/>
      <c r="AN201" s="22"/>
      <c r="AO201" s="22"/>
      <c r="AP201" s="22"/>
      <c r="AQ201" s="22"/>
      <c r="AR201" s="22"/>
      <c r="AS201" s="22"/>
      <c r="AT201" s="22"/>
      <c r="AU201" s="22"/>
      <c r="AV201" s="22"/>
      <c r="AW201" s="22"/>
    </row>
    <row r="202" spans="2:49" x14ac:dyDescent="0.15">
      <c r="B202" s="22"/>
      <c r="C202" s="22"/>
      <c r="D202" s="22"/>
      <c r="E202" s="22"/>
      <c r="F202" s="22"/>
      <c r="G202" s="22"/>
      <c r="H202" s="22"/>
      <c r="I202" s="22"/>
      <c r="J202" s="22"/>
      <c r="K202" s="22"/>
      <c r="L202" s="22"/>
      <c r="M202" s="22"/>
      <c r="N202" s="22"/>
      <c r="O202" s="22"/>
      <c r="P202" s="22"/>
      <c r="Q202" s="22"/>
      <c r="R202" s="22"/>
      <c r="S202" s="22"/>
      <c r="T202" s="22"/>
      <c r="U202" s="22"/>
      <c r="V202" s="22"/>
      <c r="W202" s="22"/>
      <c r="X202" s="22"/>
      <c r="Y202" s="22"/>
      <c r="Z202" s="22"/>
      <c r="AA202" s="22"/>
      <c r="AB202" s="22"/>
      <c r="AC202" s="22"/>
      <c r="AD202" s="22"/>
      <c r="AE202" s="22"/>
      <c r="AF202" s="22"/>
      <c r="AG202" s="22"/>
      <c r="AH202" s="22"/>
      <c r="AI202" s="22"/>
      <c r="AJ202" s="22"/>
      <c r="AK202" s="22"/>
      <c r="AL202" s="22"/>
      <c r="AM202" s="22"/>
      <c r="AN202" s="22"/>
      <c r="AO202" s="22"/>
      <c r="AP202" s="22"/>
      <c r="AQ202" s="22"/>
      <c r="AR202" s="22"/>
      <c r="AS202" s="22"/>
      <c r="AT202" s="22"/>
      <c r="AU202" s="22"/>
      <c r="AV202" s="22"/>
      <c r="AW202" s="22"/>
    </row>
    <row r="203" spans="2:49" x14ac:dyDescent="0.15">
      <c r="B203" s="22"/>
      <c r="C203" s="22"/>
      <c r="D203" s="22"/>
      <c r="E203" s="22"/>
      <c r="F203" s="22"/>
      <c r="G203" s="22"/>
      <c r="H203" s="22"/>
      <c r="I203" s="22"/>
      <c r="J203" s="22"/>
      <c r="K203" s="22"/>
      <c r="L203" s="22"/>
      <c r="M203" s="22"/>
      <c r="N203" s="22"/>
      <c r="O203" s="22"/>
      <c r="P203" s="22"/>
      <c r="Q203" s="22"/>
      <c r="R203" s="22"/>
      <c r="S203" s="22"/>
      <c r="T203" s="22"/>
      <c r="U203" s="22"/>
      <c r="V203" s="22"/>
      <c r="W203" s="22"/>
      <c r="X203" s="22"/>
      <c r="Y203" s="22"/>
      <c r="Z203" s="22"/>
      <c r="AA203" s="22"/>
      <c r="AB203" s="22"/>
      <c r="AC203" s="22"/>
      <c r="AD203" s="22"/>
      <c r="AE203" s="22"/>
      <c r="AF203" s="22"/>
      <c r="AG203" s="22"/>
      <c r="AH203" s="22"/>
      <c r="AI203" s="22"/>
      <c r="AJ203" s="22"/>
      <c r="AK203" s="22"/>
      <c r="AL203" s="22"/>
      <c r="AM203" s="22"/>
      <c r="AN203" s="22"/>
      <c r="AO203" s="22"/>
      <c r="AP203" s="22"/>
      <c r="AQ203" s="22"/>
      <c r="AR203" s="22"/>
      <c r="AS203" s="22"/>
      <c r="AT203" s="22"/>
      <c r="AU203" s="22"/>
      <c r="AV203" s="22"/>
      <c r="AW203" s="22"/>
    </row>
    <row r="204" spans="2:49" x14ac:dyDescent="0.15">
      <c r="B204" s="22"/>
      <c r="C204" s="22"/>
      <c r="D204" s="22"/>
      <c r="E204" s="22"/>
      <c r="F204" s="22"/>
      <c r="G204" s="22"/>
      <c r="H204" s="22"/>
      <c r="I204" s="22"/>
      <c r="J204" s="22"/>
      <c r="K204" s="22"/>
      <c r="L204" s="22"/>
      <c r="M204" s="22"/>
      <c r="N204" s="22"/>
      <c r="O204" s="22"/>
      <c r="P204" s="22"/>
      <c r="Q204" s="22"/>
      <c r="R204" s="22"/>
      <c r="S204" s="22"/>
      <c r="T204" s="22"/>
      <c r="U204" s="22"/>
      <c r="V204" s="22"/>
      <c r="W204" s="22"/>
      <c r="X204" s="22"/>
      <c r="Y204" s="22"/>
      <c r="Z204" s="22"/>
      <c r="AA204" s="22"/>
      <c r="AB204" s="22"/>
      <c r="AC204" s="22"/>
      <c r="AD204" s="22"/>
      <c r="AE204" s="22"/>
      <c r="AF204" s="22"/>
      <c r="AG204" s="22"/>
      <c r="AH204" s="22"/>
      <c r="AI204" s="22"/>
      <c r="AJ204" s="22"/>
      <c r="AK204" s="22"/>
      <c r="AL204" s="22"/>
      <c r="AM204" s="22"/>
      <c r="AN204" s="22"/>
      <c r="AO204" s="22"/>
      <c r="AP204" s="22"/>
      <c r="AQ204" s="22"/>
      <c r="AR204" s="22"/>
      <c r="AS204" s="22"/>
      <c r="AT204" s="22"/>
      <c r="AU204" s="22"/>
      <c r="AV204" s="22"/>
      <c r="AW204" s="22"/>
    </row>
    <row r="205" spans="2:49" x14ac:dyDescent="0.15">
      <c r="B205" s="22"/>
      <c r="C205" s="22"/>
      <c r="D205" s="22"/>
      <c r="E205" s="22"/>
      <c r="F205" s="22"/>
      <c r="G205" s="22"/>
      <c r="H205" s="22"/>
      <c r="I205" s="22"/>
      <c r="J205" s="22"/>
      <c r="K205" s="22"/>
      <c r="L205" s="22"/>
      <c r="M205" s="22"/>
      <c r="N205" s="22"/>
      <c r="O205" s="22"/>
      <c r="P205" s="22"/>
      <c r="Q205" s="22"/>
      <c r="R205" s="22"/>
      <c r="S205" s="22"/>
      <c r="T205" s="22"/>
      <c r="U205" s="22"/>
      <c r="V205" s="22"/>
      <c r="W205" s="22"/>
      <c r="X205" s="22"/>
      <c r="Y205" s="22"/>
      <c r="Z205" s="22"/>
      <c r="AA205" s="22"/>
      <c r="AB205" s="22"/>
      <c r="AC205" s="22"/>
      <c r="AD205" s="22"/>
      <c r="AE205" s="22"/>
      <c r="AF205" s="22"/>
      <c r="AG205" s="22"/>
      <c r="AH205" s="22"/>
      <c r="AI205" s="22"/>
      <c r="AJ205" s="22"/>
      <c r="AK205" s="22"/>
      <c r="AL205" s="22"/>
      <c r="AM205" s="22"/>
      <c r="AN205" s="22"/>
      <c r="AO205" s="22"/>
      <c r="AP205" s="22"/>
      <c r="AQ205" s="22"/>
      <c r="AR205" s="22"/>
      <c r="AS205" s="22"/>
      <c r="AT205" s="22"/>
      <c r="AU205" s="22"/>
      <c r="AV205" s="22"/>
      <c r="AW205" s="22"/>
    </row>
    <row r="206" spans="2:49" x14ac:dyDescent="0.15">
      <c r="B206" s="22"/>
      <c r="C206" s="22"/>
      <c r="D206" s="22"/>
      <c r="E206" s="22"/>
      <c r="F206" s="22"/>
      <c r="G206" s="22"/>
      <c r="H206" s="22"/>
      <c r="I206" s="22"/>
      <c r="J206" s="22"/>
      <c r="K206" s="22"/>
      <c r="L206" s="22"/>
      <c r="M206" s="22"/>
      <c r="N206" s="22"/>
      <c r="O206" s="22"/>
      <c r="P206" s="22"/>
      <c r="Q206" s="22"/>
      <c r="R206" s="22"/>
      <c r="S206" s="22"/>
      <c r="T206" s="22"/>
      <c r="U206" s="22"/>
      <c r="V206" s="22"/>
      <c r="W206" s="22"/>
      <c r="X206" s="22"/>
      <c r="Y206" s="22"/>
      <c r="Z206" s="22"/>
      <c r="AA206" s="22"/>
      <c r="AB206" s="22"/>
      <c r="AC206" s="22"/>
      <c r="AD206" s="22"/>
      <c r="AE206" s="22"/>
      <c r="AF206" s="22"/>
      <c r="AG206" s="22"/>
      <c r="AH206" s="22"/>
      <c r="AI206" s="22"/>
      <c r="AJ206" s="22"/>
      <c r="AK206" s="22"/>
      <c r="AL206" s="22"/>
      <c r="AM206" s="22"/>
      <c r="AN206" s="22"/>
      <c r="AO206" s="22"/>
      <c r="AP206" s="22"/>
      <c r="AQ206" s="22"/>
      <c r="AR206" s="22"/>
      <c r="AS206" s="22"/>
      <c r="AT206" s="22"/>
      <c r="AU206" s="22"/>
      <c r="AV206" s="22"/>
      <c r="AW206" s="22"/>
    </row>
    <row r="207" spans="2:49" x14ac:dyDescent="0.15">
      <c r="B207" s="22"/>
      <c r="C207" s="22"/>
      <c r="D207" s="22"/>
      <c r="E207" s="22"/>
      <c r="F207" s="22"/>
      <c r="G207" s="22"/>
      <c r="H207" s="22"/>
      <c r="I207" s="22"/>
      <c r="J207" s="22"/>
      <c r="K207" s="22"/>
      <c r="L207" s="22"/>
      <c r="M207" s="22"/>
      <c r="N207" s="22"/>
      <c r="O207" s="22"/>
      <c r="P207" s="22"/>
      <c r="Q207" s="22"/>
      <c r="R207" s="22"/>
      <c r="S207" s="22"/>
      <c r="T207" s="22"/>
      <c r="U207" s="22"/>
      <c r="V207" s="22"/>
      <c r="W207" s="22"/>
      <c r="X207" s="22"/>
      <c r="Y207" s="22"/>
      <c r="Z207" s="22"/>
      <c r="AA207" s="22"/>
      <c r="AB207" s="22"/>
      <c r="AC207" s="22"/>
      <c r="AD207" s="22"/>
      <c r="AE207" s="22"/>
      <c r="AF207" s="22"/>
      <c r="AG207" s="22"/>
      <c r="AH207" s="22"/>
      <c r="AI207" s="22"/>
      <c r="AJ207" s="22"/>
      <c r="AK207" s="22"/>
      <c r="AL207" s="22"/>
      <c r="AM207" s="22"/>
      <c r="AN207" s="22"/>
      <c r="AO207" s="22"/>
      <c r="AP207" s="22"/>
      <c r="AQ207" s="22"/>
      <c r="AR207" s="22"/>
      <c r="AS207" s="22"/>
      <c r="AT207" s="22"/>
      <c r="AU207" s="22"/>
      <c r="AV207" s="22"/>
      <c r="AW207" s="22"/>
    </row>
    <row r="208" spans="2:49" x14ac:dyDescent="0.15">
      <c r="B208" s="22"/>
      <c r="C208" s="22"/>
      <c r="D208" s="22"/>
      <c r="E208" s="22"/>
      <c r="F208" s="22"/>
      <c r="G208" s="22"/>
      <c r="H208" s="22"/>
      <c r="I208" s="22"/>
      <c r="J208" s="22"/>
      <c r="K208" s="22"/>
      <c r="L208" s="22"/>
      <c r="M208" s="22"/>
      <c r="N208" s="22"/>
      <c r="O208" s="22"/>
      <c r="P208" s="22"/>
      <c r="Q208" s="22"/>
      <c r="R208" s="22"/>
      <c r="S208" s="22"/>
      <c r="T208" s="22"/>
      <c r="U208" s="22"/>
      <c r="V208" s="22"/>
      <c r="W208" s="22"/>
      <c r="X208" s="22"/>
      <c r="Y208" s="22"/>
      <c r="Z208" s="22"/>
      <c r="AA208" s="22"/>
      <c r="AB208" s="22"/>
      <c r="AC208" s="22"/>
      <c r="AD208" s="22"/>
      <c r="AE208" s="22"/>
      <c r="AF208" s="22"/>
      <c r="AG208" s="22"/>
      <c r="AH208" s="22"/>
      <c r="AI208" s="22"/>
      <c r="AJ208" s="22"/>
      <c r="AK208" s="22"/>
      <c r="AL208" s="22"/>
      <c r="AM208" s="22"/>
      <c r="AN208" s="22"/>
      <c r="AO208" s="22"/>
      <c r="AP208" s="22"/>
      <c r="AQ208" s="22"/>
      <c r="AR208" s="22"/>
      <c r="AS208" s="22"/>
      <c r="AT208" s="22"/>
      <c r="AU208" s="22"/>
      <c r="AV208" s="22"/>
      <c r="AW208" s="22"/>
    </row>
    <row r="209" spans="2:49" x14ac:dyDescent="0.15">
      <c r="B209" s="22"/>
      <c r="C209" s="22"/>
      <c r="D209" s="22"/>
      <c r="E209" s="22"/>
      <c r="F209" s="22"/>
      <c r="G209" s="22"/>
      <c r="H209" s="22"/>
      <c r="I209" s="22"/>
      <c r="J209" s="22"/>
      <c r="K209" s="22"/>
      <c r="L209" s="22"/>
      <c r="M209" s="22"/>
      <c r="N209" s="22"/>
      <c r="O209" s="22"/>
      <c r="P209" s="22"/>
      <c r="Q209" s="22"/>
      <c r="R209" s="22"/>
      <c r="S209" s="22"/>
      <c r="T209" s="22"/>
      <c r="U209" s="22"/>
      <c r="V209" s="22"/>
      <c r="W209" s="22"/>
      <c r="X209" s="22"/>
      <c r="Y209" s="22"/>
      <c r="Z209" s="22"/>
      <c r="AA209" s="22"/>
      <c r="AB209" s="22"/>
      <c r="AC209" s="22"/>
      <c r="AD209" s="22"/>
      <c r="AE209" s="22"/>
      <c r="AF209" s="22"/>
      <c r="AG209" s="22"/>
      <c r="AH209" s="22"/>
      <c r="AI209" s="22"/>
      <c r="AJ209" s="22"/>
      <c r="AK209" s="22"/>
      <c r="AL209" s="22"/>
      <c r="AM209" s="22"/>
      <c r="AN209" s="22"/>
      <c r="AO209" s="22"/>
      <c r="AP209" s="22"/>
      <c r="AQ209" s="22"/>
      <c r="AR209" s="22"/>
      <c r="AS209" s="22"/>
      <c r="AT209" s="22"/>
      <c r="AU209" s="22"/>
      <c r="AV209" s="22"/>
      <c r="AW209" s="22"/>
    </row>
    <row r="210" spans="2:49" x14ac:dyDescent="0.15">
      <c r="B210" s="22"/>
      <c r="C210" s="22"/>
      <c r="D210" s="22"/>
      <c r="E210" s="22"/>
      <c r="F210" s="22"/>
      <c r="G210" s="22"/>
      <c r="H210" s="22"/>
      <c r="I210" s="22"/>
      <c r="J210" s="22"/>
      <c r="K210" s="22"/>
      <c r="L210" s="22"/>
      <c r="M210" s="22"/>
      <c r="N210" s="22"/>
      <c r="O210" s="22"/>
      <c r="P210" s="22"/>
      <c r="Q210" s="22"/>
      <c r="R210" s="22"/>
      <c r="S210" s="22"/>
      <c r="T210" s="22"/>
      <c r="U210" s="22"/>
      <c r="V210" s="22"/>
      <c r="W210" s="22"/>
      <c r="X210" s="22"/>
      <c r="Y210" s="22"/>
      <c r="Z210" s="22"/>
      <c r="AA210" s="22"/>
      <c r="AB210" s="22"/>
      <c r="AC210" s="22"/>
      <c r="AD210" s="22"/>
      <c r="AE210" s="22"/>
      <c r="AF210" s="22"/>
      <c r="AG210" s="22"/>
      <c r="AH210" s="22"/>
      <c r="AI210" s="22"/>
      <c r="AJ210" s="22"/>
      <c r="AK210" s="22"/>
      <c r="AL210" s="22"/>
      <c r="AM210" s="22"/>
      <c r="AN210" s="22"/>
      <c r="AO210" s="22"/>
      <c r="AP210" s="22"/>
      <c r="AQ210" s="22"/>
      <c r="AR210" s="22"/>
      <c r="AS210" s="22"/>
      <c r="AT210" s="22"/>
      <c r="AU210" s="22"/>
      <c r="AV210" s="22"/>
      <c r="AW210" s="22"/>
    </row>
    <row r="211" spans="2:49" x14ac:dyDescent="0.15">
      <c r="B211" s="22"/>
      <c r="C211" s="22"/>
      <c r="D211" s="22"/>
      <c r="E211" s="22"/>
      <c r="F211" s="22"/>
      <c r="G211" s="22"/>
      <c r="H211" s="22"/>
      <c r="I211" s="22"/>
      <c r="J211" s="22"/>
      <c r="K211" s="22"/>
      <c r="L211" s="22"/>
      <c r="M211" s="22"/>
      <c r="N211" s="22"/>
      <c r="O211" s="22"/>
      <c r="P211" s="22"/>
      <c r="Q211" s="22"/>
      <c r="R211" s="22"/>
      <c r="S211" s="22"/>
      <c r="T211" s="22"/>
      <c r="U211" s="22"/>
      <c r="V211" s="22"/>
      <c r="W211" s="22"/>
      <c r="X211" s="22"/>
      <c r="Y211" s="22"/>
      <c r="Z211" s="22"/>
      <c r="AA211" s="22"/>
      <c r="AB211" s="22"/>
      <c r="AC211" s="22"/>
      <c r="AD211" s="22"/>
      <c r="AE211" s="22"/>
      <c r="AF211" s="22"/>
      <c r="AG211" s="22"/>
      <c r="AH211" s="22"/>
      <c r="AI211" s="22"/>
      <c r="AJ211" s="22"/>
      <c r="AK211" s="22"/>
      <c r="AL211" s="22"/>
      <c r="AM211" s="22"/>
      <c r="AN211" s="22"/>
      <c r="AO211" s="22"/>
      <c r="AP211" s="22"/>
      <c r="AQ211" s="22"/>
      <c r="AR211" s="22"/>
      <c r="AS211" s="22"/>
      <c r="AT211" s="22"/>
      <c r="AU211" s="22"/>
      <c r="AV211" s="22"/>
      <c r="AW211" s="22"/>
    </row>
    <row r="212" spans="2:49" x14ac:dyDescent="0.15">
      <c r="B212" s="22"/>
      <c r="C212" s="22"/>
      <c r="D212" s="22"/>
      <c r="E212" s="22"/>
      <c r="F212" s="22"/>
      <c r="G212" s="22"/>
      <c r="H212" s="22"/>
      <c r="I212" s="22"/>
      <c r="J212" s="22"/>
      <c r="K212" s="22"/>
      <c r="L212" s="22"/>
      <c r="M212" s="22"/>
      <c r="N212" s="22"/>
      <c r="O212" s="22"/>
      <c r="P212" s="22"/>
      <c r="Q212" s="22"/>
      <c r="R212" s="22"/>
      <c r="S212" s="22"/>
      <c r="T212" s="22"/>
      <c r="U212" s="22"/>
      <c r="V212" s="22"/>
      <c r="W212" s="22"/>
      <c r="X212" s="22"/>
      <c r="Y212" s="22"/>
      <c r="Z212" s="22"/>
      <c r="AA212" s="22"/>
      <c r="AB212" s="22"/>
      <c r="AC212" s="22"/>
      <c r="AD212" s="22"/>
      <c r="AE212" s="22"/>
      <c r="AF212" s="22"/>
      <c r="AG212" s="22"/>
      <c r="AH212" s="22"/>
      <c r="AI212" s="22"/>
      <c r="AJ212" s="22"/>
      <c r="AK212" s="22"/>
      <c r="AL212" s="22"/>
      <c r="AM212" s="22"/>
      <c r="AN212" s="22"/>
      <c r="AO212" s="22"/>
      <c r="AP212" s="22"/>
      <c r="AQ212" s="22"/>
      <c r="AR212" s="22"/>
      <c r="AS212" s="22"/>
      <c r="AT212" s="22"/>
      <c r="AU212" s="22"/>
      <c r="AV212" s="22"/>
      <c r="AW212" s="22"/>
    </row>
    <row r="213" spans="2:49" x14ac:dyDescent="0.15">
      <c r="B213" s="22"/>
      <c r="C213" s="22"/>
      <c r="D213" s="22"/>
      <c r="E213" s="22"/>
      <c r="F213" s="22"/>
      <c r="G213" s="22"/>
      <c r="H213" s="22"/>
      <c r="I213" s="22"/>
      <c r="J213" s="22"/>
      <c r="K213" s="22"/>
      <c r="L213" s="22"/>
      <c r="M213" s="22"/>
      <c r="N213" s="22"/>
      <c r="O213" s="22"/>
      <c r="P213" s="22"/>
      <c r="Q213" s="22"/>
      <c r="R213" s="22"/>
      <c r="S213" s="22"/>
      <c r="T213" s="22"/>
      <c r="U213" s="22"/>
      <c r="V213" s="22"/>
      <c r="W213" s="22"/>
      <c r="X213" s="22"/>
      <c r="Y213" s="22"/>
      <c r="Z213" s="22"/>
      <c r="AA213" s="22"/>
      <c r="AB213" s="22"/>
      <c r="AC213" s="22"/>
      <c r="AD213" s="22"/>
      <c r="AE213" s="22"/>
      <c r="AF213" s="22"/>
      <c r="AG213" s="22"/>
      <c r="AH213" s="22"/>
      <c r="AI213" s="22"/>
      <c r="AJ213" s="22"/>
      <c r="AK213" s="22"/>
      <c r="AL213" s="22"/>
      <c r="AM213" s="22"/>
      <c r="AN213" s="22"/>
      <c r="AO213" s="22"/>
      <c r="AP213" s="22"/>
      <c r="AQ213" s="22"/>
      <c r="AR213" s="22"/>
      <c r="AS213" s="22"/>
      <c r="AT213" s="22"/>
      <c r="AU213" s="22"/>
      <c r="AV213" s="22"/>
      <c r="AW213" s="22"/>
    </row>
    <row r="214" spans="2:49" x14ac:dyDescent="0.15">
      <c r="B214" s="22"/>
      <c r="C214" s="22"/>
      <c r="D214" s="22"/>
      <c r="E214" s="22"/>
      <c r="F214" s="22"/>
      <c r="G214" s="22"/>
      <c r="H214" s="22"/>
      <c r="I214" s="22"/>
      <c r="J214" s="22"/>
      <c r="K214" s="22"/>
      <c r="L214" s="22"/>
      <c r="M214" s="22"/>
      <c r="N214" s="22"/>
      <c r="O214" s="22"/>
      <c r="P214" s="22"/>
      <c r="Q214" s="22"/>
      <c r="R214" s="22"/>
      <c r="S214" s="22"/>
      <c r="T214" s="22"/>
      <c r="U214" s="22"/>
      <c r="V214" s="22"/>
      <c r="W214" s="22"/>
      <c r="X214" s="22"/>
      <c r="Y214" s="22"/>
      <c r="Z214" s="22"/>
      <c r="AA214" s="22"/>
      <c r="AB214" s="22"/>
      <c r="AC214" s="22"/>
      <c r="AD214" s="22"/>
      <c r="AE214" s="22"/>
      <c r="AF214" s="22"/>
      <c r="AG214" s="22"/>
      <c r="AH214" s="22"/>
      <c r="AI214" s="22"/>
      <c r="AJ214" s="22"/>
      <c r="AK214" s="22"/>
      <c r="AL214" s="22"/>
      <c r="AM214" s="22"/>
      <c r="AN214" s="22"/>
      <c r="AO214" s="22"/>
      <c r="AP214" s="22"/>
      <c r="AQ214" s="22"/>
      <c r="AR214" s="22"/>
      <c r="AS214" s="22"/>
      <c r="AT214" s="22"/>
      <c r="AU214" s="22"/>
      <c r="AV214" s="22"/>
      <c r="AW214" s="22"/>
    </row>
    <row r="215" spans="2:49" x14ac:dyDescent="0.15">
      <c r="B215" s="22"/>
      <c r="C215" s="22"/>
      <c r="D215" s="22"/>
      <c r="E215" s="22"/>
      <c r="F215" s="22"/>
      <c r="G215" s="22"/>
      <c r="H215" s="22"/>
      <c r="I215" s="22"/>
      <c r="J215" s="22"/>
      <c r="K215" s="22"/>
      <c r="L215" s="22"/>
      <c r="M215" s="22"/>
      <c r="N215" s="22"/>
      <c r="O215" s="22"/>
      <c r="P215" s="22"/>
      <c r="Q215" s="22"/>
      <c r="R215" s="22"/>
      <c r="S215" s="22"/>
      <c r="T215" s="22"/>
      <c r="U215" s="22"/>
      <c r="V215" s="22"/>
      <c r="W215" s="22"/>
      <c r="X215" s="22"/>
      <c r="Y215" s="22"/>
      <c r="Z215" s="22"/>
      <c r="AA215" s="22"/>
      <c r="AB215" s="22"/>
      <c r="AC215" s="22"/>
      <c r="AD215" s="22"/>
      <c r="AE215" s="22"/>
      <c r="AF215" s="22"/>
      <c r="AG215" s="22"/>
      <c r="AH215" s="22"/>
      <c r="AI215" s="22"/>
      <c r="AJ215" s="22"/>
      <c r="AK215" s="22"/>
      <c r="AL215" s="22"/>
      <c r="AM215" s="22"/>
      <c r="AN215" s="22"/>
      <c r="AO215" s="22"/>
      <c r="AP215" s="22"/>
      <c r="AQ215" s="22"/>
      <c r="AR215" s="22"/>
      <c r="AS215" s="22"/>
      <c r="AT215" s="22"/>
      <c r="AU215" s="22"/>
      <c r="AV215" s="22"/>
      <c r="AW215" s="22"/>
    </row>
    <row r="216" spans="2:49" x14ac:dyDescent="0.15">
      <c r="B216" s="22"/>
      <c r="C216" s="22"/>
      <c r="D216" s="22"/>
      <c r="E216" s="22"/>
      <c r="F216" s="22"/>
      <c r="G216" s="22"/>
      <c r="H216" s="22"/>
      <c r="I216" s="22"/>
      <c r="J216" s="22"/>
      <c r="K216" s="22"/>
      <c r="L216" s="22"/>
      <c r="M216" s="22"/>
      <c r="N216" s="22"/>
      <c r="O216" s="22"/>
      <c r="P216" s="22"/>
      <c r="Q216" s="22"/>
      <c r="R216" s="22"/>
      <c r="S216" s="22"/>
      <c r="T216" s="22"/>
      <c r="U216" s="22"/>
      <c r="V216" s="22"/>
      <c r="W216" s="22"/>
      <c r="X216" s="22"/>
      <c r="Y216" s="22"/>
      <c r="Z216" s="22"/>
      <c r="AA216" s="22"/>
      <c r="AB216" s="22"/>
      <c r="AC216" s="22"/>
      <c r="AD216" s="22"/>
      <c r="AE216" s="22"/>
      <c r="AF216" s="22"/>
      <c r="AG216" s="22"/>
      <c r="AH216" s="22"/>
      <c r="AI216" s="22"/>
      <c r="AJ216" s="22"/>
      <c r="AK216" s="22"/>
      <c r="AL216" s="22"/>
      <c r="AM216" s="22"/>
      <c r="AN216" s="22"/>
      <c r="AO216" s="22"/>
      <c r="AP216" s="22"/>
      <c r="AQ216" s="22"/>
      <c r="AR216" s="22"/>
      <c r="AS216" s="22"/>
      <c r="AT216" s="22"/>
      <c r="AU216" s="22"/>
      <c r="AV216" s="22"/>
      <c r="AW216" s="22"/>
    </row>
    <row r="217" spans="2:49" x14ac:dyDescent="0.15">
      <c r="B217" s="22"/>
      <c r="C217" s="22"/>
      <c r="D217" s="22"/>
      <c r="E217" s="22"/>
      <c r="F217" s="22"/>
      <c r="G217" s="22"/>
      <c r="H217" s="22"/>
      <c r="I217" s="22"/>
      <c r="J217" s="22"/>
      <c r="K217" s="22"/>
      <c r="L217" s="22"/>
      <c r="M217" s="22"/>
      <c r="N217" s="22"/>
      <c r="O217" s="22"/>
      <c r="P217" s="22"/>
      <c r="Q217" s="22"/>
      <c r="R217" s="22"/>
      <c r="S217" s="22"/>
      <c r="T217" s="22"/>
      <c r="U217" s="22"/>
      <c r="V217" s="22"/>
      <c r="W217" s="22"/>
      <c r="X217" s="22"/>
      <c r="Y217" s="22"/>
      <c r="Z217" s="22"/>
      <c r="AA217" s="22"/>
      <c r="AB217" s="22"/>
      <c r="AC217" s="22"/>
      <c r="AD217" s="22"/>
      <c r="AE217" s="22"/>
      <c r="AF217" s="22"/>
      <c r="AG217" s="22"/>
      <c r="AH217" s="22"/>
      <c r="AI217" s="22"/>
      <c r="AJ217" s="22"/>
      <c r="AK217" s="22"/>
      <c r="AL217" s="22"/>
      <c r="AM217" s="22"/>
      <c r="AN217" s="22"/>
      <c r="AO217" s="22"/>
      <c r="AP217" s="22"/>
      <c r="AQ217" s="22"/>
      <c r="AR217" s="22"/>
      <c r="AS217" s="22"/>
      <c r="AT217" s="22"/>
      <c r="AU217" s="22"/>
      <c r="AV217" s="22"/>
      <c r="AW217" s="22"/>
    </row>
    <row r="218" spans="2:49" x14ac:dyDescent="0.15">
      <c r="B218" s="22"/>
      <c r="C218" s="22"/>
      <c r="D218" s="22"/>
      <c r="E218" s="22"/>
      <c r="F218" s="22"/>
      <c r="G218" s="22"/>
      <c r="H218" s="22"/>
      <c r="I218" s="22"/>
      <c r="J218" s="22"/>
      <c r="K218" s="22"/>
      <c r="L218" s="22"/>
      <c r="M218" s="22"/>
      <c r="N218" s="22"/>
      <c r="O218" s="22"/>
      <c r="P218" s="22"/>
      <c r="Q218" s="22"/>
      <c r="R218" s="22"/>
      <c r="S218" s="22"/>
      <c r="T218" s="22"/>
      <c r="U218" s="22"/>
      <c r="V218" s="22"/>
      <c r="W218" s="22"/>
      <c r="X218" s="22"/>
      <c r="Y218" s="22"/>
      <c r="Z218" s="22"/>
      <c r="AA218" s="22"/>
      <c r="AB218" s="22"/>
      <c r="AC218" s="22"/>
      <c r="AD218" s="22"/>
      <c r="AE218" s="22"/>
      <c r="AF218" s="22"/>
      <c r="AG218" s="22"/>
      <c r="AH218" s="22"/>
      <c r="AI218" s="22"/>
      <c r="AJ218" s="22"/>
      <c r="AK218" s="22"/>
      <c r="AL218" s="22"/>
      <c r="AM218" s="22"/>
      <c r="AN218" s="22"/>
      <c r="AO218" s="22"/>
      <c r="AP218" s="22"/>
      <c r="AQ218" s="22"/>
      <c r="AR218" s="22"/>
      <c r="AS218" s="22"/>
      <c r="AT218" s="22"/>
      <c r="AU218" s="22"/>
      <c r="AV218" s="22"/>
      <c r="AW218" s="22"/>
    </row>
    <row r="219" spans="2:49" x14ac:dyDescent="0.15">
      <c r="B219" s="22"/>
      <c r="C219" s="22"/>
      <c r="D219" s="22"/>
      <c r="E219" s="22"/>
      <c r="F219" s="22"/>
      <c r="G219" s="22"/>
      <c r="H219" s="22"/>
      <c r="I219" s="22"/>
      <c r="J219" s="22"/>
      <c r="K219" s="22"/>
      <c r="L219" s="22"/>
      <c r="M219" s="22"/>
      <c r="N219" s="22"/>
      <c r="O219" s="22"/>
      <c r="P219" s="22"/>
      <c r="Q219" s="22"/>
      <c r="R219" s="22"/>
      <c r="S219" s="22"/>
      <c r="T219" s="22"/>
      <c r="U219" s="22"/>
      <c r="V219" s="22"/>
      <c r="W219" s="22"/>
      <c r="X219" s="22"/>
      <c r="Y219" s="22"/>
      <c r="Z219" s="22"/>
      <c r="AA219" s="22"/>
      <c r="AB219" s="22"/>
      <c r="AC219" s="22"/>
      <c r="AD219" s="22"/>
      <c r="AE219" s="22"/>
      <c r="AF219" s="22"/>
      <c r="AG219" s="22"/>
      <c r="AH219" s="22"/>
      <c r="AI219" s="22"/>
      <c r="AJ219" s="22"/>
      <c r="AK219" s="22"/>
      <c r="AL219" s="22"/>
      <c r="AM219" s="22"/>
      <c r="AN219" s="22"/>
      <c r="AO219" s="22"/>
      <c r="AP219" s="22"/>
      <c r="AQ219" s="22"/>
      <c r="AR219" s="22"/>
      <c r="AS219" s="22"/>
      <c r="AT219" s="22"/>
      <c r="AU219" s="22"/>
      <c r="AV219" s="22"/>
      <c r="AW219" s="22"/>
    </row>
    <row r="220" spans="2:49" x14ac:dyDescent="0.15">
      <c r="B220" s="22"/>
      <c r="C220" s="22"/>
      <c r="D220" s="22"/>
      <c r="E220" s="22"/>
      <c r="F220" s="22"/>
      <c r="G220" s="22"/>
      <c r="H220" s="22"/>
      <c r="I220" s="22"/>
      <c r="J220" s="22"/>
      <c r="K220" s="22"/>
      <c r="L220" s="22"/>
      <c r="M220" s="22"/>
      <c r="N220" s="22"/>
      <c r="O220" s="22"/>
      <c r="P220" s="22"/>
      <c r="Q220" s="22"/>
      <c r="R220" s="22"/>
      <c r="S220" s="22"/>
      <c r="T220" s="22"/>
      <c r="U220" s="22"/>
      <c r="V220" s="22"/>
      <c r="W220" s="22"/>
      <c r="X220" s="22"/>
      <c r="Y220" s="22"/>
      <c r="Z220" s="22"/>
      <c r="AA220" s="22"/>
      <c r="AB220" s="22"/>
      <c r="AC220" s="22"/>
      <c r="AD220" s="22"/>
      <c r="AE220" s="22"/>
      <c r="AF220" s="22"/>
      <c r="AG220" s="22"/>
      <c r="AH220" s="22"/>
      <c r="AI220" s="22"/>
      <c r="AJ220" s="22"/>
      <c r="AK220" s="22"/>
      <c r="AL220" s="22"/>
      <c r="AM220" s="22"/>
      <c r="AN220" s="22"/>
      <c r="AO220" s="22"/>
      <c r="AP220" s="22"/>
      <c r="AQ220" s="22"/>
      <c r="AR220" s="22"/>
      <c r="AS220" s="22"/>
      <c r="AT220" s="22"/>
      <c r="AU220" s="22"/>
      <c r="AV220" s="22"/>
      <c r="AW220" s="22"/>
    </row>
    <row r="221" spans="2:49" x14ac:dyDescent="0.15">
      <c r="B221" s="22"/>
      <c r="C221" s="22"/>
      <c r="D221" s="22"/>
      <c r="E221" s="22"/>
      <c r="F221" s="22"/>
      <c r="G221" s="22"/>
      <c r="H221" s="22"/>
      <c r="I221" s="22"/>
      <c r="J221" s="22"/>
      <c r="K221" s="22"/>
      <c r="L221" s="22"/>
      <c r="M221" s="22"/>
      <c r="N221" s="22"/>
      <c r="O221" s="22"/>
      <c r="P221" s="22"/>
      <c r="Q221" s="22"/>
      <c r="R221" s="22"/>
      <c r="S221" s="22"/>
      <c r="T221" s="22"/>
      <c r="U221" s="22"/>
      <c r="V221" s="22"/>
      <c r="W221" s="22"/>
      <c r="X221" s="22"/>
      <c r="Y221" s="22"/>
      <c r="Z221" s="22"/>
      <c r="AA221" s="22"/>
      <c r="AB221" s="22"/>
      <c r="AC221" s="22"/>
      <c r="AD221" s="22"/>
      <c r="AE221" s="22"/>
      <c r="AF221" s="22"/>
      <c r="AG221" s="22"/>
      <c r="AH221" s="22"/>
      <c r="AI221" s="22"/>
      <c r="AJ221" s="22"/>
      <c r="AK221" s="22"/>
      <c r="AL221" s="22"/>
      <c r="AM221" s="22"/>
      <c r="AN221" s="22"/>
      <c r="AO221" s="22"/>
      <c r="AP221" s="22"/>
      <c r="AQ221" s="22"/>
      <c r="AR221" s="22"/>
      <c r="AS221" s="22"/>
      <c r="AT221" s="22"/>
      <c r="AU221" s="22"/>
      <c r="AV221" s="22"/>
      <c r="AW221" s="22"/>
    </row>
    <row r="222" spans="2:49" x14ac:dyDescent="0.15">
      <c r="B222" s="22"/>
      <c r="C222" s="22"/>
      <c r="D222" s="22"/>
      <c r="E222" s="22"/>
      <c r="F222" s="22"/>
      <c r="G222" s="22"/>
      <c r="H222" s="22"/>
      <c r="I222" s="22"/>
      <c r="J222" s="22"/>
      <c r="K222" s="22"/>
      <c r="L222" s="22"/>
      <c r="M222" s="22"/>
      <c r="N222" s="22"/>
      <c r="O222" s="22"/>
      <c r="P222" s="22"/>
      <c r="Q222" s="22"/>
      <c r="R222" s="22"/>
      <c r="S222" s="22"/>
      <c r="T222" s="22"/>
      <c r="U222" s="22"/>
      <c r="V222" s="22"/>
      <c r="W222" s="22"/>
      <c r="X222" s="22"/>
      <c r="Y222" s="22"/>
      <c r="Z222" s="22"/>
      <c r="AA222" s="22"/>
      <c r="AB222" s="22"/>
      <c r="AC222" s="22"/>
      <c r="AD222" s="22"/>
      <c r="AE222" s="22"/>
      <c r="AF222" s="22"/>
      <c r="AG222" s="22"/>
      <c r="AH222" s="22"/>
      <c r="AI222" s="22"/>
      <c r="AJ222" s="22"/>
      <c r="AK222" s="22"/>
      <c r="AL222" s="22"/>
      <c r="AM222" s="22"/>
      <c r="AN222" s="22"/>
      <c r="AO222" s="22"/>
      <c r="AP222" s="22"/>
      <c r="AQ222" s="22"/>
      <c r="AR222" s="22"/>
      <c r="AS222" s="22"/>
      <c r="AT222" s="22"/>
      <c r="AU222" s="22"/>
      <c r="AV222" s="22"/>
      <c r="AW222" s="22"/>
    </row>
    <row r="223" spans="2:49" x14ac:dyDescent="0.15">
      <c r="B223" s="22"/>
      <c r="C223" s="22"/>
      <c r="D223" s="22"/>
      <c r="E223" s="22"/>
      <c r="F223" s="22"/>
      <c r="G223" s="22"/>
      <c r="H223" s="22"/>
      <c r="I223" s="22"/>
      <c r="J223" s="22"/>
      <c r="K223" s="22"/>
      <c r="L223" s="22"/>
      <c r="M223" s="22"/>
      <c r="N223" s="22"/>
      <c r="O223" s="22"/>
      <c r="P223" s="22"/>
      <c r="Q223" s="22"/>
      <c r="R223" s="22"/>
      <c r="S223" s="22"/>
      <c r="T223" s="22"/>
      <c r="U223" s="22"/>
      <c r="V223" s="22"/>
      <c r="W223" s="22"/>
      <c r="X223" s="22"/>
      <c r="Y223" s="22"/>
      <c r="Z223" s="22"/>
      <c r="AA223" s="22"/>
      <c r="AB223" s="22"/>
      <c r="AC223" s="22"/>
      <c r="AD223" s="22"/>
      <c r="AE223" s="22"/>
      <c r="AF223" s="22"/>
      <c r="AG223" s="22"/>
      <c r="AH223" s="22"/>
      <c r="AI223" s="22"/>
      <c r="AJ223" s="22"/>
      <c r="AK223" s="22"/>
      <c r="AL223" s="22"/>
      <c r="AM223" s="22"/>
      <c r="AN223" s="22"/>
      <c r="AO223" s="22"/>
      <c r="AP223" s="22"/>
      <c r="AQ223" s="22"/>
      <c r="AR223" s="22"/>
      <c r="AS223" s="22"/>
      <c r="AT223" s="22"/>
      <c r="AU223" s="22"/>
      <c r="AV223" s="22"/>
      <c r="AW223" s="22"/>
    </row>
    <row r="224" spans="2:49" x14ac:dyDescent="0.15">
      <c r="B224" s="22"/>
      <c r="C224" s="22"/>
      <c r="D224" s="22"/>
      <c r="E224" s="22"/>
      <c r="F224" s="22"/>
      <c r="G224" s="22"/>
      <c r="H224" s="22"/>
      <c r="I224" s="22"/>
      <c r="J224" s="22"/>
      <c r="K224" s="22"/>
      <c r="L224" s="22"/>
      <c r="M224" s="22"/>
      <c r="N224" s="22"/>
      <c r="O224" s="22"/>
      <c r="P224" s="22"/>
      <c r="Q224" s="22"/>
      <c r="R224" s="22"/>
      <c r="S224" s="22"/>
      <c r="T224" s="22"/>
      <c r="U224" s="22"/>
      <c r="V224" s="22"/>
      <c r="W224" s="22"/>
      <c r="X224" s="22"/>
      <c r="Y224" s="22"/>
      <c r="Z224" s="22"/>
      <c r="AA224" s="22"/>
      <c r="AB224" s="22"/>
      <c r="AC224" s="22"/>
      <c r="AD224" s="22"/>
      <c r="AE224" s="22"/>
      <c r="AF224" s="22"/>
      <c r="AG224" s="22"/>
      <c r="AH224" s="22"/>
      <c r="AI224" s="22"/>
      <c r="AJ224" s="22"/>
      <c r="AK224" s="22"/>
      <c r="AL224" s="22"/>
      <c r="AM224" s="22"/>
      <c r="AN224" s="22"/>
      <c r="AO224" s="22"/>
      <c r="AP224" s="22"/>
      <c r="AQ224" s="22"/>
      <c r="AR224" s="22"/>
      <c r="AS224" s="22"/>
      <c r="AT224" s="22"/>
      <c r="AU224" s="22"/>
      <c r="AV224" s="22"/>
      <c r="AW224" s="22"/>
    </row>
    <row r="225" spans="2:49" x14ac:dyDescent="0.15">
      <c r="B225" s="22"/>
      <c r="C225" s="22"/>
      <c r="D225" s="22"/>
      <c r="E225" s="22"/>
      <c r="F225" s="22"/>
      <c r="G225" s="22"/>
      <c r="H225" s="22"/>
      <c r="I225" s="22"/>
      <c r="J225" s="22"/>
      <c r="K225" s="22"/>
      <c r="L225" s="22"/>
      <c r="M225" s="22"/>
      <c r="N225" s="22"/>
      <c r="O225" s="22"/>
      <c r="P225" s="22"/>
      <c r="Q225" s="22"/>
      <c r="R225" s="22"/>
      <c r="S225" s="22"/>
      <c r="T225" s="22"/>
      <c r="U225" s="22"/>
      <c r="V225" s="22"/>
      <c r="W225" s="22"/>
      <c r="X225" s="22"/>
      <c r="Y225" s="22"/>
      <c r="Z225" s="22"/>
      <c r="AA225" s="22"/>
      <c r="AB225" s="22"/>
      <c r="AC225" s="22"/>
      <c r="AD225" s="22"/>
      <c r="AE225" s="22"/>
      <c r="AF225" s="22"/>
      <c r="AG225" s="22"/>
      <c r="AH225" s="22"/>
      <c r="AI225" s="22"/>
      <c r="AJ225" s="22"/>
      <c r="AK225" s="22"/>
      <c r="AL225" s="22"/>
      <c r="AM225" s="22"/>
      <c r="AN225" s="22"/>
      <c r="AO225" s="22"/>
      <c r="AP225" s="22"/>
      <c r="AQ225" s="22"/>
      <c r="AR225" s="22"/>
      <c r="AS225" s="22"/>
      <c r="AT225" s="22"/>
      <c r="AU225" s="22"/>
      <c r="AV225" s="22"/>
      <c r="AW225" s="22"/>
    </row>
    <row r="226" spans="2:49" x14ac:dyDescent="0.15">
      <c r="B226" s="22"/>
      <c r="C226" s="22"/>
      <c r="D226" s="22"/>
      <c r="E226" s="22"/>
      <c r="F226" s="22"/>
      <c r="G226" s="22"/>
      <c r="H226" s="22"/>
      <c r="I226" s="22"/>
      <c r="J226" s="22"/>
      <c r="K226" s="22"/>
      <c r="L226" s="22"/>
      <c r="M226" s="22"/>
      <c r="N226" s="22"/>
      <c r="O226" s="22"/>
      <c r="P226" s="22"/>
      <c r="Q226" s="22"/>
      <c r="R226" s="22"/>
      <c r="S226" s="22"/>
      <c r="T226" s="22"/>
      <c r="U226" s="22"/>
      <c r="V226" s="22"/>
      <c r="W226" s="22"/>
      <c r="X226" s="22"/>
      <c r="Y226" s="22"/>
      <c r="Z226" s="22"/>
      <c r="AA226" s="22"/>
      <c r="AB226" s="22"/>
      <c r="AC226" s="22"/>
      <c r="AD226" s="22"/>
      <c r="AE226" s="22"/>
      <c r="AF226" s="22"/>
      <c r="AG226" s="22"/>
      <c r="AH226" s="22"/>
      <c r="AI226" s="22"/>
      <c r="AJ226" s="22"/>
      <c r="AK226" s="22"/>
      <c r="AL226" s="22"/>
      <c r="AM226" s="22"/>
      <c r="AN226" s="22"/>
      <c r="AO226" s="22"/>
      <c r="AP226" s="22"/>
      <c r="AQ226" s="22"/>
      <c r="AR226" s="22"/>
      <c r="AS226" s="22"/>
      <c r="AT226" s="22"/>
      <c r="AU226" s="22"/>
      <c r="AV226" s="22"/>
      <c r="AW226" s="22"/>
    </row>
    <row r="227" spans="2:49" x14ac:dyDescent="0.15">
      <c r="B227" s="22"/>
      <c r="C227" s="22"/>
      <c r="D227" s="22"/>
      <c r="E227" s="22"/>
      <c r="F227" s="22"/>
      <c r="G227" s="22"/>
      <c r="H227" s="22"/>
      <c r="I227" s="22"/>
      <c r="J227" s="22"/>
      <c r="K227" s="22"/>
      <c r="L227" s="22"/>
      <c r="M227" s="22"/>
      <c r="N227" s="22"/>
      <c r="O227" s="22"/>
      <c r="P227" s="22"/>
      <c r="Q227" s="22"/>
      <c r="R227" s="22"/>
      <c r="S227" s="22"/>
      <c r="T227" s="22"/>
      <c r="U227" s="22"/>
      <c r="V227" s="22"/>
      <c r="W227" s="22"/>
      <c r="X227" s="22"/>
      <c r="Y227" s="22"/>
      <c r="Z227" s="22"/>
      <c r="AA227" s="22"/>
      <c r="AB227" s="22"/>
      <c r="AC227" s="22"/>
      <c r="AD227" s="22"/>
      <c r="AE227" s="22"/>
      <c r="AF227" s="22"/>
      <c r="AG227" s="22"/>
      <c r="AH227" s="22"/>
      <c r="AI227" s="22"/>
      <c r="AJ227" s="22"/>
      <c r="AK227" s="22"/>
      <c r="AL227" s="22"/>
      <c r="AM227" s="22"/>
      <c r="AN227" s="22"/>
      <c r="AO227" s="22"/>
      <c r="AP227" s="22"/>
      <c r="AQ227" s="22"/>
      <c r="AR227" s="22"/>
      <c r="AS227" s="22"/>
      <c r="AT227" s="22"/>
      <c r="AU227" s="22"/>
      <c r="AV227" s="22"/>
      <c r="AW227" s="22"/>
    </row>
    <row r="228" spans="2:49" x14ac:dyDescent="0.15">
      <c r="B228" s="22"/>
      <c r="C228" s="22"/>
      <c r="D228" s="22"/>
      <c r="E228" s="22"/>
      <c r="F228" s="22"/>
      <c r="G228" s="22"/>
      <c r="H228" s="22"/>
      <c r="I228" s="22"/>
      <c r="J228" s="22"/>
      <c r="K228" s="22"/>
      <c r="L228" s="22"/>
      <c r="M228" s="22"/>
      <c r="N228" s="22"/>
      <c r="O228" s="22"/>
      <c r="P228" s="22"/>
      <c r="Q228" s="22"/>
      <c r="R228" s="22"/>
      <c r="S228" s="22"/>
      <c r="T228" s="22"/>
      <c r="U228" s="22"/>
      <c r="V228" s="22"/>
      <c r="W228" s="22"/>
      <c r="X228" s="22"/>
      <c r="Y228" s="22"/>
      <c r="Z228" s="22"/>
      <c r="AA228" s="22"/>
      <c r="AB228" s="22"/>
      <c r="AC228" s="22"/>
      <c r="AD228" s="22"/>
      <c r="AE228" s="22"/>
      <c r="AF228" s="22"/>
      <c r="AG228" s="22"/>
      <c r="AH228" s="22"/>
      <c r="AI228" s="22"/>
      <c r="AJ228" s="22"/>
      <c r="AK228" s="22"/>
      <c r="AL228" s="22"/>
      <c r="AM228" s="22"/>
      <c r="AN228" s="22"/>
      <c r="AO228" s="22"/>
      <c r="AP228" s="22"/>
      <c r="AQ228" s="22"/>
      <c r="AR228" s="22"/>
      <c r="AS228" s="22"/>
      <c r="AT228" s="22"/>
      <c r="AU228" s="22"/>
      <c r="AV228" s="22"/>
      <c r="AW228" s="22"/>
    </row>
    <row r="229" spans="2:49" x14ac:dyDescent="0.15">
      <c r="B229" s="22"/>
      <c r="C229" s="22"/>
      <c r="D229" s="22"/>
      <c r="E229" s="22"/>
      <c r="F229" s="22"/>
      <c r="G229" s="22"/>
      <c r="H229" s="22"/>
      <c r="I229" s="22"/>
      <c r="J229" s="22"/>
      <c r="K229" s="22"/>
      <c r="L229" s="22"/>
      <c r="M229" s="22"/>
      <c r="N229" s="22"/>
      <c r="O229" s="22"/>
      <c r="P229" s="22"/>
      <c r="Q229" s="22"/>
      <c r="R229" s="22"/>
      <c r="S229" s="22"/>
      <c r="T229" s="22"/>
      <c r="U229" s="22"/>
      <c r="V229" s="22"/>
      <c r="W229" s="22"/>
      <c r="X229" s="22"/>
      <c r="Y229" s="22"/>
      <c r="Z229" s="22"/>
      <c r="AA229" s="22"/>
      <c r="AB229" s="22"/>
      <c r="AC229" s="22"/>
      <c r="AD229" s="22"/>
      <c r="AE229" s="22"/>
      <c r="AF229" s="22"/>
      <c r="AG229" s="22"/>
      <c r="AH229" s="22"/>
      <c r="AI229" s="22"/>
      <c r="AJ229" s="22"/>
      <c r="AK229" s="22"/>
      <c r="AL229" s="22"/>
      <c r="AM229" s="22"/>
      <c r="AN229" s="22"/>
      <c r="AO229" s="22"/>
      <c r="AP229" s="22"/>
      <c r="AQ229" s="22"/>
      <c r="AR229" s="22"/>
      <c r="AS229" s="22"/>
      <c r="AT229" s="22"/>
      <c r="AU229" s="22"/>
      <c r="AV229" s="22"/>
      <c r="AW229" s="22"/>
    </row>
    <row r="230" spans="2:49" x14ac:dyDescent="0.15">
      <c r="B230" s="22"/>
      <c r="C230" s="22"/>
      <c r="D230" s="22"/>
      <c r="E230" s="22"/>
      <c r="F230" s="22"/>
      <c r="G230" s="22"/>
      <c r="H230" s="22"/>
      <c r="I230" s="22"/>
      <c r="J230" s="22"/>
      <c r="K230" s="22"/>
      <c r="L230" s="22"/>
      <c r="M230" s="22"/>
      <c r="N230" s="22"/>
      <c r="O230" s="22"/>
      <c r="P230" s="22"/>
      <c r="Q230" s="22"/>
      <c r="R230" s="22"/>
      <c r="S230" s="22"/>
      <c r="T230" s="22"/>
      <c r="U230" s="22"/>
      <c r="V230" s="22"/>
      <c r="W230" s="22"/>
      <c r="X230" s="22"/>
      <c r="Y230" s="22"/>
      <c r="Z230" s="22"/>
      <c r="AA230" s="22"/>
      <c r="AB230" s="22"/>
      <c r="AC230" s="22"/>
      <c r="AD230" s="22"/>
      <c r="AE230" s="22"/>
      <c r="AF230" s="22"/>
      <c r="AG230" s="22"/>
      <c r="AH230" s="22"/>
      <c r="AI230" s="22"/>
      <c r="AJ230" s="22"/>
      <c r="AK230" s="22"/>
      <c r="AL230" s="22"/>
      <c r="AM230" s="22"/>
      <c r="AN230" s="22"/>
      <c r="AO230" s="22"/>
      <c r="AP230" s="22"/>
      <c r="AQ230" s="22"/>
      <c r="AR230" s="22"/>
      <c r="AS230" s="22"/>
      <c r="AT230" s="22"/>
      <c r="AU230" s="22"/>
      <c r="AV230" s="22"/>
      <c r="AW230" s="22"/>
    </row>
  </sheetData>
  <mergeCells count="14">
    <mergeCell ref="B2:B3"/>
    <mergeCell ref="C2:L2"/>
    <mergeCell ref="C3:D3"/>
    <mergeCell ref="E3:F3"/>
    <mergeCell ref="G3:H3"/>
    <mergeCell ref="I3:J3"/>
    <mergeCell ref="K3:L3"/>
    <mergeCell ref="B18:B19"/>
    <mergeCell ref="C18:L18"/>
    <mergeCell ref="C19:D19"/>
    <mergeCell ref="E19:F19"/>
    <mergeCell ref="G19:H19"/>
    <mergeCell ref="I19:J19"/>
    <mergeCell ref="K19:L19"/>
  </mergeCells>
  <phoneticPr fontId="2"/>
  <printOptions horizontalCentered="1"/>
  <pageMargins left="0.70866141732283472" right="0.70866141732283472" top="0.74803149606299213" bottom="0.74803149606299213" header="0.31496062992125984" footer="0.31496062992125984"/>
  <pageSetup paperSize="9" scale="93"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27649" r:id="rId4" name="Button 1">
              <controlPr defaultSize="0" print="0" autoFill="0" autoPict="0" macro="[0]!データ削除22">
                <anchor moveWithCells="1" sizeWithCells="1">
                  <from>
                    <xdr:col>31</xdr:col>
                    <xdr:colOff>438150</xdr:colOff>
                    <xdr:row>3</xdr:row>
                    <xdr:rowOff>0</xdr:rowOff>
                  </from>
                  <to>
                    <xdr:col>34</xdr:col>
                    <xdr:colOff>266700</xdr:colOff>
                    <xdr:row>5</xdr:row>
                    <xdr:rowOff>57150</xdr:rowOff>
                  </to>
                </anchor>
              </controlPr>
            </control>
          </mc:Choice>
        </mc:AlternateContent>
      </controls>
    </mc:Choice>
  </mc:AlternateContent>
  <tableParts count="4">
    <tablePart r:id="rId5"/>
    <tablePart r:id="rId6"/>
    <tablePart r:id="rId7"/>
    <tablePart r:id="rId8"/>
  </tableParts>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3">
    <tabColor rgb="FFFF0000"/>
    <pageSetUpPr fitToPage="1"/>
  </sheetPr>
  <dimension ref="B1:BA231"/>
  <sheetViews>
    <sheetView view="pageBreakPreview" topLeftCell="A30" zoomScaleNormal="100" zoomScaleSheetLayoutView="100" workbookViewId="0">
      <selection activeCell="E33" sqref="E33"/>
    </sheetView>
  </sheetViews>
  <sheetFormatPr defaultRowHeight="18.75" x14ac:dyDescent="0.15"/>
  <cols>
    <col min="1" max="1" width="4" style="1" customWidth="1"/>
    <col min="2" max="2" width="12.5" style="1" customWidth="1"/>
    <col min="3" max="12" width="8.75" style="1" customWidth="1"/>
    <col min="13" max="13" width="16.5" style="1" customWidth="1"/>
    <col min="14" max="14" width="2.5" style="1" hidden="1" customWidth="1"/>
    <col min="15" max="15" width="17.75" style="1" hidden="1" customWidth="1"/>
    <col min="16" max="31" width="11.125" style="1" hidden="1" customWidth="1"/>
    <col min="32" max="33" width="0" style="1" hidden="1" customWidth="1"/>
    <col min="34" max="35" width="9" style="1" hidden="1" customWidth="1"/>
    <col min="36" max="36" width="9" style="1" customWidth="1"/>
    <col min="37" max="50" width="9" style="1" hidden="1" customWidth="1"/>
    <col min="51" max="53" width="0" style="1" hidden="1" customWidth="1"/>
    <col min="54" max="16384" width="9" style="1"/>
  </cols>
  <sheetData>
    <row r="1" spans="2:53" ht="19.5" customHeight="1" x14ac:dyDescent="0.15">
      <c r="B1" s="419" t="s">
        <v>166</v>
      </c>
      <c r="C1" s="419"/>
      <c r="D1" s="419"/>
      <c r="E1" s="419"/>
      <c r="F1" s="419"/>
      <c r="G1" s="419"/>
      <c r="H1" s="419"/>
      <c r="I1" s="419"/>
      <c r="J1" s="419"/>
      <c r="K1" s="419"/>
      <c r="L1" s="419"/>
    </row>
    <row r="2" spans="2:53" ht="19.5" customHeight="1" x14ac:dyDescent="0.15">
      <c r="B2" s="418" t="s">
        <v>312</v>
      </c>
      <c r="C2" s="417"/>
      <c r="D2" s="417"/>
      <c r="E2" s="417"/>
      <c r="F2" s="417"/>
      <c r="G2" s="417"/>
      <c r="H2" s="417"/>
      <c r="I2" s="417"/>
      <c r="J2" s="417"/>
      <c r="K2" s="417"/>
      <c r="L2" s="417"/>
    </row>
    <row r="3" spans="2:53" ht="18.75" customHeight="1" thickBot="1" x14ac:dyDescent="0.2">
      <c r="B3" s="688" t="s">
        <v>65</v>
      </c>
      <c r="C3" s="690" t="s">
        <v>64</v>
      </c>
      <c r="D3" s="691"/>
      <c r="E3" s="691"/>
      <c r="F3" s="691"/>
      <c r="G3" s="691"/>
      <c r="H3" s="691"/>
      <c r="I3" s="691"/>
      <c r="J3" s="691"/>
      <c r="K3" s="691"/>
      <c r="L3" s="692"/>
      <c r="O3" s="34" t="s">
        <v>63</v>
      </c>
    </row>
    <row r="4" spans="2:53" ht="18.75" customHeight="1" thickTop="1" thickBot="1" x14ac:dyDescent="0.2">
      <c r="B4" s="689"/>
      <c r="C4" s="693" t="s">
        <v>69</v>
      </c>
      <c r="D4" s="694"/>
      <c r="E4" s="693" t="s">
        <v>70</v>
      </c>
      <c r="F4" s="694"/>
      <c r="G4" s="693" t="s">
        <v>71</v>
      </c>
      <c r="H4" s="694"/>
      <c r="I4" s="693" t="s">
        <v>72</v>
      </c>
      <c r="J4" s="694"/>
      <c r="K4" s="693" t="s">
        <v>62</v>
      </c>
      <c r="L4" s="694"/>
      <c r="O4" s="430" t="s">
        <v>371</v>
      </c>
      <c r="P4" s="504" t="s">
        <v>183</v>
      </c>
      <c r="Q4" s="504" t="s">
        <v>184</v>
      </c>
      <c r="R4" s="504" t="s">
        <v>185</v>
      </c>
      <c r="S4" s="504" t="s">
        <v>186</v>
      </c>
      <c r="T4" s="504" t="s">
        <v>187</v>
      </c>
      <c r="U4" s="504" t="s">
        <v>188</v>
      </c>
      <c r="V4" s="504" t="s">
        <v>189</v>
      </c>
      <c r="W4" s="504" t="s">
        <v>190</v>
      </c>
      <c r="X4" s="504" t="s">
        <v>191</v>
      </c>
      <c r="Y4" s="504" t="s">
        <v>192</v>
      </c>
      <c r="Z4" s="504" t="s">
        <v>193</v>
      </c>
      <c r="AA4" s="504" t="s">
        <v>194</v>
      </c>
      <c r="AB4" s="504" t="s">
        <v>195</v>
      </c>
      <c r="AC4" s="504" t="s">
        <v>196</v>
      </c>
      <c r="AD4" s="504" t="s">
        <v>197</v>
      </c>
      <c r="AE4" s="56" t="s">
        <v>198</v>
      </c>
      <c r="AL4" s="487" t="s">
        <v>183</v>
      </c>
      <c r="AM4" s="488" t="s">
        <v>184</v>
      </c>
      <c r="AN4" s="488" t="s">
        <v>185</v>
      </c>
      <c r="AO4" s="488" t="s">
        <v>186</v>
      </c>
      <c r="AP4" s="488" t="s">
        <v>187</v>
      </c>
      <c r="AQ4" s="488" t="s">
        <v>188</v>
      </c>
      <c r="AR4" s="488" t="s">
        <v>189</v>
      </c>
      <c r="AS4" s="488" t="s">
        <v>190</v>
      </c>
      <c r="AT4" s="488" t="s">
        <v>191</v>
      </c>
      <c r="AU4" s="488" t="s">
        <v>192</v>
      </c>
      <c r="AV4" s="488" t="s">
        <v>193</v>
      </c>
      <c r="AW4" s="488" t="s">
        <v>194</v>
      </c>
      <c r="AX4" s="488" t="s">
        <v>195</v>
      </c>
      <c r="AY4" s="488" t="s">
        <v>196</v>
      </c>
      <c r="AZ4" s="488" t="s">
        <v>197</v>
      </c>
      <c r="BA4" s="487" t="s">
        <v>198</v>
      </c>
    </row>
    <row r="5" spans="2:53" s="22" customFormat="1" ht="18.75" customHeight="1" thickTop="1" x14ac:dyDescent="0.15">
      <c r="B5" s="228" t="s">
        <v>2</v>
      </c>
      <c r="C5" s="229">
        <f>IFERROR(INDEX(年齢階層×在院期間区分F02F09[#All],MATCH($AK5,年齢階層×在院期間区分F02F09[[#All],[行ラベル]],0),MATCH($AL$4,年齢階層×在院期間区分F02F09[#Headers],0)),0)+IFERROR(INDEX(年齢階層×在院期間区分F02F09[#All],MATCH($AK5,年齢階層×在院期間区分F02F09[[#All],[行ラベル]],0),MATCH($AM$4,年齢階層×在院期間区分F02F09[#Headers],0)),0)+IFERROR(INDEX(年齢階層×在院期間区分F02F09[#All],MATCH($AK5,年齢階層×在院期間区分F02F09[[#All],[行ラベル]],0),MATCH($AN$4,年齢階層×在院期間区分F02F09[#Headers],0)),0)+IFERROR(INDEX(年齢階層×在院期間区分F02F09[#All],MATCH($AK5,年齢階層×在院期間区分F02F09[[#All],[行ラベル]],0),MATCH($AO$4,年齢階層×在院期間区分F02F09[#Headers],0)),0)</f>
        <v>2</v>
      </c>
      <c r="D5" s="224">
        <f t="shared" ref="D5:D16" si="0">IFERROR(C5/$C$14,"-")</f>
        <v>2.0942408376963353E-3</v>
      </c>
      <c r="E5" s="229">
        <f>IFERROR(INDEX(年齢階層×在院期間区分F02F09[#All],MATCH($AK5,年齢階層×在院期間区分F02F09[[#All],[行ラベル]],0),MATCH($AP$4,年齢階層×在院期間区分F02F09[#Headers],0)),0)+IFERROR(INDEX(年齢階層×在院期間区分F02F09[#All],MATCH($AK5,年齢階層×在院期間区分F02F09[[#All],[行ラベル]],0),MATCH($AQ$4,年齢階層×在院期間区分F02F09[#Headers],0)),0)+IFERROR(INDEX(年齢階層×在院期間区分F02F09[#All],MATCH($AK5,年齢階層×在院期間区分F02F09[[#All],[行ラベル]],0),MATCH($AR$4,年齢階層×在院期間区分F02F09[#Headers],0)),0)+IFERROR(INDEX(年齢階層×在院期間区分F02F09[#All],MATCH($AK5,年齢階層×在院期間区分F02F09[[#All],[行ラベル]],0),MATCH($AS$4,年齢階層×在院期間区分F02F09[#Headers],0)),0)+IFERROR(INDEX(年齢階層×在院期間区分F02F09[#All],MATCH($AK5,年齢階層×在院期間区分F02F09[[#All],[行ラベル]],0),MATCH($AT$4,年齢階層×在院期間区分F02F09[#Headers],0)),0)</f>
        <v>0</v>
      </c>
      <c r="F5" s="224">
        <f t="shared" ref="F5:F16" si="1">IFERROR(E5/$E$14,"-")</f>
        <v>0</v>
      </c>
      <c r="G5" s="229">
        <f>IFERROR(INDEX(年齢階層×在院期間区分F02F09[#All],MATCH($AK5,年齢階層×在院期間区分F02F09[[#All],[行ラベル]],0),MATCH($AU$4,年齢階層×在院期間区分F02F09[#Headers],0)),0)+IFERROR(INDEX(年齢階層×在院期間区分F02F09[#All],MATCH($AK5,年齢階層×在院期間区分F02F09[[#All],[行ラベル]],0),MATCH($AV$4,年齢階層×在院期間区分F02F09[#Headers],0)),0)+IFERROR(INDEX(年齢階層×在院期間区分F02F09[#All],MATCH($AK5,年齢階層×在院期間区分F02F09[[#All],[行ラベル]],0),MATCH($AW$4,年齢階層×在院期間区分F02F09[#Headers],0)),0)+IFERROR(INDEX(年齢階層×在院期間区分F02F09[#All],MATCH($AK5,年齢階層×在院期間区分F02F09[[#All],[行ラベル]],0),MATCH($AX$4,年齢階層×在院期間区分F02F09[#Headers],0)),0)+IFERROR(INDEX(年齢階層×在院期間区分F02F09[#All],MATCH($AK5,年齢階層×在院期間区分F02F09[[#All],[行ラベル]],0),MATCH($AY$4,年齢階層×在院期間区分F02F09[#Headers],0)),0)</f>
        <v>0</v>
      </c>
      <c r="H5" s="224">
        <f t="shared" ref="H5:H16" si="2">IFERROR(G5/$G$14,"-")</f>
        <v>0</v>
      </c>
      <c r="I5" s="223">
        <f>IFERROR(INDEX(年齢階層×在院期間区分F02F09[#All],MATCH($AK5,年齢階層×在院期間区分F02F09[[#All],[行ラベル]],0),MATCH($AZ$4,年齢階層×在院期間区分F02F09[#Headers],0)),0)+IFERROR(INDEX(年齢階層×在院期間区分F02F09[#All],MATCH($AK5,年齢階層×在院期間区分F02F09[[#All],[行ラベル]],0),MATCH($BA$4,年齢階層×在院期間区分F02F09[#Headers],0)),0)</f>
        <v>0</v>
      </c>
      <c r="J5" s="224">
        <f t="shared" ref="J5:J16" si="3">IFERROR(I5/$I$14,"-")</f>
        <v>0</v>
      </c>
      <c r="K5" s="223">
        <f t="shared" ref="K5:K13" si="4">SUM(C5,E5,G5,I5)</f>
        <v>2</v>
      </c>
      <c r="L5" s="224">
        <f t="shared" ref="L5:L16" si="5">IFERROR(K5/$K$14,"-")</f>
        <v>1.0351966873706005E-3</v>
      </c>
      <c r="O5" s="54" t="s">
        <v>2</v>
      </c>
      <c r="P5" s="66">
        <v>0</v>
      </c>
      <c r="Q5" s="66">
        <v>1</v>
      </c>
      <c r="R5" s="66">
        <v>0</v>
      </c>
      <c r="S5" s="66">
        <v>1</v>
      </c>
      <c r="T5" s="66">
        <v>0</v>
      </c>
      <c r="U5" s="66">
        <v>0</v>
      </c>
      <c r="V5" s="66">
        <v>0</v>
      </c>
      <c r="W5" s="66">
        <v>0</v>
      </c>
      <c r="X5" s="66">
        <v>0</v>
      </c>
      <c r="Y5" s="66">
        <v>0</v>
      </c>
      <c r="Z5" s="66">
        <v>0</v>
      </c>
      <c r="AA5" s="66">
        <v>0</v>
      </c>
      <c r="AB5" s="66">
        <v>0</v>
      </c>
      <c r="AC5" s="66">
        <v>0</v>
      </c>
      <c r="AD5" s="66">
        <v>0</v>
      </c>
      <c r="AE5" s="66">
        <v>0</v>
      </c>
      <c r="AK5" s="54" t="s">
        <v>2</v>
      </c>
      <c r="AL5" s="67"/>
      <c r="AO5" s="81"/>
    </row>
    <row r="6" spans="2:53" s="22" customFormat="1" ht="18.75" customHeight="1" x14ac:dyDescent="0.15">
      <c r="B6" s="230" t="s">
        <v>3</v>
      </c>
      <c r="C6" s="231">
        <f>IFERROR(INDEX(年齢階層×在院期間区分F02F09[#All],MATCH($AK6,年齢階層×在院期間区分F02F09[[#All],[行ラベル]],0),MATCH($AL$4,年齢階層×在院期間区分F02F09[#Headers],0)),0)+IFERROR(INDEX(年齢階層×在院期間区分F02F09[#All],MATCH($AK6,年齢階層×在院期間区分F02F09[[#All],[行ラベル]],0),MATCH($AM$4,年齢階層×在院期間区分F02F09[#Headers],0)),0)+IFERROR(INDEX(年齢階層×在院期間区分F02F09[#All],MATCH($AK6,年齢階層×在院期間区分F02F09[[#All],[行ラベル]],0),MATCH($AN$4,年齢階層×在院期間区分F02F09[#Headers],0)),0)+IFERROR(INDEX(年齢階層×在院期間区分F02F09[#All],MATCH($AK6,年齢階層×在院期間区分F02F09[[#All],[行ラベル]],0),MATCH($AO$4,年齢階層×在院期間区分F02F09[#Headers],0)),0)</f>
        <v>7</v>
      </c>
      <c r="D6" s="225">
        <f t="shared" si="0"/>
        <v>7.3298429319371729E-3</v>
      </c>
      <c r="E6" s="208">
        <f>IFERROR(INDEX(年齢階層×在院期間区分F02F09[#All],MATCH($AK6,年齢階層×在院期間区分F02F09[[#All],[行ラベル]],0),MATCH($AP$4,年齢階層×在院期間区分F02F09[#Headers],0)),0)+IFERROR(INDEX(年齢階層×在院期間区分F02F09[#All],MATCH($AK6,年齢階層×在院期間区分F02F09[[#All],[行ラベル]],0),MATCH($AQ$4,年齢階層×在院期間区分F02F09[#Headers],0)),0)+IFERROR(INDEX(年齢階層×在院期間区分F02F09[#All],MATCH($AK6,年齢階層×在院期間区分F02F09[[#All],[行ラベル]],0),MATCH($AR$4,年齢階層×在院期間区分F02F09[#Headers],0)),0)+IFERROR(INDEX(年齢階層×在院期間区分F02F09[#All],MATCH($AK6,年齢階層×在院期間区分F02F09[[#All],[行ラベル]],0),MATCH($AS$4,年齢階層×在院期間区分F02F09[#Headers],0)),0)+IFERROR(INDEX(年齢階層×在院期間区分F02F09[#All],MATCH($AK6,年齢階層×在院期間区分F02F09[[#All],[行ラベル]],0),MATCH($AT$4,年齢階層×在院期間区分F02F09[#Headers],0)),0)</f>
        <v>2</v>
      </c>
      <c r="F6" s="209">
        <f t="shared" si="1"/>
        <v>2.976190476190476E-3</v>
      </c>
      <c r="G6" s="231">
        <f>IFERROR(INDEX(年齢階層×在院期間区分F02F09[#All],MATCH($AK6,年齢階層×在院期間区分F02F09[[#All],[行ラベル]],0),MATCH($AU$4,年齢階層×在院期間区分F02F09[#Headers],0)),0)+IFERROR(INDEX(年齢階層×在院期間区分F02F09[#All],MATCH($AK6,年齢階層×在院期間区分F02F09[[#All],[行ラベル]],0),MATCH($AV$4,年齢階層×在院期間区分F02F09[#Headers],0)),0)+IFERROR(INDEX(年齢階層×在院期間区分F02F09[#All],MATCH($AK6,年齢階層×在院期間区分F02F09[[#All],[行ラベル]],0),MATCH($AW$4,年齢階層×在院期間区分F02F09[#Headers],0)),0)+IFERROR(INDEX(年齢階層×在院期間区分F02F09[#All],MATCH($AK6,年齢階層×在院期間区分F02F09[[#All],[行ラベル]],0),MATCH($AX$4,年齢階層×在院期間区分F02F09[#Headers],0)),0)+IFERROR(INDEX(年齢階層×在院期間区分F02F09[#All],MATCH($AK6,年齢階層×在院期間区分F02F09[[#All],[行ラベル]],0),MATCH($AY$4,年齢階層×在院期間区分F02F09[#Headers],0)),0)</f>
        <v>0</v>
      </c>
      <c r="H6" s="225">
        <f t="shared" si="2"/>
        <v>0</v>
      </c>
      <c r="I6" s="232">
        <f>IFERROR(INDEX(年齢階層×在院期間区分F02F09[#All],MATCH($AK6,年齢階層×在院期間区分F02F09[[#All],[行ラベル]],0),MATCH($AZ$4,年齢階層×在院期間区分F02F09[#Headers],0)),0)+IFERROR(INDEX(年齢階層×在院期間区分F02F09[#All],MATCH($AK6,年齢階層×在院期間区分F02F09[[#All],[行ラベル]],0),MATCH($BA$4,年齢階層×在院期間区分F02F09[#Headers],0)),0)</f>
        <v>0</v>
      </c>
      <c r="J6" s="225">
        <f t="shared" si="3"/>
        <v>0</v>
      </c>
      <c r="K6" s="208">
        <f t="shared" si="4"/>
        <v>9</v>
      </c>
      <c r="L6" s="225">
        <f t="shared" si="5"/>
        <v>4.658385093167702E-3</v>
      </c>
      <c r="O6" s="54" t="s">
        <v>3</v>
      </c>
      <c r="P6" s="66">
        <v>2</v>
      </c>
      <c r="Q6" s="66">
        <v>0</v>
      </c>
      <c r="R6" s="66">
        <v>2</v>
      </c>
      <c r="S6" s="66">
        <v>3</v>
      </c>
      <c r="T6" s="66">
        <v>0</v>
      </c>
      <c r="U6" s="66">
        <v>0</v>
      </c>
      <c r="V6" s="66">
        <v>0</v>
      </c>
      <c r="W6" s="66">
        <v>2</v>
      </c>
      <c r="X6" s="66">
        <v>0</v>
      </c>
      <c r="Y6" s="66">
        <v>0</v>
      </c>
      <c r="Z6" s="66">
        <v>0</v>
      </c>
      <c r="AA6" s="66">
        <v>0</v>
      </c>
      <c r="AB6" s="66">
        <v>0</v>
      </c>
      <c r="AC6" s="66">
        <v>0</v>
      </c>
      <c r="AD6" s="66">
        <v>0</v>
      </c>
      <c r="AE6" s="66">
        <v>0</v>
      </c>
      <c r="AK6" s="54" t="s">
        <v>3</v>
      </c>
      <c r="AL6" s="67"/>
      <c r="AM6" s="67"/>
      <c r="AO6" s="81"/>
    </row>
    <row r="7" spans="2:53" s="22" customFormat="1" ht="18.75" customHeight="1" x14ac:dyDescent="0.15">
      <c r="B7" s="230" t="s">
        <v>4</v>
      </c>
      <c r="C7" s="231">
        <f>IFERROR(INDEX(年齢階層×在院期間区分F02F09[#All],MATCH($AK7,年齢階層×在院期間区分F02F09[[#All],[行ラベル]],0),MATCH($AL$4,年齢階層×在院期間区分F02F09[#Headers],0)),0)+IFERROR(INDEX(年齢階層×在院期間区分F02F09[#All],MATCH($AK7,年齢階層×在院期間区分F02F09[[#All],[行ラベル]],0),MATCH($AM$4,年齢階層×在院期間区分F02F09[#Headers],0)),0)+IFERROR(INDEX(年齢階層×在院期間区分F02F09[#All],MATCH($AK7,年齢階層×在院期間区分F02F09[[#All],[行ラベル]],0),MATCH($AN$4,年齢階層×在院期間区分F02F09[#Headers],0)),0)+IFERROR(INDEX(年齢階層×在院期間区分F02F09[#All],MATCH($AK7,年齢階層×在院期間区分F02F09[[#All],[行ラベル]],0),MATCH($AO$4,年齢階層×在院期間区分F02F09[#Headers],0)),0)</f>
        <v>7</v>
      </c>
      <c r="D7" s="225">
        <f t="shared" si="0"/>
        <v>7.3298429319371729E-3</v>
      </c>
      <c r="E7" s="232">
        <f>IFERROR(INDEX(年齢階層×在院期間区分F02F09[#All],MATCH($AK7,年齢階層×在院期間区分F02F09[[#All],[行ラベル]],0),MATCH($AP$4,年齢階層×在院期間区分F02F09[#Headers],0)),0)+IFERROR(INDEX(年齢階層×在院期間区分F02F09[#All],MATCH($AK7,年齢階層×在院期間区分F02F09[[#All],[行ラベル]],0),MATCH($AQ$4,年齢階層×在院期間区分F02F09[#Headers],0)),0)+IFERROR(INDEX(年齢階層×在院期間区分F02F09[#All],MATCH($AK7,年齢階層×在院期間区分F02F09[[#All],[行ラベル]],0),MATCH($AR$4,年齢階層×在院期間区分F02F09[#Headers],0)),0)+IFERROR(INDEX(年齢階層×在院期間区分F02F09[#All],MATCH($AK7,年齢階層×在院期間区分F02F09[[#All],[行ラベル]],0),MATCH($AS$4,年齢階層×在院期間区分F02F09[#Headers],0)),0)+IFERROR(INDEX(年齢階層×在院期間区分F02F09[#All],MATCH($AK7,年齢階層×在院期間区分F02F09[[#All],[行ラベル]],0),MATCH($AT$4,年齢階層×在院期間区分F02F09[#Headers],0)),0)</f>
        <v>2</v>
      </c>
      <c r="F7" s="209">
        <f t="shared" si="1"/>
        <v>2.976190476190476E-3</v>
      </c>
      <c r="G7" s="231">
        <f>IFERROR(INDEX(年齢階層×在院期間区分F02F09[#All],MATCH($AK7,年齢階層×在院期間区分F02F09[[#All],[行ラベル]],0),MATCH($AU$4,年齢階層×在院期間区分F02F09[#Headers],0)),0)+IFERROR(INDEX(年齢階層×在院期間区分F02F09[#All],MATCH($AK7,年齢階層×在院期間区分F02F09[[#All],[行ラベル]],0),MATCH($AV$4,年齢階層×在院期間区分F02F09[#Headers],0)),0)+IFERROR(INDEX(年齢階層×在院期間区分F02F09[#All],MATCH($AK7,年齢階層×在院期間区分F02F09[[#All],[行ラベル]],0),MATCH($AW$4,年齢階層×在院期間区分F02F09[#Headers],0)),0)+IFERROR(INDEX(年齢階層×在院期間区分F02F09[#All],MATCH($AK7,年齢階層×在院期間区分F02F09[[#All],[行ラベル]],0),MATCH($AX$4,年齢階層×在院期間区分F02F09[#Headers],0)),0)+IFERROR(INDEX(年齢階層×在院期間区分F02F09[#All],MATCH($AK7,年齢階層×在院期間区分F02F09[[#All],[行ラベル]],0),MATCH($AY$4,年齢階層×在院期間区分F02F09[#Headers],0)),0)</f>
        <v>4</v>
      </c>
      <c r="H7" s="209">
        <f t="shared" si="2"/>
        <v>2.2988505747126436E-2</v>
      </c>
      <c r="I7" s="208">
        <f>IFERROR(INDEX(年齢階層×在院期間区分F02F09[#All],MATCH($AK7,年齢階層×在院期間区分F02F09[[#All],[行ラベル]],0),MATCH($AZ$4,年齢階層×在院期間区分F02F09[#Headers],0)),0)+IFERROR(INDEX(年齢階層×在院期間区分F02F09[#All],MATCH($AK7,年齢階層×在院期間区分F02F09[[#All],[行ラベル]],0),MATCH($BA$4,年齢階層×在院期間区分F02F09[#Headers],0)),0)</f>
        <v>1</v>
      </c>
      <c r="J7" s="225">
        <f t="shared" si="3"/>
        <v>7.6335877862595417E-3</v>
      </c>
      <c r="K7" s="208">
        <f t="shared" si="4"/>
        <v>14</v>
      </c>
      <c r="L7" s="225">
        <f t="shared" si="5"/>
        <v>7.246376811594203E-3</v>
      </c>
      <c r="O7" s="54" t="s">
        <v>4</v>
      </c>
      <c r="P7" s="66">
        <v>1</v>
      </c>
      <c r="Q7" s="66">
        <v>4</v>
      </c>
      <c r="R7" s="66">
        <v>0</v>
      </c>
      <c r="S7" s="66">
        <v>2</v>
      </c>
      <c r="T7" s="66">
        <v>1</v>
      </c>
      <c r="U7" s="66">
        <v>0</v>
      </c>
      <c r="V7" s="66">
        <v>0</v>
      </c>
      <c r="W7" s="66">
        <v>1</v>
      </c>
      <c r="X7" s="66">
        <v>0</v>
      </c>
      <c r="Y7" s="66">
        <v>1</v>
      </c>
      <c r="Z7" s="66">
        <v>0</v>
      </c>
      <c r="AA7" s="66">
        <v>3</v>
      </c>
      <c r="AB7" s="66">
        <v>0</v>
      </c>
      <c r="AC7" s="66">
        <v>0</v>
      </c>
      <c r="AD7" s="66">
        <v>1</v>
      </c>
      <c r="AE7" s="66">
        <v>0</v>
      </c>
      <c r="AK7" s="54" t="s">
        <v>4</v>
      </c>
      <c r="AL7" s="67"/>
      <c r="AM7" s="67"/>
      <c r="AO7" s="81"/>
    </row>
    <row r="8" spans="2:53" s="22" customFormat="1" ht="18.75" customHeight="1" x14ac:dyDescent="0.15">
      <c r="B8" s="230" t="s">
        <v>5</v>
      </c>
      <c r="C8" s="208">
        <f>IFERROR(INDEX(年齢階層×在院期間区分F02F09[#All],MATCH($AK8,年齢階層×在院期間区分F02F09[[#All],[行ラベル]],0),MATCH($AL$4,年齢階層×在院期間区分F02F09[#Headers],0)),0)+IFERROR(INDEX(年齢階層×在院期間区分F02F09[#All],MATCH($AK8,年齢階層×在院期間区分F02F09[[#All],[行ラベル]],0),MATCH($AM$4,年齢階層×在院期間区分F02F09[#Headers],0)),0)+IFERROR(INDEX(年齢階層×在院期間区分F02F09[#All],MATCH($AK8,年齢階層×在院期間区分F02F09[[#All],[行ラベル]],0),MATCH($AN$4,年齢階層×在院期間区分F02F09[#Headers],0)),0)+IFERROR(INDEX(年齢階層×在院期間区分F02F09[#All],MATCH($AK8,年齢階層×在院期間区分F02F09[[#All],[行ラベル]],0),MATCH($AO$4,年齢階層×在院期間区分F02F09[#Headers],0)),0)</f>
        <v>15</v>
      </c>
      <c r="D8" s="225">
        <f t="shared" si="0"/>
        <v>1.5706806282722512E-2</v>
      </c>
      <c r="E8" s="208">
        <f>IFERROR(INDEX(年齢階層×在院期間区分F02F09[#All],MATCH($AK8,年齢階層×在院期間区分F02F09[[#All],[行ラベル]],0),MATCH($AP$4,年齢階層×在院期間区分F02F09[#Headers],0)),0)+IFERROR(INDEX(年齢階層×在院期間区分F02F09[#All],MATCH($AK8,年齢階層×在院期間区分F02F09[[#All],[行ラベル]],0),MATCH($AQ$4,年齢階層×在院期間区分F02F09[#Headers],0)),0)+IFERROR(INDEX(年齢階層×在院期間区分F02F09[#All],MATCH($AK8,年齢階層×在院期間区分F02F09[[#All],[行ラベル]],0),MATCH($AR$4,年齢階層×在院期間区分F02F09[#Headers],0)),0)+IFERROR(INDEX(年齢階層×在院期間区分F02F09[#All],MATCH($AK8,年齢階層×在院期間区分F02F09[[#All],[行ラベル]],0),MATCH($AS$4,年齢階層×在院期間区分F02F09[#Headers],0)),0)+IFERROR(INDEX(年齢階層×在院期間区分F02F09[#All],MATCH($AK8,年齢階層×在院期間区分F02F09[[#All],[行ラベル]],0),MATCH($AT$4,年齢階層×在院期間区分F02F09[#Headers],0)),0)</f>
        <v>17</v>
      </c>
      <c r="F8" s="209">
        <f t="shared" si="1"/>
        <v>2.5297619047619048E-2</v>
      </c>
      <c r="G8" s="231">
        <f>IFERROR(INDEX(年齢階層×在院期間区分F02F09[#All],MATCH($AK8,年齢階層×在院期間区分F02F09[[#All],[行ラベル]],0),MATCH($AU$4,年齢階層×在院期間区分F02F09[#Headers],0)),0)+IFERROR(INDEX(年齢階層×在院期間区分F02F09[#All],MATCH($AK8,年齢階層×在院期間区分F02F09[[#All],[行ラベル]],0),MATCH($AV$4,年齢階層×在院期間区分F02F09[#Headers],0)),0)+IFERROR(INDEX(年齢階層×在院期間区分F02F09[#All],MATCH($AK8,年齢階層×在院期間区分F02F09[[#All],[行ラベル]],0),MATCH($AW$4,年齢階層×在院期間区分F02F09[#Headers],0)),0)+IFERROR(INDEX(年齢階層×在院期間区分F02F09[#All],MATCH($AK8,年齢階層×在院期間区分F02F09[[#All],[行ラベル]],0),MATCH($AX$4,年齢階層×在院期間区分F02F09[#Headers],0)),0)+IFERROR(INDEX(年齢階層×在院期間区分F02F09[#All],MATCH($AK8,年齢階層×在院期間区分F02F09[[#All],[行ラベル]],0),MATCH($AY$4,年齢階層×在院期間区分F02F09[#Headers],0)),0)</f>
        <v>7</v>
      </c>
      <c r="H8" s="210">
        <f t="shared" si="2"/>
        <v>4.0229885057471264E-2</v>
      </c>
      <c r="I8" s="232">
        <f>IFERROR(INDEX(年齢階層×在院期間区分F02F09[#All],MATCH($AK8,年齢階層×在院期間区分F02F09[[#All],[行ラベル]],0),MATCH($AZ$4,年齢階層×在院期間区分F02F09[#Headers],0)),0)+IFERROR(INDEX(年齢階層×在院期間区分F02F09[#All],MATCH($AK8,年齢階層×在院期間区分F02F09[[#All],[行ラベル]],0),MATCH($BA$4,年齢階層×在院期間区分F02F09[#Headers],0)),0)</f>
        <v>3</v>
      </c>
      <c r="J8" s="225">
        <f t="shared" si="3"/>
        <v>2.2900763358778626E-2</v>
      </c>
      <c r="K8" s="208">
        <f t="shared" si="4"/>
        <v>42</v>
      </c>
      <c r="L8" s="225">
        <f t="shared" si="5"/>
        <v>2.1739130434782608E-2</v>
      </c>
      <c r="O8" s="54" t="s">
        <v>5</v>
      </c>
      <c r="P8" s="66">
        <v>4</v>
      </c>
      <c r="Q8" s="66">
        <v>5</v>
      </c>
      <c r="R8" s="66">
        <v>2</v>
      </c>
      <c r="S8" s="66">
        <v>4</v>
      </c>
      <c r="T8" s="66">
        <v>4</v>
      </c>
      <c r="U8" s="66">
        <v>3</v>
      </c>
      <c r="V8" s="66">
        <v>6</v>
      </c>
      <c r="W8" s="66">
        <v>1</v>
      </c>
      <c r="X8" s="66">
        <v>3</v>
      </c>
      <c r="Y8" s="66">
        <v>1</v>
      </c>
      <c r="Z8" s="66">
        <v>2</v>
      </c>
      <c r="AA8" s="66">
        <v>0</v>
      </c>
      <c r="AB8" s="66">
        <v>3</v>
      </c>
      <c r="AC8" s="66">
        <v>1</v>
      </c>
      <c r="AD8" s="66">
        <v>3</v>
      </c>
      <c r="AE8" s="66">
        <v>0</v>
      </c>
      <c r="AK8" s="54" t="s">
        <v>5</v>
      </c>
      <c r="AL8" s="67"/>
      <c r="AM8" s="67"/>
      <c r="AO8" s="81"/>
    </row>
    <row r="9" spans="2:53" s="22" customFormat="1" ht="18.75" customHeight="1" x14ac:dyDescent="0.15">
      <c r="B9" s="230" t="s">
        <v>6</v>
      </c>
      <c r="C9" s="208">
        <f>IFERROR(INDEX(年齢階層×在院期間区分F02F09[#All],MATCH($AK9,年齢階層×在院期間区分F02F09[[#All],[行ラベル]],0),MATCH($AL$4,年齢階層×在院期間区分F02F09[#Headers],0)),0)+IFERROR(INDEX(年齢階層×在院期間区分F02F09[#All],MATCH($AK9,年齢階層×在院期間区分F02F09[[#All],[行ラベル]],0),MATCH($AM$4,年齢階層×在院期間区分F02F09[#Headers],0)),0)+IFERROR(INDEX(年齢階層×在院期間区分F02F09[#All],MATCH($AK9,年齢階層×在院期間区分F02F09[[#All],[行ラベル]],0),MATCH($AN$4,年齢階層×在院期間区分F02F09[#Headers],0)),0)+IFERROR(INDEX(年齢階層×在院期間区分F02F09[#All],MATCH($AK9,年齢階層×在院期間区分F02F09[[#All],[行ラベル]],0),MATCH($AO$4,年齢階層×在院期間区分F02F09[#Headers],0)),0)</f>
        <v>45</v>
      </c>
      <c r="D9" s="225">
        <f t="shared" si="0"/>
        <v>4.712041884816754E-2</v>
      </c>
      <c r="E9" s="208">
        <f>IFERROR(INDEX(年齢階層×在院期間区分F02F09[#All],MATCH($AK9,年齢階層×在院期間区分F02F09[[#All],[行ラベル]],0),MATCH($AP$4,年齢階層×在院期間区分F02F09[#Headers],0)),0)+IFERROR(INDEX(年齢階層×在院期間区分F02F09[#All],MATCH($AK9,年齢階層×在院期間区分F02F09[[#All],[行ラベル]],0),MATCH($AQ$4,年齢階層×在院期間区分F02F09[#Headers],0)),0)+IFERROR(INDEX(年齢階層×在院期間区分F02F09[#All],MATCH($AK9,年齢階層×在院期間区分F02F09[[#All],[行ラベル]],0),MATCH($AR$4,年齢階層×在院期間区分F02F09[#Headers],0)),0)+IFERROR(INDEX(年齢階層×在院期間区分F02F09[#All],MATCH($AK9,年齢階層×在院期間区分F02F09[[#All],[行ラベル]],0),MATCH($AS$4,年齢階層×在院期間区分F02F09[#Headers],0)),0)+IFERROR(INDEX(年齢階層×在院期間区分F02F09[#All],MATCH($AK9,年齢階層×在院期間区分F02F09[[#All],[行ラベル]],0),MATCH($AT$4,年齢階層×在院期間区分F02F09[#Headers],0)),0)</f>
        <v>49</v>
      </c>
      <c r="F9" s="210">
        <f t="shared" si="1"/>
        <v>7.2916666666666671E-2</v>
      </c>
      <c r="G9" s="231">
        <f>IFERROR(INDEX(年齢階層×在院期間区分F02F09[#All],MATCH($AK9,年齢階層×在院期間区分F02F09[[#All],[行ラベル]],0),MATCH($AU$4,年齢階層×在院期間区分F02F09[#Headers],0)),0)+IFERROR(INDEX(年齢階層×在院期間区分F02F09[#All],MATCH($AK9,年齢階層×在院期間区分F02F09[[#All],[行ラベル]],0),MATCH($AV$4,年齢階層×在院期間区分F02F09[#Headers],0)),0)+IFERROR(INDEX(年齢階層×在院期間区分F02F09[#All],MATCH($AK9,年齢階層×在院期間区分F02F09[[#All],[行ラベル]],0),MATCH($AW$4,年齢階層×在院期間区分F02F09[#Headers],0)),0)+IFERROR(INDEX(年齢階層×在院期間区分F02F09[#All],MATCH($AK9,年齢階層×在院期間区分F02F09[[#All],[行ラベル]],0),MATCH($AX$4,年齢階層×在院期間区分F02F09[#Headers],0)),0)+IFERROR(INDEX(年齢階層×在院期間区分F02F09[#All],MATCH($AK9,年齢階層×在院期間区分F02F09[[#All],[行ラベル]],0),MATCH($AY$4,年齢階層×在院期間区分F02F09[#Headers],0)),0)</f>
        <v>15</v>
      </c>
      <c r="H9" s="209">
        <f t="shared" si="2"/>
        <v>8.6206896551724144E-2</v>
      </c>
      <c r="I9" s="231">
        <f>IFERROR(INDEX(年齢階層×在院期間区分F02F09[#All],MATCH($AK9,年齢階層×在院期間区分F02F09[[#All],[行ラベル]],0),MATCH($AZ$4,年齢階層×在院期間区分F02F09[#Headers],0)),0)+IFERROR(INDEX(年齢階層×在院期間区分F02F09[#All],MATCH($AK9,年齢階層×在院期間区分F02F09[[#All],[行ラベル]],0),MATCH($BA$4,年齢階層×在院期間区分F02F09[#Headers],0)),0)</f>
        <v>16</v>
      </c>
      <c r="J9" s="225">
        <f t="shared" si="3"/>
        <v>0.12213740458015267</v>
      </c>
      <c r="K9" s="208">
        <f t="shared" si="4"/>
        <v>125</v>
      </c>
      <c r="L9" s="209">
        <f t="shared" si="5"/>
        <v>6.4699792960662528E-2</v>
      </c>
      <c r="O9" s="54" t="s">
        <v>6</v>
      </c>
      <c r="P9" s="66">
        <v>10</v>
      </c>
      <c r="Q9" s="66">
        <v>15</v>
      </c>
      <c r="R9" s="66">
        <v>9</v>
      </c>
      <c r="S9" s="66">
        <v>11</v>
      </c>
      <c r="T9" s="66">
        <v>11</v>
      </c>
      <c r="U9" s="66">
        <v>7</v>
      </c>
      <c r="V9" s="66">
        <v>13</v>
      </c>
      <c r="W9" s="66">
        <v>14</v>
      </c>
      <c r="X9" s="66">
        <v>4</v>
      </c>
      <c r="Y9" s="66">
        <v>6</v>
      </c>
      <c r="Z9" s="66">
        <v>2</v>
      </c>
      <c r="AA9" s="66">
        <v>3</v>
      </c>
      <c r="AB9" s="66">
        <v>3</v>
      </c>
      <c r="AC9" s="66">
        <v>1</v>
      </c>
      <c r="AD9" s="66">
        <v>12</v>
      </c>
      <c r="AE9" s="66">
        <v>4</v>
      </c>
      <c r="AK9" s="54" t="s">
        <v>6</v>
      </c>
      <c r="AL9" s="67"/>
      <c r="AM9" s="67"/>
      <c r="AO9" s="81"/>
    </row>
    <row r="10" spans="2:53" s="22" customFormat="1" ht="18.75" customHeight="1" x14ac:dyDescent="0.15">
      <c r="B10" s="230" t="s">
        <v>7</v>
      </c>
      <c r="C10" s="208">
        <f>IFERROR(INDEX(年齢階層×在院期間区分F02F09[#All],MATCH($AK10,年齢階層×在院期間区分F02F09[[#All],[行ラベル]],0),MATCH($AL$4,年齢階層×在院期間区分F02F09[#Headers],0)),0)+IFERROR(INDEX(年齢階層×在院期間区分F02F09[#All],MATCH($AK10,年齢階層×在院期間区分F02F09[[#All],[行ラベル]],0),MATCH($AM$4,年齢階層×在院期間区分F02F09[#Headers],0)),0)+IFERROR(INDEX(年齢階層×在院期間区分F02F09[#All],MATCH($AK10,年齢階層×在院期間区分F02F09[[#All],[行ラベル]],0),MATCH($AN$4,年齢階層×在院期間区分F02F09[#Headers],0)),0)+IFERROR(INDEX(年齢階層×在院期間区分F02F09[#All],MATCH($AK10,年齢階層×在院期間区分F02F09[[#All],[行ラベル]],0),MATCH($AO$4,年齢階層×在院期間区分F02F09[#Headers],0)),0)</f>
        <v>106</v>
      </c>
      <c r="D10" s="209">
        <f t="shared" si="0"/>
        <v>0.11099476439790576</v>
      </c>
      <c r="E10" s="232">
        <f>IFERROR(INDEX(年齢階層×在院期間区分F02F09[#All],MATCH($AK10,年齢階層×在院期間区分F02F09[[#All],[行ラベル]],0),MATCH($AP$4,年齢階層×在院期間区分F02F09[#Headers],0)),0)+IFERROR(INDEX(年齢階層×在院期間区分F02F09[#All],MATCH($AK10,年齢階層×在院期間区分F02F09[[#All],[行ラベル]],0),MATCH($AQ$4,年齢階層×在院期間区分F02F09[#Headers],0)),0)+IFERROR(INDEX(年齢階層×在院期間区分F02F09[#All],MATCH($AK10,年齢階層×在院期間区分F02F09[[#All],[行ラベル]],0),MATCH($AR$4,年齢階層×在院期間区分F02F09[#Headers],0)),0)+IFERROR(INDEX(年齢階層×在院期間区分F02F09[#All],MATCH($AK10,年齢階層×在院期間区分F02F09[[#All],[行ラベル]],0),MATCH($AS$4,年齢階層×在院期間区分F02F09[#Headers],0)),0)+IFERROR(INDEX(年齢階層×在院期間区分F02F09[#All],MATCH($AK10,年齢階層×在院期間区分F02F09[[#All],[行ラベル]],0),MATCH($AT$4,年齢階層×在院期間区分F02F09[#Headers],0)),0)</f>
        <v>88</v>
      </c>
      <c r="F10" s="225">
        <f t="shared" si="1"/>
        <v>0.13095238095238096</v>
      </c>
      <c r="G10" s="231">
        <f>IFERROR(INDEX(年齢階層×在院期間区分F02F09[#All],MATCH($AK10,年齢階層×在院期間区分F02F09[[#All],[行ラベル]],0),MATCH($AU$4,年齢階層×在院期間区分F02F09[#Headers],0)),0)+IFERROR(INDEX(年齢階層×在院期間区分F02F09[#All],MATCH($AK10,年齢階層×在院期間区分F02F09[[#All],[行ラベル]],0),MATCH($AV$4,年齢階層×在院期間区分F02F09[#Headers],0)),0)+IFERROR(INDEX(年齢階層×在院期間区分F02F09[#All],MATCH($AK10,年齢階層×在院期間区分F02F09[[#All],[行ラベル]],0),MATCH($AW$4,年齢階層×在院期間区分F02F09[#Headers],0)),0)+IFERROR(INDEX(年齢階層×在院期間区分F02F09[#All],MATCH($AK10,年齢階層×在院期間区分F02F09[[#All],[行ラベル]],0),MATCH($AX$4,年齢階層×在院期間区分F02F09[#Headers],0)),0)+IFERROR(INDEX(年齢階層×在院期間区分F02F09[#All],MATCH($AK10,年齢階層×在院期間区分F02F09[[#All],[行ラベル]],0),MATCH($AY$4,年齢階層×在院期間区分F02F09[#Headers],0)),0)</f>
        <v>20</v>
      </c>
      <c r="H10" s="210">
        <f t="shared" si="2"/>
        <v>0.11494252873563218</v>
      </c>
      <c r="I10" s="208">
        <f>IFERROR(INDEX(年齢階層×在院期間区分F02F09[#All],MATCH($AK10,年齢階層×在院期間区分F02F09[[#All],[行ラベル]],0),MATCH($AZ$4,年齢階層×在院期間区分F02F09[#Headers],0)),0)+IFERROR(INDEX(年齢階層×在院期間区分F02F09[#All],MATCH($AK10,年齢階層×在院期間区分F02F09[[#All],[行ラベル]],0),MATCH($BA$4,年齢階層×在院期間区分F02F09[#Headers],0)),0)</f>
        <v>31</v>
      </c>
      <c r="J10" s="209">
        <f t="shared" si="3"/>
        <v>0.23664122137404581</v>
      </c>
      <c r="K10" s="208">
        <f t="shared" si="4"/>
        <v>245</v>
      </c>
      <c r="L10" s="209">
        <f t="shared" si="5"/>
        <v>0.12681159420289856</v>
      </c>
      <c r="O10" s="54" t="s">
        <v>7</v>
      </c>
      <c r="P10" s="66">
        <v>21</v>
      </c>
      <c r="Q10" s="66">
        <v>24</v>
      </c>
      <c r="R10" s="66">
        <v>30</v>
      </c>
      <c r="S10" s="66">
        <v>31</v>
      </c>
      <c r="T10" s="66">
        <v>22</v>
      </c>
      <c r="U10" s="66">
        <v>12</v>
      </c>
      <c r="V10" s="66">
        <v>23</v>
      </c>
      <c r="W10" s="66">
        <v>21</v>
      </c>
      <c r="X10" s="66">
        <v>10</v>
      </c>
      <c r="Y10" s="66">
        <v>4</v>
      </c>
      <c r="Z10" s="66">
        <v>2</v>
      </c>
      <c r="AA10" s="66">
        <v>8</v>
      </c>
      <c r="AB10" s="66">
        <v>3</v>
      </c>
      <c r="AC10" s="66">
        <v>3</v>
      </c>
      <c r="AD10" s="66">
        <v>20</v>
      </c>
      <c r="AE10" s="66">
        <v>11</v>
      </c>
      <c r="AK10" s="54" t="s">
        <v>7</v>
      </c>
      <c r="AL10" s="67"/>
      <c r="AM10" s="67"/>
      <c r="AO10" s="81"/>
    </row>
    <row r="11" spans="2:53" s="22" customFormat="1" ht="18.75" customHeight="1" x14ac:dyDescent="0.15">
      <c r="B11" s="230" t="s">
        <v>8</v>
      </c>
      <c r="C11" s="232">
        <f>IFERROR(INDEX(年齢階層×在院期間区分F02F09[#All],MATCH($AK11,年齢階層×在院期間区分F02F09[[#All],[行ラベル]],0),MATCH($AL$4,年齢階層×在院期間区分F02F09[#Headers],0)),0)+IFERROR(INDEX(年齢階層×在院期間区分F02F09[#All],MATCH($AK11,年齢階層×在院期間区分F02F09[[#All],[行ラベル]],0),MATCH($AM$4,年齢階層×在院期間区分F02F09[#Headers],0)),0)+IFERROR(INDEX(年齢階層×在院期間区分F02F09[#All],MATCH($AK11,年齢階層×在院期間区分F02F09[[#All],[行ラベル]],0),MATCH($AN$4,年齢階層×在院期間区分F02F09[#Headers],0)),0)+IFERROR(INDEX(年齢階層×在院期間区分F02F09[#All],MATCH($AK11,年齢階層×在院期間区分F02F09[[#All],[行ラベル]],0),MATCH($AO$4,年齢階層×在院期間区分F02F09[#Headers],0)),0)</f>
        <v>276</v>
      </c>
      <c r="D11" s="210">
        <f t="shared" si="0"/>
        <v>0.28900523560209423</v>
      </c>
      <c r="E11" s="231">
        <f>IFERROR(INDEX(年齢階層×在院期間区分F02F09[#All],MATCH($AK11,年齢階層×在院期間区分F02F09[[#All],[行ラベル]],0),MATCH($AP$4,年齢階層×在院期間区分F02F09[#Headers],0)),0)+IFERROR(INDEX(年齢階層×在院期間区分F02F09[#All],MATCH($AK11,年齢階層×在院期間区分F02F09[[#All],[行ラベル]],0),MATCH($AQ$4,年齢階層×在院期間区分F02F09[#Headers],0)),0)+IFERROR(INDEX(年齢階層×在院期間区分F02F09[#All],MATCH($AK11,年齢階層×在院期間区分F02F09[[#All],[行ラベル]],0),MATCH($AR$4,年齢階層×在院期間区分F02F09[#Headers],0)),0)+IFERROR(INDEX(年齢階層×在院期間区分F02F09[#All],MATCH($AK11,年齢階層×在院期間区分F02F09[[#All],[行ラベル]],0),MATCH($AS$4,年齢階層×在院期間区分F02F09[#Headers],0)),0)+IFERROR(INDEX(年齢階層×在院期間区分F02F09[#All],MATCH($AK11,年齢階層×在院期間区分F02F09[[#All],[行ラベル]],0),MATCH($AT$4,年齢階層×在院期間区分F02F09[#Headers],0)),0)</f>
        <v>201</v>
      </c>
      <c r="F11" s="209">
        <f t="shared" si="1"/>
        <v>0.29910714285714285</v>
      </c>
      <c r="G11" s="231">
        <f>IFERROR(INDEX(年齢階層×在院期間区分F02F09[#All],MATCH($AK11,年齢階層×在院期間区分F02F09[[#All],[行ラベル]],0),MATCH($AU$4,年齢階層×在院期間区分F02F09[#Headers],0)),0)+IFERROR(INDEX(年齢階層×在院期間区分F02F09[#All],MATCH($AK11,年齢階層×在院期間区分F02F09[[#All],[行ラベル]],0),MATCH($AV$4,年齢階層×在院期間区分F02F09[#Headers],0)),0)+IFERROR(INDEX(年齢階層×在院期間区分F02F09[#All],MATCH($AK11,年齢階層×在院期間区分F02F09[[#All],[行ラベル]],0),MATCH($AW$4,年齢階層×在院期間区分F02F09[#Headers],0)),0)+IFERROR(INDEX(年齢階層×在院期間区分F02F09[#All],MATCH($AK11,年齢階層×在院期間区分F02F09[[#All],[行ラベル]],0),MATCH($AX$4,年齢階層×在院期間区分F02F09[#Headers],0)),0)+IFERROR(INDEX(年齢階層×在院期間区分F02F09[#All],MATCH($AK11,年齢階層×在院期間区分F02F09[[#All],[行ラベル]],0),MATCH($AY$4,年齢階層×在院期間区分F02F09[#Headers],0)),0)</f>
        <v>48</v>
      </c>
      <c r="H11" s="209">
        <f t="shared" si="2"/>
        <v>0.27586206896551724</v>
      </c>
      <c r="I11" s="208">
        <f>IFERROR(INDEX(年齢階層×在院期間区分F02F09[#All],MATCH($AK11,年齢階層×在院期間区分F02F09[[#All],[行ラベル]],0),MATCH($AZ$4,年齢階層×在院期間区分F02F09[#Headers],0)),0)+IFERROR(INDEX(年齢階層×在院期間区分F02F09[#All],MATCH($AK11,年齢階層×在院期間区分F02F09[[#All],[行ラベル]],0),MATCH($BA$4,年齢階層×在院期間区分F02F09[#Headers],0)),0)</f>
        <v>34</v>
      </c>
      <c r="J11" s="209">
        <f t="shared" si="3"/>
        <v>0.25954198473282442</v>
      </c>
      <c r="K11" s="208">
        <f t="shared" si="4"/>
        <v>559</v>
      </c>
      <c r="L11" s="209">
        <f t="shared" si="5"/>
        <v>0.28933747412008282</v>
      </c>
      <c r="O11" s="54" t="s">
        <v>8</v>
      </c>
      <c r="P11" s="66">
        <v>61</v>
      </c>
      <c r="Q11" s="66">
        <v>75</v>
      </c>
      <c r="R11" s="66">
        <v>61</v>
      </c>
      <c r="S11" s="66">
        <v>79</v>
      </c>
      <c r="T11" s="66">
        <v>61</v>
      </c>
      <c r="U11" s="66">
        <v>35</v>
      </c>
      <c r="V11" s="66">
        <v>47</v>
      </c>
      <c r="W11" s="66">
        <v>34</v>
      </c>
      <c r="X11" s="66">
        <v>24</v>
      </c>
      <c r="Y11" s="66">
        <v>16</v>
      </c>
      <c r="Z11" s="66">
        <v>14</v>
      </c>
      <c r="AA11" s="66">
        <v>5</v>
      </c>
      <c r="AB11" s="66">
        <v>5</v>
      </c>
      <c r="AC11" s="66">
        <v>8</v>
      </c>
      <c r="AD11" s="66">
        <v>25</v>
      </c>
      <c r="AE11" s="66">
        <v>9</v>
      </c>
      <c r="AK11" s="54" t="s">
        <v>8</v>
      </c>
      <c r="AL11" s="67"/>
      <c r="AM11" s="67"/>
      <c r="AO11" s="81"/>
    </row>
    <row r="12" spans="2:53" s="22" customFormat="1" ht="18.75" customHeight="1" x14ac:dyDescent="0.15">
      <c r="B12" s="230" t="s">
        <v>9</v>
      </c>
      <c r="C12" s="208">
        <f>IFERROR(INDEX(年齢階層×在院期間区分F02F09[#All],MATCH($AK12,年齢階層×在院期間区分F02F09[[#All],[行ラベル]],0),MATCH($AL$4,年齢階層×在院期間区分F02F09[#Headers],0)),0)+IFERROR(INDEX(年齢階層×在院期間区分F02F09[#All],MATCH($AK12,年齢階層×在院期間区分F02F09[[#All],[行ラベル]],0),MATCH($AM$4,年齢階層×在院期間区分F02F09[#Headers],0)),0)+IFERROR(INDEX(年齢階層×在院期間区分F02F09[#All],MATCH($AK12,年齢階層×在院期間区分F02F09[[#All],[行ラベル]],0),MATCH($AN$4,年齢階層×在院期間区分F02F09[#Headers],0)),0)+IFERROR(INDEX(年齢階層×在院期間区分F02F09[#All],MATCH($AK12,年齢階層×在院期間区分F02F09[[#All],[行ラベル]],0),MATCH($AO$4,年齢階層×在院期間区分F02F09[#Headers],0)),0)</f>
        <v>412</v>
      </c>
      <c r="D12" s="209">
        <f t="shared" si="0"/>
        <v>0.43141361256544503</v>
      </c>
      <c r="E12" s="231">
        <f>IFERROR(INDEX(年齢階層×在院期間区分F02F09[#All],MATCH($AK12,年齢階層×在院期間区分F02F09[[#All],[行ラベル]],0),MATCH($AP$4,年齢階層×在院期間区分F02F09[#Headers],0)),0)+IFERROR(INDEX(年齢階層×在院期間区分F02F09[#All],MATCH($AK12,年齢階層×在院期間区分F02F09[[#All],[行ラベル]],0),MATCH($AQ$4,年齢階層×在院期間区分F02F09[#Headers],0)),0)+IFERROR(INDEX(年齢階層×在院期間区分F02F09[#All],MATCH($AK12,年齢階層×在院期間区分F02F09[[#All],[行ラベル]],0),MATCH($AR$4,年齢階層×在院期間区分F02F09[#Headers],0)),0)+IFERROR(INDEX(年齢階層×在院期間区分F02F09[#All],MATCH($AK12,年齢階層×在院期間区分F02F09[[#All],[行ラベル]],0),MATCH($AS$4,年齢階層×在院期間区分F02F09[#Headers],0)),0)+IFERROR(INDEX(年齢階層×在院期間区分F02F09[#All],MATCH($AK12,年齢階層×在院期間区分F02F09[[#All],[行ラベル]],0),MATCH($AT$4,年齢階層×在院期間区分F02F09[#Headers],0)),0)</f>
        <v>247</v>
      </c>
      <c r="F12" s="210">
        <f t="shared" si="1"/>
        <v>0.36755952380952384</v>
      </c>
      <c r="G12" s="231">
        <f>IFERROR(INDEX(年齢階層×在院期間区分F02F09[#All],MATCH($AK12,年齢階層×在院期間区分F02F09[[#All],[行ラベル]],0),MATCH($AU$4,年齢階層×在院期間区分F02F09[#Headers],0)),0)+IFERROR(INDEX(年齢階層×在院期間区分F02F09[#All],MATCH($AK12,年齢階層×在院期間区分F02F09[[#All],[行ラベル]],0),MATCH($AV$4,年齢階層×在院期間区分F02F09[#Headers],0)),0)+IFERROR(INDEX(年齢階層×在院期間区分F02F09[#All],MATCH($AK12,年齢階層×在院期間区分F02F09[[#All],[行ラベル]],0),MATCH($AW$4,年齢階層×在院期間区分F02F09[#Headers],0)),0)+IFERROR(INDEX(年齢階層×在院期間区分F02F09[#All],MATCH($AK12,年齢階層×在院期間区分F02F09[[#All],[行ラベル]],0),MATCH($AX$4,年齢階層×在院期間区分F02F09[#Headers],0)),0)+IFERROR(INDEX(年齢階層×在院期間区分F02F09[#All],MATCH($AK12,年齢階層×在院期間区分F02F09[[#All],[行ラベル]],0),MATCH($AY$4,年齢階層×在院期間区分F02F09[#Headers],0)),0)</f>
        <v>59</v>
      </c>
      <c r="H12" s="210">
        <f t="shared" si="2"/>
        <v>0.33908045977011492</v>
      </c>
      <c r="I12" s="232">
        <f>IFERROR(INDEX(年齢階層×在院期間区分F02F09[#All],MATCH($AK12,年齢階層×在院期間区分F02F09[[#All],[行ラベル]],0),MATCH($AZ$4,年齢階層×在院期間区分F02F09[#Headers],0)),0)+IFERROR(INDEX(年齢階層×在院期間区分F02F09[#All],MATCH($AK12,年齢階層×在院期間区分F02F09[[#All],[行ラベル]],0),MATCH($BA$4,年齢階層×在院期間区分F02F09[#Headers],0)),0)</f>
        <v>35</v>
      </c>
      <c r="J12" s="209">
        <f t="shared" si="3"/>
        <v>0.26717557251908397</v>
      </c>
      <c r="K12" s="208">
        <f t="shared" si="4"/>
        <v>753</v>
      </c>
      <c r="L12" s="209">
        <f t="shared" si="5"/>
        <v>0.38975155279503104</v>
      </c>
      <c r="O12" s="54" t="s">
        <v>9</v>
      </c>
      <c r="P12" s="66">
        <v>70</v>
      </c>
      <c r="Q12" s="66">
        <v>117</v>
      </c>
      <c r="R12" s="66">
        <v>118</v>
      </c>
      <c r="S12" s="66">
        <v>107</v>
      </c>
      <c r="T12" s="66">
        <v>79</v>
      </c>
      <c r="U12" s="66">
        <v>41</v>
      </c>
      <c r="V12" s="66">
        <v>48</v>
      </c>
      <c r="W12" s="66">
        <v>47</v>
      </c>
      <c r="X12" s="66">
        <v>32</v>
      </c>
      <c r="Y12" s="66">
        <v>20</v>
      </c>
      <c r="Z12" s="66">
        <v>16</v>
      </c>
      <c r="AA12" s="66">
        <v>10</v>
      </c>
      <c r="AB12" s="66">
        <v>9</v>
      </c>
      <c r="AC12" s="66">
        <v>4</v>
      </c>
      <c r="AD12" s="66">
        <v>30</v>
      </c>
      <c r="AE12" s="66">
        <v>5</v>
      </c>
      <c r="AK12" s="54" t="s">
        <v>9</v>
      </c>
      <c r="AL12" s="67"/>
      <c r="AM12" s="67"/>
      <c r="AO12" s="81"/>
    </row>
    <row r="13" spans="2:53" s="22" customFormat="1" ht="18.75" customHeight="1" thickBot="1" x14ac:dyDescent="0.2">
      <c r="B13" s="233" t="s">
        <v>10</v>
      </c>
      <c r="C13" s="234">
        <f>IFERROR(INDEX(年齢階層×在院期間区分F02F09[#All],MATCH($AK13,年齢階層×在院期間区分F02F09[[#All],[行ラベル]],0),MATCH($AL$4,年齢階層×在院期間区分F02F09[#Headers],0)),0)+IFERROR(INDEX(年齢階層×在院期間区分F02F09[#All],MATCH($AK13,年齢階層×在院期間区分F02F09[[#All],[行ラベル]],0),MATCH($AM$4,年齢階層×在院期間区分F02F09[#Headers],0)),0)+IFERROR(INDEX(年齢階層×在院期間区分F02F09[#All],MATCH($AK13,年齢階層×在院期間区分F02F09[[#All],[行ラベル]],0),MATCH($AN$4,年齢階層×在院期間区分F02F09[#Headers],0)),0)+IFERROR(INDEX(年齢階層×在院期間区分F02F09[#All],MATCH($AK13,年齢階層×在院期間区分F02F09[[#All],[行ラベル]],0),MATCH($AO$4,年齢階層×在院期間区分F02F09[#Headers],0)),0)</f>
        <v>85</v>
      </c>
      <c r="D13" s="212">
        <f t="shared" si="0"/>
        <v>8.9005235602094238E-2</v>
      </c>
      <c r="E13" s="211">
        <f>IFERROR(INDEX(年齢階層×在院期間区分F02F09[#All],MATCH($AK13,年齢階層×在院期間区分F02F09[[#All],[行ラベル]],0),MATCH($AP$4,年齢階層×在院期間区分F02F09[#Headers],0)),0)+IFERROR(INDEX(年齢階層×在院期間区分F02F09[#All],MATCH($AK13,年齢階層×在院期間区分F02F09[[#All],[行ラベル]],0),MATCH($AQ$4,年齢階層×在院期間区分F02F09[#Headers],0)),0)+IFERROR(INDEX(年齢階層×在院期間区分F02F09[#All],MATCH($AK13,年齢階層×在院期間区分F02F09[[#All],[行ラベル]],0),MATCH($AR$4,年齢階層×在院期間区分F02F09[#Headers],0)),0)+IFERROR(INDEX(年齢階層×在院期間区分F02F09[#All],MATCH($AK13,年齢階層×在院期間区分F02F09[[#All],[行ラベル]],0),MATCH($AS$4,年齢階層×在院期間区分F02F09[#Headers],0)),0)+IFERROR(INDEX(年齢階層×在院期間区分F02F09[#All],MATCH($AK13,年齢階層×在院期間区分F02F09[[#All],[行ラベル]],0),MATCH($AT$4,年齢階層×在院期間区分F02F09[#Headers],0)),0)</f>
        <v>66</v>
      </c>
      <c r="F13" s="213">
        <f t="shared" si="1"/>
        <v>9.8214285714285712E-2</v>
      </c>
      <c r="G13" s="211">
        <f>IFERROR(INDEX(年齢階層×在院期間区分F02F09[#All],MATCH($AK13,年齢階層×在院期間区分F02F09[[#All],[行ラベル]],0),MATCH($AU$4,年齢階層×在院期間区分F02F09[#Headers],0)),0)+IFERROR(INDEX(年齢階層×在院期間区分F02F09[#All],MATCH($AK13,年齢階層×在院期間区分F02F09[[#All],[行ラベル]],0),MATCH($AV$4,年齢階層×在院期間区分F02F09[#Headers],0)),0)+IFERROR(INDEX(年齢階層×在院期間区分F02F09[#All],MATCH($AK13,年齢階層×在院期間区分F02F09[[#All],[行ラベル]],0),MATCH($AW$4,年齢階層×在院期間区分F02F09[#Headers],0)),0)+IFERROR(INDEX(年齢階層×在院期間区分F02F09[#All],MATCH($AK13,年齢階層×在院期間区分F02F09[[#All],[行ラベル]],0),MATCH($AX$4,年齢階層×在院期間区分F02F09[#Headers],0)),0)+IFERROR(INDEX(年齢階層×在院期間区分F02F09[#All],MATCH($AK13,年齢階層×在院期間区分F02F09[[#All],[行ラベル]],0),MATCH($AY$4,年齢階層×在院期間区分F02F09[#Headers],0)),0)</f>
        <v>21</v>
      </c>
      <c r="H13" s="213">
        <f t="shared" si="2"/>
        <v>0.1206896551724138</v>
      </c>
      <c r="I13" s="211">
        <f>IFERROR(INDEX(年齢階層×在院期間区分F02F09[#All],MATCH($AK13,年齢階層×在院期間区分F02F09[[#All],[行ラベル]],0),MATCH($AZ$4,年齢階層×在院期間区分F02F09[#Headers],0)),0)+IFERROR(INDEX(年齢階層×在院期間区分F02F09[#All],MATCH($AK13,年齢階層×在院期間区分F02F09[[#All],[行ラベル]],0),MATCH($BA$4,年齢階層×在院期間区分F02F09[#Headers],0)),0)</f>
        <v>11</v>
      </c>
      <c r="J13" s="212">
        <f t="shared" si="3"/>
        <v>8.3969465648854963E-2</v>
      </c>
      <c r="K13" s="211">
        <f t="shared" si="4"/>
        <v>183</v>
      </c>
      <c r="L13" s="212">
        <f t="shared" si="5"/>
        <v>9.4720496894409936E-2</v>
      </c>
      <c r="O13" s="54" t="s">
        <v>10</v>
      </c>
      <c r="P13" s="66">
        <v>24</v>
      </c>
      <c r="Q13" s="66">
        <v>19</v>
      </c>
      <c r="R13" s="66">
        <v>24</v>
      </c>
      <c r="S13" s="66">
        <v>18</v>
      </c>
      <c r="T13" s="66">
        <v>18</v>
      </c>
      <c r="U13" s="66">
        <v>10</v>
      </c>
      <c r="V13" s="66">
        <v>20</v>
      </c>
      <c r="W13" s="66">
        <v>11</v>
      </c>
      <c r="X13" s="66">
        <v>7</v>
      </c>
      <c r="Y13" s="66">
        <v>5</v>
      </c>
      <c r="Z13" s="66">
        <v>8</v>
      </c>
      <c r="AA13" s="66">
        <v>3</v>
      </c>
      <c r="AB13" s="66">
        <v>3</v>
      </c>
      <c r="AC13" s="66">
        <v>2</v>
      </c>
      <c r="AD13" s="66">
        <v>6</v>
      </c>
      <c r="AE13" s="66">
        <v>5</v>
      </c>
      <c r="AK13" s="54" t="s">
        <v>10</v>
      </c>
      <c r="AL13" s="67"/>
      <c r="AM13" s="67"/>
      <c r="AO13" s="81"/>
    </row>
    <row r="14" spans="2:53" s="22" customFormat="1" ht="18.75" customHeight="1" thickTop="1" thickBot="1" x14ac:dyDescent="0.2">
      <c r="B14" s="235" t="s">
        <v>162</v>
      </c>
      <c r="C14" s="236">
        <f>SUM(C5:C13)</f>
        <v>955</v>
      </c>
      <c r="D14" s="244">
        <f t="shared" si="0"/>
        <v>1</v>
      </c>
      <c r="E14" s="236">
        <f>SUM(E5:E13)</f>
        <v>672</v>
      </c>
      <c r="F14" s="244">
        <f t="shared" si="1"/>
        <v>1</v>
      </c>
      <c r="G14" s="236">
        <f>SUM(G5:G13)</f>
        <v>174</v>
      </c>
      <c r="H14" s="244">
        <f t="shared" si="2"/>
        <v>1</v>
      </c>
      <c r="I14" s="236">
        <f>SUM(I5:I13)</f>
        <v>131</v>
      </c>
      <c r="J14" s="244">
        <f t="shared" si="3"/>
        <v>1</v>
      </c>
      <c r="K14" s="236">
        <f>SUM(K5:K13)</f>
        <v>1932</v>
      </c>
      <c r="L14" s="244">
        <f t="shared" si="5"/>
        <v>1</v>
      </c>
      <c r="O14" s="430" t="s">
        <v>309</v>
      </c>
      <c r="P14" s="504" t="s">
        <v>183</v>
      </c>
      <c r="Q14" s="504" t="s">
        <v>184</v>
      </c>
      <c r="R14" s="504" t="s">
        <v>185</v>
      </c>
      <c r="S14" s="504" t="s">
        <v>186</v>
      </c>
      <c r="T14" s="504" t="s">
        <v>187</v>
      </c>
      <c r="U14" s="504" t="s">
        <v>188</v>
      </c>
      <c r="V14" s="504" t="s">
        <v>189</v>
      </c>
      <c r="W14" s="504" t="s">
        <v>190</v>
      </c>
      <c r="X14" s="504" t="s">
        <v>191</v>
      </c>
      <c r="Y14" s="504" t="s">
        <v>192</v>
      </c>
      <c r="Z14" s="504" t="s">
        <v>193</v>
      </c>
      <c r="AA14" s="504" t="s">
        <v>194</v>
      </c>
      <c r="AB14" s="504" t="s">
        <v>195</v>
      </c>
      <c r="AC14" s="504" t="s">
        <v>196</v>
      </c>
      <c r="AD14" s="504" t="s">
        <v>197</v>
      </c>
      <c r="AE14" s="56" t="s">
        <v>198</v>
      </c>
      <c r="AK14" s="81"/>
      <c r="AL14" s="81"/>
      <c r="AO14" s="81"/>
    </row>
    <row r="15" spans="2:53" s="22" customFormat="1" ht="18.75" customHeight="1" thickTop="1" x14ac:dyDescent="0.15">
      <c r="B15" s="238" t="s">
        <v>93</v>
      </c>
      <c r="C15" s="239">
        <f>IFERROR(INDEX(年齢階層×在院期間区分F02F09_65歳未満以上[#All],MATCH($AK15,年齢階層×在院期間区分F02F09_65歳未満以上[[#All],[列1]],0),MATCH($AL$4,年齢階層×在院期間区分F02F09_65歳未満以上[#Headers],0)),0)+IFERROR(INDEX(年齢階層×在院期間区分F02F09_65歳未満以上[#All],MATCH($AK15,年齢階層×在院期間区分F02F09_65歳未満以上[[#All],[列1]],0),MATCH($AM$4,年齢階層×在院期間区分F02F09_65歳未満以上[#Headers],0)),0)+IFERROR(INDEX(年齢階層×在院期間区分F02F09_65歳未満以上[#All],MATCH($AK15,年齢階層×在院期間区分F02F09_65歳未満以上[[#All],[列1]],0),MATCH($AN$4,年齢階層×在院期間区分F02F09_65歳未満以上[#Headers],0)),0)+IFERROR(INDEX(年齢階層×在院期間区分F02F09_65歳未満以上[#All],MATCH($AK15,年齢階層×在院期間区分F02F09_65歳未満以上[[#All],[列1]],0),MATCH($AO$4,年齢階層×在院期間区分F02F09_65歳未満以上[#Headers],0)),0)</f>
        <v>112</v>
      </c>
      <c r="D15" s="242">
        <f t="shared" si="0"/>
        <v>0.11727748691099477</v>
      </c>
      <c r="E15" s="239">
        <f>IFERROR(INDEX(年齢階層×在院期間区分F02F09_65歳未満以上[#All],MATCH($AK15,年齢階層×在院期間区分F02F09_65歳未満以上[[#All],[列1]],0),MATCH($AP$4,年齢階層×在院期間区分F02F09_65歳未満以上[#Headers],0)),0)+IFERROR(INDEX(年齢階層×在院期間区分F02F09_65歳未満以上[#All],MATCH($AK15,年齢階層×在院期間区分F02F09_65歳未満以上[[#All],[列1]],0),MATCH($AQ$4,年齢階層×在院期間区分F02F09_65歳未満以上[#Headers],0)),0)+IFERROR(INDEX(年齢階層×在院期間区分F02F09_65歳未満以上[#All],MATCH($AK15,年齢階層×在院期間区分F02F09_65歳未満以上[[#All],[列1]],0),MATCH($AR$4,年齢階層×在院期間区分F02F09_65歳未満以上[#Headers],0)),0)+IFERROR(INDEX(年齢階層×在院期間区分F02F09_65歳未満以上[#All],MATCH($AK15,年齢階層×在院期間区分F02F09_65歳未満以上[[#All],[列1]],0),MATCH($AS$4,年齢階層×在院期間区分F02F09_65歳未満以上[#Headers],0)),0)+IFERROR(INDEX(年齢階層×在院期間区分F02F09_65歳未満以上[#All],MATCH($AK15,年齢階層×在院期間区分F02F09_65歳未満以上[[#All],[列1]],0),MATCH($AT$4,年齢階層×在院期間区分F02F09_65歳未満以上[#Headers],0)),0)</f>
        <v>102</v>
      </c>
      <c r="F15" s="242">
        <f t="shared" si="1"/>
        <v>0.15178571428571427</v>
      </c>
      <c r="G15" s="239">
        <f>IFERROR(INDEX(年齢階層×在院期間区分F02F09_65歳未満以上[#All],MATCH($AK15,年齢階層×在院期間区分F02F09_65歳未満以上[[#All],[列1]],0),MATCH($AU$4,年齢階層×在院期間区分F02F09_65歳未満以上[#Headers],0)),0)+IFERROR(INDEX(年齢階層×在院期間区分F02F09_65歳未満以上[#All],MATCH($AK15,年齢階層×在院期間区分F02F09_65歳未満以上[[#All],[列1]],0),MATCH($AV$4,年齢階層×在院期間区分F02F09_65歳未満以上[#Headers],0)),0)+IFERROR(INDEX(年齢階層×在院期間区分F02F09_65歳未満以上[#All],MATCH($AK15,年齢階層×在院期間区分F02F09_65歳未満以上[[#All],[列1]],0),MATCH($AW$4,年齢階層×在院期間区分F02F09_65歳未満以上[#Headers],0)),0)+IFERROR(INDEX(年齢階層×在院期間区分F02F09_65歳未満以上[#All],MATCH($AK15,年齢階層×在院期間区分F02F09_65歳未満以上[[#All],[列1]],0),MATCH($AX$4,年齢階層×在院期間区分F02F09_65歳未満以上[#Headers],0)),0)+IFERROR(INDEX(年齢階層×在院期間区分F02F09_65歳未満以上[#All],MATCH($AK15,年齢階層×在院期間区分F02F09_65歳未満以上[[#All],[列1]],0),MATCH($AY$4,年齢階層×在院期間区分F02F09_65歳未満以上[#Headers],0)),0)</f>
        <v>35</v>
      </c>
      <c r="H15" s="242">
        <f t="shared" si="2"/>
        <v>0.20114942528735633</v>
      </c>
      <c r="I15" s="239">
        <f>IFERROR(INDEX(年齢階層×在院期間区分F02F09_65歳未満以上[#All],MATCH($AK15,年齢階層×在院期間区分F02F09_65歳未満以上[[#All],[列1]],0),MATCH($AZ$4,年齢階層×在院期間区分F02F09_65歳未満以上[#Headers],0)),0)+IFERROR(INDEX(年齢階層×在院期間区分F02F09_65歳未満以上[#All],MATCH($AK15,年齢階層×在院期間区分F02F09_65歳未満以上[[#All],[列1]],0),MATCH($BA$4,年齢階層×在院期間区分F02F09_65歳未満以上[#Headers],0)),0)</f>
        <v>30</v>
      </c>
      <c r="J15" s="242">
        <f t="shared" si="3"/>
        <v>0.22900763358778625</v>
      </c>
      <c r="K15" s="239">
        <f>C15+E15+G15+I15</f>
        <v>279</v>
      </c>
      <c r="L15" s="242">
        <f t="shared" si="5"/>
        <v>0.14440993788819875</v>
      </c>
      <c r="O15" s="54" t="s">
        <v>307</v>
      </c>
      <c r="P15" s="66">
        <v>20</v>
      </c>
      <c r="Q15" s="66">
        <v>36</v>
      </c>
      <c r="R15" s="66">
        <v>23</v>
      </c>
      <c r="S15" s="66">
        <v>33</v>
      </c>
      <c r="T15" s="66">
        <v>24</v>
      </c>
      <c r="U15" s="66">
        <v>14</v>
      </c>
      <c r="V15" s="66">
        <v>27</v>
      </c>
      <c r="W15" s="66">
        <v>26</v>
      </c>
      <c r="X15" s="66">
        <v>11</v>
      </c>
      <c r="Y15" s="66">
        <v>10</v>
      </c>
      <c r="Z15" s="66">
        <v>5</v>
      </c>
      <c r="AA15" s="66">
        <v>9</v>
      </c>
      <c r="AB15" s="66">
        <v>7</v>
      </c>
      <c r="AC15" s="66">
        <v>4</v>
      </c>
      <c r="AD15" s="66">
        <v>23</v>
      </c>
      <c r="AE15" s="66">
        <v>7</v>
      </c>
      <c r="AK15" s="83" t="s">
        <v>157</v>
      </c>
    </row>
    <row r="16" spans="2:53" s="22" customFormat="1" ht="18.75" customHeight="1" x14ac:dyDescent="0.15">
      <c r="B16" s="240" t="s">
        <v>89</v>
      </c>
      <c r="C16" s="239">
        <f>IFERROR(INDEX(年齢階層×在院期間区分F02F09_65歳未満以上[#All],MATCH($AK16,年齢階層×在院期間区分F02F09_65歳未満以上[[#All],[列1]],0),MATCH($AL$4,年齢階層×在院期間区分F02F09_65歳未満以上[#Headers],0)),0)+IFERROR(INDEX(年齢階層×在院期間区分F02F09_65歳未満以上[#All],MATCH($AK16,年齢階層×在院期間区分F02F09_65歳未満以上[[#All],[列1]],0),MATCH($AM$4,年齢階層×在院期間区分F02F09_65歳未満以上[#Headers],0)),0)+IFERROR(INDEX(年齢階層×在院期間区分F02F09_65歳未満以上[#All],MATCH($AK16,年齢階層×在院期間区分F02F09_65歳未満以上[[#All],[列1]],0),MATCH($AN$4,年齢階層×在院期間区分F02F09_65歳未満以上[#Headers],0)),0)+IFERROR(INDEX(年齢階層×在院期間区分F02F09_65歳未満以上[#All],MATCH($AK16,年齢階層×在院期間区分F02F09_65歳未満以上[[#All],[列1]],0),MATCH($AO$4,年齢階層×在院期間区分F02F09_65歳未満以上[#Headers],0)),0)</f>
        <v>843</v>
      </c>
      <c r="D16" s="241">
        <f t="shared" si="0"/>
        <v>0.88272251308900529</v>
      </c>
      <c r="E16" s="239">
        <f>IFERROR(INDEX(年齢階層×在院期間区分F02F09_65歳未満以上[#All],MATCH($AK16,年齢階層×在院期間区分F02F09_65歳未満以上[[#All],[列1]],0),MATCH($AP$4,年齢階層×在院期間区分F02F09_65歳未満以上[#Headers],0)),0)+IFERROR(INDEX(年齢階層×在院期間区分F02F09_65歳未満以上[#All],MATCH($AK16,年齢階層×在院期間区分F02F09_65歳未満以上[[#All],[列1]],0),MATCH($AQ$4,年齢階層×在院期間区分F02F09_65歳未満以上[#Headers],0)),0)+IFERROR(INDEX(年齢階層×在院期間区分F02F09_65歳未満以上[#All],MATCH($AK16,年齢階層×在院期間区分F02F09_65歳未満以上[[#All],[列1]],0),MATCH($AR$4,年齢階層×在院期間区分F02F09_65歳未満以上[#Headers],0)),0)+IFERROR(INDEX(年齢階層×在院期間区分F02F09_65歳未満以上[#All],MATCH($AK16,年齢階層×在院期間区分F02F09_65歳未満以上[[#All],[列1]],0),MATCH($AS$4,年齢階層×在院期間区分F02F09_65歳未満以上[#Headers],0)),0)+IFERROR(INDEX(年齢階層×在院期間区分F02F09_65歳未満以上[#All],MATCH($AK16,年齢階層×在院期間区分F02F09_65歳未満以上[[#All],[列1]],0),MATCH($AT$4,年齢階層×在院期間区分F02F09_65歳未満以上[#Headers],0)),0)</f>
        <v>570</v>
      </c>
      <c r="F16" s="241">
        <f t="shared" si="1"/>
        <v>0.8482142857142857</v>
      </c>
      <c r="G16" s="239">
        <f>IFERROR(INDEX(年齢階層×在院期間区分F02F09_65歳未満以上[#All],MATCH($AK16,年齢階層×在院期間区分F02F09_65歳未満以上[[#All],[列1]],0),MATCH($AU$4,年齢階層×在院期間区分F02F09_65歳未満以上[#Headers],0)),0)+IFERROR(INDEX(年齢階層×在院期間区分F02F09_65歳未満以上[#All],MATCH($AK16,年齢階層×在院期間区分F02F09_65歳未満以上[[#All],[列1]],0),MATCH($AV$4,年齢階層×在院期間区分F02F09_65歳未満以上[#Headers],0)),0)+IFERROR(INDEX(年齢階層×在院期間区分F02F09_65歳未満以上[#All],MATCH($AK16,年齢階層×在院期間区分F02F09_65歳未満以上[[#All],[列1]],0),MATCH($AW$4,年齢階層×在院期間区分F02F09_65歳未満以上[#Headers],0)),0)+IFERROR(INDEX(年齢階層×在院期間区分F02F09_65歳未満以上[#All],MATCH($AK16,年齢階層×在院期間区分F02F09_65歳未満以上[[#All],[列1]],0),MATCH($AX$4,年齢階層×在院期間区分F02F09_65歳未満以上[#Headers],0)),0)+IFERROR(INDEX(年齢階層×在院期間区分F02F09_65歳未満以上[#All],MATCH($AK16,年齢階層×在院期間区分F02F09_65歳未満以上[[#All],[列1]],0),MATCH($AY$4,年齢階層×在院期間区分F02F09_65歳未満以上[#Headers],0)),0)</f>
        <v>139</v>
      </c>
      <c r="H16" s="241">
        <f t="shared" si="2"/>
        <v>0.79885057471264365</v>
      </c>
      <c r="I16" s="239">
        <f>IFERROR(INDEX(年齢階層×在院期間区分F02F09_65歳未満以上[#All],MATCH($AK16,年齢階層×在院期間区分F02F09_65歳未満以上[[#All],[列1]],0),MATCH($AZ$4,年齢階層×在院期間区分F02F09_65歳未満以上[#Headers],0)),0)+IFERROR(INDEX(年齢階層×在院期間区分F02F09_65歳未満以上[#All],MATCH($AK16,年齢階層×在院期間区分F02F09_65歳未満以上[[#All],[列1]],0),MATCH($BA$4,年齢階層×在院期間区分F02F09_65歳未満以上[#Headers],0)),0)</f>
        <v>101</v>
      </c>
      <c r="J16" s="241">
        <f t="shared" si="3"/>
        <v>0.77099236641221369</v>
      </c>
      <c r="K16" s="239">
        <f>C16+E16+G16+I16</f>
        <v>1653</v>
      </c>
      <c r="L16" s="241">
        <f t="shared" si="5"/>
        <v>0.85559006211180122</v>
      </c>
      <c r="O16" s="83" t="s">
        <v>308</v>
      </c>
      <c r="P16" s="66">
        <v>173</v>
      </c>
      <c r="Q16" s="66">
        <v>224</v>
      </c>
      <c r="R16" s="66">
        <v>223</v>
      </c>
      <c r="S16" s="66">
        <v>223</v>
      </c>
      <c r="T16" s="66">
        <v>172</v>
      </c>
      <c r="U16" s="66">
        <v>94</v>
      </c>
      <c r="V16" s="66">
        <v>130</v>
      </c>
      <c r="W16" s="66">
        <v>105</v>
      </c>
      <c r="X16" s="66">
        <v>69</v>
      </c>
      <c r="Y16" s="66">
        <v>43</v>
      </c>
      <c r="Z16" s="66">
        <v>39</v>
      </c>
      <c r="AA16" s="66">
        <v>23</v>
      </c>
      <c r="AB16" s="66">
        <v>19</v>
      </c>
      <c r="AC16" s="66">
        <v>15</v>
      </c>
      <c r="AD16" s="66">
        <v>74</v>
      </c>
      <c r="AE16" s="66">
        <v>27</v>
      </c>
      <c r="AK16" s="83" t="s">
        <v>88</v>
      </c>
    </row>
    <row r="17" spans="2:41" ht="18.75" customHeight="1" x14ac:dyDescent="0.15"/>
    <row r="18" spans="2:41" ht="18.75" customHeight="1" x14ac:dyDescent="0.15">
      <c r="B18" s="2" t="s">
        <v>166</v>
      </c>
    </row>
    <row r="19" spans="2:41" ht="18.75" customHeight="1" x14ac:dyDescent="0.15">
      <c r="B19" s="4" t="s">
        <v>230</v>
      </c>
    </row>
    <row r="20" spans="2:41" ht="18.75" customHeight="1" thickBot="1" x14ac:dyDescent="0.2">
      <c r="B20" s="688" t="s">
        <v>65</v>
      </c>
      <c r="C20" s="690" t="s">
        <v>64</v>
      </c>
      <c r="D20" s="691"/>
      <c r="E20" s="691"/>
      <c r="F20" s="691"/>
      <c r="G20" s="691"/>
      <c r="H20" s="691"/>
      <c r="I20" s="691"/>
      <c r="J20" s="691"/>
      <c r="K20" s="691"/>
      <c r="L20" s="692"/>
      <c r="O20" s="34" t="s">
        <v>63</v>
      </c>
    </row>
    <row r="21" spans="2:41" ht="18.75" customHeight="1" thickTop="1" thickBot="1" x14ac:dyDescent="0.2">
      <c r="B21" s="689"/>
      <c r="C21" s="693" t="s">
        <v>69</v>
      </c>
      <c r="D21" s="694"/>
      <c r="E21" s="693" t="s">
        <v>70</v>
      </c>
      <c r="F21" s="694"/>
      <c r="G21" s="693" t="s">
        <v>71</v>
      </c>
      <c r="H21" s="694"/>
      <c r="I21" s="693" t="s">
        <v>72</v>
      </c>
      <c r="J21" s="694"/>
      <c r="K21" s="693" t="s">
        <v>62</v>
      </c>
      <c r="L21" s="694"/>
      <c r="O21" s="430" t="s">
        <v>371</v>
      </c>
      <c r="P21" s="504" t="s">
        <v>183</v>
      </c>
      <c r="Q21" s="504" t="s">
        <v>184</v>
      </c>
      <c r="R21" s="504" t="s">
        <v>185</v>
      </c>
      <c r="S21" s="504" t="s">
        <v>186</v>
      </c>
      <c r="T21" s="504" t="s">
        <v>187</v>
      </c>
      <c r="U21" s="504" t="s">
        <v>188</v>
      </c>
      <c r="V21" s="504" t="s">
        <v>189</v>
      </c>
      <c r="W21" s="504" t="s">
        <v>190</v>
      </c>
      <c r="X21" s="504" t="s">
        <v>191</v>
      </c>
      <c r="Y21" s="504" t="s">
        <v>192</v>
      </c>
      <c r="Z21" s="504" t="s">
        <v>193</v>
      </c>
      <c r="AA21" s="504" t="s">
        <v>194</v>
      </c>
      <c r="AB21" s="504" t="s">
        <v>196</v>
      </c>
      <c r="AC21" s="504" t="s">
        <v>197</v>
      </c>
      <c r="AD21" s="504" t="s">
        <v>198</v>
      </c>
      <c r="AE21" s="56" t="s">
        <v>369</v>
      </c>
      <c r="AF21" s="22"/>
      <c r="AG21" s="22"/>
    </row>
    <row r="22" spans="2:41" s="22" customFormat="1" ht="18.75" customHeight="1" thickTop="1" x14ac:dyDescent="0.15">
      <c r="B22" s="228" t="s">
        <v>2</v>
      </c>
      <c r="C22" s="229">
        <f>IFERROR(INDEX(年齢階層×在院期間区分F02F09＿寛解・院内寛解[#All],MATCH($AK22,年齢階層×在院期間区分F02F09＿寛解・院内寛解[[#All],[行ラベル]],0),MATCH($AL$4,年齢階層×在院期間区分F02F09＿寛解・院内寛解[#Headers],0)),0)+IFERROR(INDEX(年齢階層×在院期間区分F02F09＿寛解・院内寛解[#All],MATCH($AK22,年齢階層×在院期間区分F02F09＿寛解・院内寛解[[#All],[行ラベル]],0),MATCH($AM$4,年齢階層×在院期間区分F02F09＿寛解・院内寛解[#Headers],0)),0)+IFERROR(INDEX(年齢階層×在院期間区分F02F09＿寛解・院内寛解[#All],MATCH($AK22,年齢階層×在院期間区分F02F09＿寛解・院内寛解[[#All],[行ラベル]],0),MATCH($AN$4,年齢階層×在院期間区分F02F09＿寛解・院内寛解[#Headers],0)),0)+IFERROR(INDEX(年齢階層×在院期間区分F02F09＿寛解・院内寛解[#All],MATCH($AK22,年齢階層×在院期間区分F02F09＿寛解・院内寛解[[#All],[行ラベル]],0),MATCH($AO$4,年齢階層×在院期間区分F02F09＿寛解・院内寛解[#Headers],0)),0)</f>
        <v>2</v>
      </c>
      <c r="D22" s="242">
        <f t="shared" ref="D22:D33" si="6">IFERROR(C22/$C$31,"-")</f>
        <v>0.02</v>
      </c>
      <c r="E22" s="229">
        <f>IFERROR(INDEX(年齢階層×在院期間区分F02F09＿寛解・院内寛解[#All],MATCH($AK22,年齢階層×在院期間区分F02F09＿寛解・院内寛解[[#All],[行ラベル]],0),MATCH($AP$4,年齢階層×在院期間区分F02F09＿寛解・院内寛解[#Headers],0)),0)+IFERROR(INDEX(年齢階層×在院期間区分F02F09＿寛解・院内寛解[#All],MATCH($AK22,年齢階層×在院期間区分F02F09＿寛解・院内寛解[[#All],[行ラベル]],0),MATCH($AQ$4,年齢階層×在院期間区分F02F09＿寛解・院内寛解[#Headers],0)),0)+IFERROR(INDEX(年齢階層×在院期間区分F02F09＿寛解・院内寛解[#All],MATCH($AK22,年齢階層×在院期間区分F02F09＿寛解・院内寛解[[#All],[行ラベル]],0),MATCH($AR$4,年齢階層×在院期間区分F02F09＿寛解・院内寛解[#Headers],0)),0)+IFERROR(INDEX(年齢階層×在院期間区分F02F09＿寛解・院内寛解[#All],MATCH($AK22,年齢階層×在院期間区分F02F09＿寛解・院内寛解[[#All],[行ラベル]],0),MATCH($AS$4,年齢階層×在院期間区分F02F09＿寛解・院内寛解[#Headers],0)),0)+IFERROR(INDEX(年齢階層×在院期間区分F02F09＿寛解・院内寛解[#All],MATCH($AK22,年齢階層×在院期間区分F02F09＿寛解・院内寛解[[#All],[行ラベル]],0),MATCH($AT$4,年齢階層×在院期間区分F02F09＿寛解・院内寛解[#Headers],0)),0)</f>
        <v>0</v>
      </c>
      <c r="F22" s="242">
        <f t="shared" ref="F22:F33" si="7">IFERROR(E22/$E$31,"-")</f>
        <v>0</v>
      </c>
      <c r="G22" s="223">
        <f>IFERROR(INDEX(年齢階層×在院期間区分F02F09＿寛解・院内寛解[#All],MATCH($AK22,年齢階層×在院期間区分F02F09＿寛解・院内寛解[[#All],[行ラベル]],0),MATCH($AU$4,年齢階層×在院期間区分F02F09＿寛解・院内寛解[#Headers],0)),0)+IFERROR(INDEX(年齢階層×在院期間区分F02F09＿寛解・院内寛解[#All],MATCH($AK22,年齢階層×在院期間区分F02F09＿寛解・院内寛解[[#All],[行ラベル]],0),MATCH($AV$4,年齢階層×在院期間区分F02F09＿寛解・院内寛解[#Headers],0)),0)+IFERROR(INDEX(年齢階層×在院期間区分F02F09＿寛解・院内寛解[#All],MATCH($AK22,年齢階層×在院期間区分F02F09＿寛解・院内寛解[[#All],[行ラベル]],0),MATCH($AW$4,年齢階層×在院期間区分F02F09＿寛解・院内寛解[#Headers],0)),0)+IFERROR(INDEX(年齢階層×在院期間区分F02F09＿寛解・院内寛解[#All],MATCH($AK22,年齢階層×在院期間区分F02F09＿寛解・院内寛解[[#All],[行ラベル]],0),MATCH($AX$4,年齢階層×在院期間区分F02F09＿寛解・院内寛解[#Headers],0)),0)+IFERROR(INDEX(年齢階層×在院期間区分F02F09＿寛解・院内寛解[#All],MATCH($AK22,年齢階層×在院期間区分F02F09＿寛解・院内寛解[[#All],[行ラベル]],0),MATCH($AY$4,年齢階層×在院期間区分F02F09＿寛解・院内寛解[#Headers],0)),0)</f>
        <v>0</v>
      </c>
      <c r="H22" s="242">
        <f t="shared" ref="H22:H33" si="8">IFERROR(G22/$G$31,"-")</f>
        <v>0</v>
      </c>
      <c r="I22" s="229">
        <f>IFERROR(INDEX(年齢階層×在院期間区分F02F09＿寛解・院内寛解[#All],MATCH($AK22,年齢階層×在院期間区分F02F09＿寛解・院内寛解[[#All],[行ラベル]],0),MATCH($AZ$4,年齢階層×在院期間区分F02F09＿寛解・院内寛解[#Headers],0))+INDEX(年齢階層×在院期間区分F02F09＿寛解・院内寛解[#All],MATCH($AK22,年齢階層×在院期間区分F02F09＿寛解・院内寛解[[#All],[行ラベル]],0),MATCH($BA$4,年齢階層×在院期間区分F02F09＿寛解・院内寛解[#Headers],0)),0)</f>
        <v>0</v>
      </c>
      <c r="J22" s="242">
        <f t="shared" ref="J22:J33" si="9">IFERROR(I22/$I$31,"-")</f>
        <v>0</v>
      </c>
      <c r="K22" s="223">
        <f t="shared" ref="K22:K30" si="10">SUM(C22,E22,G22,I22)</f>
        <v>2</v>
      </c>
      <c r="L22" s="242">
        <f t="shared" ref="L22:L33" si="11">IFERROR(K22/$K$31,"-")</f>
        <v>1.3888888888888888E-2</v>
      </c>
      <c r="O22" s="54" t="s">
        <v>2</v>
      </c>
      <c r="P22" s="66">
        <v>0</v>
      </c>
      <c r="Q22" s="66">
        <v>1</v>
      </c>
      <c r="R22" s="66">
        <v>0</v>
      </c>
      <c r="S22" s="66">
        <v>1</v>
      </c>
      <c r="T22" s="66">
        <v>0</v>
      </c>
      <c r="U22" s="66">
        <v>0</v>
      </c>
      <c r="V22" s="66">
        <v>0</v>
      </c>
      <c r="W22" s="66">
        <v>0</v>
      </c>
      <c r="X22" s="66">
        <v>0</v>
      </c>
      <c r="Y22" s="66">
        <v>0</v>
      </c>
      <c r="Z22" s="66">
        <v>0</v>
      </c>
      <c r="AA22" s="66">
        <v>0</v>
      </c>
      <c r="AB22" s="66">
        <v>0</v>
      </c>
      <c r="AC22" s="66">
        <v>0</v>
      </c>
      <c r="AD22" s="66">
        <v>0</v>
      </c>
      <c r="AE22" s="66"/>
      <c r="AK22" s="54" t="s">
        <v>2</v>
      </c>
    </row>
    <row r="23" spans="2:41" s="22" customFormat="1" ht="18.75" customHeight="1" x14ac:dyDescent="0.15">
      <c r="B23" s="230" t="s">
        <v>3</v>
      </c>
      <c r="C23" s="231">
        <f>IFERROR(INDEX(年齢階層×在院期間区分F02F09＿寛解・院内寛解[#All],MATCH($AK23,年齢階層×在院期間区分F02F09＿寛解・院内寛解[[#All],[行ラベル]],0),MATCH($AL$4,年齢階層×在院期間区分F02F09＿寛解・院内寛解[#Headers],0)),0)+IFERROR(INDEX(年齢階層×在院期間区分F02F09＿寛解・院内寛解[#All],MATCH($AK23,年齢階層×在院期間区分F02F09＿寛解・院内寛解[[#All],[行ラベル]],0),MATCH($AM$4,年齢階層×在院期間区分F02F09＿寛解・院内寛解[#Headers],0)),0)+IFERROR(INDEX(年齢階層×在院期間区分F02F09＿寛解・院内寛解[#All],MATCH($AK23,年齢階層×在院期間区分F02F09＿寛解・院内寛解[[#All],[行ラベル]],0),MATCH($AN$4,年齢階層×在院期間区分F02F09＿寛解・院内寛解[#Headers],0)),0)+IFERROR(INDEX(年齢階層×在院期間区分F02F09＿寛解・院内寛解[#All],MATCH($AK23,年齢階層×在院期間区分F02F09＿寛解・院内寛解[[#All],[行ラベル]],0),MATCH($AO$4,年齢階層×在院期間区分F02F09＿寛解・院内寛解[#Headers],0)),0)</f>
        <v>0</v>
      </c>
      <c r="D23" s="209">
        <f t="shared" si="6"/>
        <v>0</v>
      </c>
      <c r="E23" s="231">
        <f>IFERROR(INDEX(年齢階層×在院期間区分F02F09＿寛解・院内寛解[#All],MATCH($AK23,年齢階層×在院期間区分F02F09＿寛解・院内寛解[[#All],[行ラベル]],0),MATCH($AP$4,年齢階層×在院期間区分F02F09＿寛解・院内寛解[#Headers],0)),0)+IFERROR(INDEX(年齢階層×在院期間区分F02F09＿寛解・院内寛解[#All],MATCH($AK23,年齢階層×在院期間区分F02F09＿寛解・院内寛解[[#All],[行ラベル]],0),MATCH($AQ$4,年齢階層×在院期間区分F02F09＿寛解・院内寛解[#Headers],0)),0)+IFERROR(INDEX(年齢階層×在院期間区分F02F09＿寛解・院内寛解[#All],MATCH($AK23,年齢階層×在院期間区分F02F09＿寛解・院内寛解[[#All],[行ラベル]],0),MATCH($AR$4,年齢階層×在院期間区分F02F09＿寛解・院内寛解[#Headers],0)),0)+IFERROR(INDEX(年齢階層×在院期間区分F02F09＿寛解・院内寛解[#All],MATCH($AK23,年齢階層×在院期間区分F02F09＿寛解・院内寛解[[#All],[行ラベル]],0),MATCH($AS$4,年齢階層×在院期間区分F02F09＿寛解・院内寛解[#Headers],0)),0)+IFERROR(INDEX(年齢階層×在院期間区分F02F09＿寛解・院内寛解[#All],MATCH($AK23,年齢階層×在院期間区分F02F09＿寛解・院内寛解[[#All],[行ラベル]],0),MATCH($AT$4,年齢階層×在院期間区分F02F09＿寛解・院内寛解[#Headers],0)),0)</f>
        <v>0</v>
      </c>
      <c r="F23" s="209">
        <f t="shared" si="7"/>
        <v>0</v>
      </c>
      <c r="G23" s="208">
        <f>IFERROR(INDEX(年齢階層×在院期間区分F02F09＿寛解・院内寛解[#All],MATCH($AK23,年齢階層×在院期間区分F02F09＿寛解・院内寛解[[#All],[行ラベル]],0),MATCH($AU$4,年齢階層×在院期間区分F02F09＿寛解・院内寛解[#Headers],0)),0)+IFERROR(INDEX(年齢階層×在院期間区分F02F09＿寛解・院内寛解[#All],MATCH($AK23,年齢階層×在院期間区分F02F09＿寛解・院内寛解[[#All],[行ラベル]],0),MATCH($AV$4,年齢階層×在院期間区分F02F09＿寛解・院内寛解[#Headers],0)),0)+IFERROR(INDEX(年齢階層×在院期間区分F02F09＿寛解・院内寛解[#All],MATCH($AK23,年齢階層×在院期間区分F02F09＿寛解・院内寛解[[#All],[行ラベル]],0),MATCH($AW$4,年齢階層×在院期間区分F02F09＿寛解・院内寛解[#Headers],0)),0)+IFERROR(INDEX(年齢階層×在院期間区分F02F09＿寛解・院内寛解[#All],MATCH($AK23,年齢階層×在院期間区分F02F09＿寛解・院内寛解[[#All],[行ラベル]],0),MATCH($AX$4,年齢階層×在院期間区分F02F09＿寛解・院内寛解[#Headers],0)),0)+IFERROR(INDEX(年齢階層×在院期間区分F02F09＿寛解・院内寛解[#All],MATCH($AK23,年齢階層×在院期間区分F02F09＿寛解・院内寛解[[#All],[行ラベル]],0),MATCH($AY$4,年齢階層×在院期間区分F02F09＿寛解・院内寛解[#Headers],0)),0)</f>
        <v>0</v>
      </c>
      <c r="H23" s="209">
        <f t="shared" si="8"/>
        <v>0</v>
      </c>
      <c r="I23" s="231">
        <f>IFERROR(INDEX(年齢階層×在院期間区分F02F09＿寛解・院内寛解[#All],MATCH($AK23,年齢階層×在院期間区分F02F09＿寛解・院内寛解[[#All],[行ラベル]],0),MATCH($AZ$4,年齢階層×在院期間区分F02F09＿寛解・院内寛解[#Headers],0))+INDEX(年齢階層×在院期間区分F02F09＿寛解・院内寛解[#All],MATCH($AK23,年齢階層×在院期間区分F02F09＿寛解・院内寛解[[#All],[行ラベル]],0),MATCH($BA$4,年齢階層×在院期間区分F02F09＿寛解・院内寛解[#Headers],0)),0)</f>
        <v>0</v>
      </c>
      <c r="J23" s="209">
        <f t="shared" si="9"/>
        <v>0</v>
      </c>
      <c r="K23" s="208">
        <f t="shared" si="10"/>
        <v>0</v>
      </c>
      <c r="L23" s="209">
        <f t="shared" si="11"/>
        <v>0</v>
      </c>
      <c r="O23" s="54" t="s">
        <v>5</v>
      </c>
      <c r="P23" s="66">
        <v>0</v>
      </c>
      <c r="Q23" s="66">
        <v>2</v>
      </c>
      <c r="R23" s="66">
        <v>0</v>
      </c>
      <c r="S23" s="66">
        <v>0</v>
      </c>
      <c r="T23" s="66">
        <v>0</v>
      </c>
      <c r="U23" s="66">
        <v>0</v>
      </c>
      <c r="V23" s="66">
        <v>0</v>
      </c>
      <c r="W23" s="66">
        <v>0</v>
      </c>
      <c r="X23" s="66">
        <v>1</v>
      </c>
      <c r="Y23" s="66">
        <v>0</v>
      </c>
      <c r="Z23" s="66">
        <v>0</v>
      </c>
      <c r="AA23" s="66">
        <v>0</v>
      </c>
      <c r="AB23" s="66">
        <v>0</v>
      </c>
      <c r="AC23" s="66">
        <v>0</v>
      </c>
      <c r="AD23" s="66">
        <v>0</v>
      </c>
      <c r="AE23" s="66"/>
      <c r="AK23" s="54" t="s">
        <v>3</v>
      </c>
    </row>
    <row r="24" spans="2:41" s="22" customFormat="1" ht="18.75" customHeight="1" x14ac:dyDescent="0.15">
      <c r="B24" s="230" t="s">
        <v>4</v>
      </c>
      <c r="C24" s="208">
        <f>IFERROR(INDEX(年齢階層×在院期間区分F02F09＿寛解・院内寛解[#All],MATCH($AK24,年齢階層×在院期間区分F02F09＿寛解・院内寛解[[#All],[行ラベル]],0),MATCH($AL$4,年齢階層×在院期間区分F02F09＿寛解・院内寛解[#Headers],0)),0)+IFERROR(INDEX(年齢階層×在院期間区分F02F09＿寛解・院内寛解[#All],MATCH($AK24,年齢階層×在院期間区分F02F09＿寛解・院内寛解[[#All],[行ラベル]],0),MATCH($AM$4,年齢階層×在院期間区分F02F09＿寛解・院内寛解[#Headers],0)),0)+IFERROR(INDEX(年齢階層×在院期間区分F02F09＿寛解・院内寛解[#All],MATCH($AK24,年齢階層×在院期間区分F02F09＿寛解・院内寛解[[#All],[行ラベル]],0),MATCH($AN$4,年齢階層×在院期間区分F02F09＿寛解・院内寛解[#Headers],0)),0)+IFERROR(INDEX(年齢階層×在院期間区分F02F09＿寛解・院内寛解[#All],MATCH($AK24,年齢階層×在院期間区分F02F09＿寛解・院内寛解[[#All],[行ラベル]],0),MATCH($AO$4,年齢階層×在院期間区分F02F09＿寛解・院内寛解[#Headers],0)),0)</f>
        <v>0</v>
      </c>
      <c r="D24" s="209">
        <f t="shared" si="6"/>
        <v>0</v>
      </c>
      <c r="E24" s="231">
        <f>IFERROR(INDEX(年齢階層×在院期間区分F02F09＿寛解・院内寛解[#All],MATCH($AK24,年齢階層×在院期間区分F02F09＿寛解・院内寛解[[#All],[行ラベル]],0),MATCH($AP$4,年齢階層×在院期間区分F02F09＿寛解・院内寛解[#Headers],0)),0)+IFERROR(INDEX(年齢階層×在院期間区分F02F09＿寛解・院内寛解[#All],MATCH($AK24,年齢階層×在院期間区分F02F09＿寛解・院内寛解[[#All],[行ラベル]],0),MATCH($AQ$4,年齢階層×在院期間区分F02F09＿寛解・院内寛解[#Headers],0)),0)+IFERROR(INDEX(年齢階層×在院期間区分F02F09＿寛解・院内寛解[#All],MATCH($AK24,年齢階層×在院期間区分F02F09＿寛解・院内寛解[[#All],[行ラベル]],0),MATCH($AR$4,年齢階層×在院期間区分F02F09＿寛解・院内寛解[#Headers],0)),0)+IFERROR(INDEX(年齢階層×在院期間区分F02F09＿寛解・院内寛解[#All],MATCH($AK24,年齢階層×在院期間区分F02F09＿寛解・院内寛解[[#All],[行ラベル]],0),MATCH($AS$4,年齢階層×在院期間区分F02F09＿寛解・院内寛解[#Headers],0)),0)+IFERROR(INDEX(年齢階層×在院期間区分F02F09＿寛解・院内寛解[#All],MATCH($AK24,年齢階層×在院期間区分F02F09＿寛解・院内寛解[[#All],[行ラベル]],0),MATCH($AT$4,年齢階層×在院期間区分F02F09＿寛解・院内寛解[#Headers],0)),0)</f>
        <v>0</v>
      </c>
      <c r="F24" s="209">
        <f t="shared" si="7"/>
        <v>0</v>
      </c>
      <c r="G24" s="232">
        <f>IFERROR(INDEX(年齢階層×在院期間区分F02F09＿寛解・院内寛解[#All],MATCH($AK24,年齢階層×在院期間区分F02F09＿寛解・院内寛解[[#All],[行ラベル]],0),MATCH($AU$4,年齢階層×在院期間区分F02F09＿寛解・院内寛解[#Headers],0)),0)+IFERROR(INDEX(年齢階層×在院期間区分F02F09＿寛解・院内寛解[#All],MATCH($AK24,年齢階層×在院期間区分F02F09＿寛解・院内寛解[[#All],[行ラベル]],0),MATCH($AV$4,年齢階層×在院期間区分F02F09＿寛解・院内寛解[#Headers],0)),0)+IFERROR(INDEX(年齢階層×在院期間区分F02F09＿寛解・院内寛解[#All],MATCH($AK24,年齢階層×在院期間区分F02F09＿寛解・院内寛解[[#All],[行ラベル]],0),MATCH($AW$4,年齢階層×在院期間区分F02F09＿寛解・院内寛解[#Headers],0)),0)+IFERROR(INDEX(年齢階層×在院期間区分F02F09＿寛解・院内寛解[#All],MATCH($AK24,年齢階層×在院期間区分F02F09＿寛解・院内寛解[[#All],[行ラベル]],0),MATCH($AX$4,年齢階層×在院期間区分F02F09＿寛解・院内寛解[#Headers],0)),0)+IFERROR(INDEX(年齢階層×在院期間区分F02F09＿寛解・院内寛解[#All],MATCH($AK24,年齢階層×在院期間区分F02F09＿寛解・院内寛解[[#All],[行ラベル]],0),MATCH($AY$4,年齢階層×在院期間区分F02F09＿寛解・院内寛解[#Headers],0)),0)</f>
        <v>0</v>
      </c>
      <c r="H24" s="209">
        <f t="shared" si="8"/>
        <v>0</v>
      </c>
      <c r="I24" s="208">
        <f>IFERROR(INDEX(年齢階層×在院期間区分F02F09＿寛解・院内寛解[#All],MATCH($AK24,年齢階層×在院期間区分F02F09＿寛解・院内寛解[[#All],[行ラベル]],0),MATCH($AZ$4,年齢階層×在院期間区分F02F09＿寛解・院内寛解[#Headers],0))+INDEX(年齢階層×在院期間区分F02F09＿寛解・院内寛解[#All],MATCH($AK24,年齢階層×在院期間区分F02F09＿寛解・院内寛解[[#All],[行ラベル]],0),MATCH($BA$4,年齢階層×在院期間区分F02F09＿寛解・院内寛解[#Headers],0)),0)</f>
        <v>0</v>
      </c>
      <c r="J24" s="209">
        <f t="shared" si="9"/>
        <v>0</v>
      </c>
      <c r="K24" s="208">
        <f t="shared" si="10"/>
        <v>0</v>
      </c>
      <c r="L24" s="209">
        <f t="shared" si="11"/>
        <v>0</v>
      </c>
      <c r="O24" s="54" t="s">
        <v>6</v>
      </c>
      <c r="P24" s="66">
        <v>2</v>
      </c>
      <c r="Q24" s="66">
        <v>2</v>
      </c>
      <c r="R24" s="66">
        <v>0</v>
      </c>
      <c r="S24" s="66">
        <v>1</v>
      </c>
      <c r="T24" s="66">
        <v>0</v>
      </c>
      <c r="U24" s="66">
        <v>0</v>
      </c>
      <c r="V24" s="66">
        <v>0</v>
      </c>
      <c r="W24" s="66">
        <v>1</v>
      </c>
      <c r="X24" s="66">
        <v>0</v>
      </c>
      <c r="Y24" s="66">
        <v>1</v>
      </c>
      <c r="Z24" s="66">
        <v>0</v>
      </c>
      <c r="AA24" s="66">
        <v>0</v>
      </c>
      <c r="AB24" s="66">
        <v>0</v>
      </c>
      <c r="AC24" s="66">
        <v>0</v>
      </c>
      <c r="AD24" s="66">
        <v>0</v>
      </c>
      <c r="AE24" s="66"/>
      <c r="AK24" s="54" t="s">
        <v>4</v>
      </c>
    </row>
    <row r="25" spans="2:41" s="22" customFormat="1" ht="18.75" customHeight="1" x14ac:dyDescent="0.15">
      <c r="B25" s="230" t="s">
        <v>5</v>
      </c>
      <c r="C25" s="208">
        <f>IFERROR(INDEX(年齢階層×在院期間区分F02F09＿寛解・院内寛解[#All],MATCH($AK25,年齢階層×在院期間区分F02F09＿寛解・院内寛解[[#All],[行ラベル]],0),MATCH($AL$4,年齢階層×在院期間区分F02F09＿寛解・院内寛解[#Headers],0)),0)+IFERROR(INDEX(年齢階層×在院期間区分F02F09＿寛解・院内寛解[#All],MATCH($AK25,年齢階層×在院期間区分F02F09＿寛解・院内寛解[[#All],[行ラベル]],0),MATCH($AM$4,年齢階層×在院期間区分F02F09＿寛解・院内寛解[#Headers],0)),0)+IFERROR(INDEX(年齢階層×在院期間区分F02F09＿寛解・院内寛解[#All],MATCH($AK25,年齢階層×在院期間区分F02F09＿寛解・院内寛解[[#All],[行ラベル]],0),MATCH($AN$4,年齢階層×在院期間区分F02F09＿寛解・院内寛解[#Headers],0)),0)+IFERROR(INDEX(年齢階層×在院期間区分F02F09＿寛解・院内寛解[#All],MATCH($AK25,年齢階層×在院期間区分F02F09＿寛解・院内寛解[[#All],[行ラベル]],0),MATCH($AO$4,年齢階層×在院期間区分F02F09＿寛解・院内寛解[#Headers],0)),0)</f>
        <v>2</v>
      </c>
      <c r="D25" s="209">
        <f t="shared" si="6"/>
        <v>0.02</v>
      </c>
      <c r="E25" s="208">
        <f>IFERROR(INDEX(年齢階層×在院期間区分F02F09＿寛解・院内寛解[#All],MATCH($AK25,年齢階層×在院期間区分F02F09＿寛解・院内寛解[[#All],[行ラベル]],0),MATCH($AP$4,年齢階層×在院期間区分F02F09＿寛解・院内寛解[#Headers],0)),0)+IFERROR(INDEX(年齢階層×在院期間区分F02F09＿寛解・院内寛解[#All],MATCH($AK25,年齢階層×在院期間区分F02F09＿寛解・院内寛解[[#All],[行ラベル]],0),MATCH($AQ$4,年齢階層×在院期間区分F02F09＿寛解・院内寛解[#Headers],0)),0)+IFERROR(INDEX(年齢階層×在院期間区分F02F09＿寛解・院内寛解[#All],MATCH($AK25,年齢階層×在院期間区分F02F09＿寛解・院内寛解[[#All],[行ラベル]],0),MATCH($AR$4,年齢階層×在院期間区分F02F09＿寛解・院内寛解[#Headers],0)),0)+IFERROR(INDEX(年齢階層×在院期間区分F02F09＿寛解・院内寛解[#All],MATCH($AK25,年齢階層×在院期間区分F02F09＿寛解・院内寛解[[#All],[行ラベル]],0),MATCH($AS$4,年齢階層×在院期間区分F02F09＿寛解・院内寛解[#Headers],0)),0)+IFERROR(INDEX(年齢階層×在院期間区分F02F09＿寛解・院内寛解[#All],MATCH($AK25,年齢階層×在院期間区分F02F09＿寛解・院内寛解[[#All],[行ラベル]],0),MATCH($AT$4,年齢階層×在院期間区分F02F09＿寛解・院内寛解[#Headers],0)),0)</f>
        <v>1</v>
      </c>
      <c r="F25" s="209">
        <f t="shared" si="7"/>
        <v>3.2258064516129031E-2</v>
      </c>
      <c r="G25" s="208">
        <f>IFERROR(INDEX(年齢階層×在院期間区分F02F09＿寛解・院内寛解[#All],MATCH($AK25,年齢階層×在院期間区分F02F09＿寛解・院内寛解[[#All],[行ラベル]],0),MATCH($AU$4,年齢階層×在院期間区分F02F09＿寛解・院内寛解[#Headers],0)),0)+IFERROR(INDEX(年齢階層×在院期間区分F02F09＿寛解・院内寛解[#All],MATCH($AK25,年齢階層×在院期間区分F02F09＿寛解・院内寛解[[#All],[行ラベル]],0),MATCH($AV$4,年齢階層×在院期間区分F02F09＿寛解・院内寛解[#Headers],0)),0)+IFERROR(INDEX(年齢階層×在院期間区分F02F09＿寛解・院内寛解[#All],MATCH($AK25,年齢階層×在院期間区分F02F09＿寛解・院内寛解[[#All],[行ラベル]],0),MATCH($AW$4,年齢階層×在院期間区分F02F09＿寛解・院内寛解[#Headers],0)),0)+IFERROR(INDEX(年齢階層×在院期間区分F02F09＿寛解・院内寛解[#All],MATCH($AK25,年齢階層×在院期間区分F02F09＿寛解・院内寛解[[#All],[行ラベル]],0),MATCH($AX$4,年齢階層×在院期間区分F02F09＿寛解・院内寛解[#Headers],0)),0)+IFERROR(INDEX(年齢階層×在院期間区分F02F09＿寛解・院内寛解[#All],MATCH($AK25,年齢階層×在院期間区分F02F09＿寛解・院内寛解[[#All],[行ラベル]],0),MATCH($AY$4,年齢階層×在院期間区分F02F09＿寛解・院内寛解[#Headers],0)),0)</f>
        <v>0</v>
      </c>
      <c r="H25" s="209">
        <f t="shared" si="8"/>
        <v>0</v>
      </c>
      <c r="I25" s="208">
        <f>IFERROR(INDEX(年齢階層×在院期間区分F02F09＿寛解・院内寛解[#All],MATCH($AK25,年齢階層×在院期間区分F02F09＿寛解・院内寛解[[#All],[行ラベル]],0),MATCH($AZ$4,年齢階層×在院期間区分F02F09＿寛解・院内寛解[#Headers],0))+INDEX(年齢階層×在院期間区分F02F09＿寛解・院内寛解[#All],MATCH($AK25,年齢階層×在院期間区分F02F09＿寛解・院内寛解[[#All],[行ラベル]],0),MATCH($BA$4,年齢階層×在院期間区分F02F09＿寛解・院内寛解[#Headers],0)),0)</f>
        <v>0</v>
      </c>
      <c r="J25" s="209">
        <f t="shared" si="9"/>
        <v>0</v>
      </c>
      <c r="K25" s="208">
        <f t="shared" si="10"/>
        <v>3</v>
      </c>
      <c r="L25" s="209">
        <f t="shared" si="11"/>
        <v>2.0833333333333332E-2</v>
      </c>
      <c r="O25" s="54" t="s">
        <v>7</v>
      </c>
      <c r="P25" s="66">
        <v>1</v>
      </c>
      <c r="Q25" s="66">
        <v>3</v>
      </c>
      <c r="R25" s="66">
        <v>5</v>
      </c>
      <c r="S25" s="66">
        <v>0</v>
      </c>
      <c r="T25" s="66">
        <v>1</v>
      </c>
      <c r="U25" s="66">
        <v>0</v>
      </c>
      <c r="V25" s="66">
        <v>2</v>
      </c>
      <c r="W25" s="66">
        <v>2</v>
      </c>
      <c r="X25" s="66">
        <v>1</v>
      </c>
      <c r="Y25" s="66">
        <v>0</v>
      </c>
      <c r="Z25" s="66">
        <v>0</v>
      </c>
      <c r="AA25" s="66">
        <v>1</v>
      </c>
      <c r="AB25" s="66">
        <v>0</v>
      </c>
      <c r="AC25" s="66">
        <v>2</v>
      </c>
      <c r="AD25" s="66">
        <v>1</v>
      </c>
      <c r="AE25" s="66"/>
      <c r="AK25" s="54" t="s">
        <v>5</v>
      </c>
    </row>
    <row r="26" spans="2:41" s="22" customFormat="1" ht="18.75" customHeight="1" x14ac:dyDescent="0.15">
      <c r="B26" s="230" t="s">
        <v>6</v>
      </c>
      <c r="C26" s="232">
        <f>IFERROR(INDEX(年齢階層×在院期間区分F02F09＿寛解・院内寛解[#All],MATCH($AK26,年齢階層×在院期間区分F02F09＿寛解・院内寛解[[#All],[行ラベル]],0),MATCH($AL$4,年齢階層×在院期間区分F02F09＿寛解・院内寛解[#Headers],0)),0)+IFERROR(INDEX(年齢階層×在院期間区分F02F09＿寛解・院内寛解[#All],MATCH($AK26,年齢階層×在院期間区分F02F09＿寛解・院内寛解[[#All],[行ラベル]],0),MATCH($AM$4,年齢階層×在院期間区分F02F09＿寛解・院内寛解[#Headers],0)),0)+IFERROR(INDEX(年齢階層×在院期間区分F02F09＿寛解・院内寛解[#All],MATCH($AK26,年齢階層×在院期間区分F02F09＿寛解・院内寛解[[#All],[行ラベル]],0),MATCH($AN$4,年齢階層×在院期間区分F02F09＿寛解・院内寛解[#Headers],0)),0)+IFERROR(INDEX(年齢階層×在院期間区分F02F09＿寛解・院内寛解[#All],MATCH($AK26,年齢階層×在院期間区分F02F09＿寛解・院内寛解[[#All],[行ラベル]],0),MATCH($AO$4,年齢階層×在院期間区分F02F09＿寛解・院内寛解[#Headers],0)),0)</f>
        <v>5</v>
      </c>
      <c r="D26" s="209">
        <f t="shared" si="6"/>
        <v>0.05</v>
      </c>
      <c r="E26" s="208">
        <f>IFERROR(INDEX(年齢階層×在院期間区分F02F09＿寛解・院内寛解[#All],MATCH($AK26,年齢階層×在院期間区分F02F09＿寛解・院内寛解[[#All],[行ラベル]],0),MATCH($AP$4,年齢階層×在院期間区分F02F09＿寛解・院内寛解[#Headers],0)),0)+IFERROR(INDEX(年齢階層×在院期間区分F02F09＿寛解・院内寛解[#All],MATCH($AK26,年齢階層×在院期間区分F02F09＿寛解・院内寛解[[#All],[行ラベル]],0),MATCH($AQ$4,年齢階層×在院期間区分F02F09＿寛解・院内寛解[#Headers],0)),0)+IFERROR(INDEX(年齢階層×在院期間区分F02F09＿寛解・院内寛解[#All],MATCH($AK26,年齢階層×在院期間区分F02F09＿寛解・院内寛解[[#All],[行ラベル]],0),MATCH($AR$4,年齢階層×在院期間区分F02F09＿寛解・院内寛解[#Headers],0)),0)+IFERROR(INDEX(年齢階層×在院期間区分F02F09＿寛解・院内寛解[#All],MATCH($AK26,年齢階層×在院期間区分F02F09＿寛解・院内寛解[[#All],[行ラベル]],0),MATCH($AS$4,年齢階層×在院期間区分F02F09＿寛解・院内寛解[#Headers],0)),0)+IFERROR(INDEX(年齢階層×在院期間区分F02F09＿寛解・院内寛解[#All],MATCH($AK26,年齢階層×在院期間区分F02F09＿寛解・院内寛解[[#All],[行ラベル]],0),MATCH($AT$4,年齢階層×在院期間区分F02F09＿寛解・院内寛解[#Headers],0)),0)</f>
        <v>1</v>
      </c>
      <c r="F26" s="209">
        <f t="shared" si="7"/>
        <v>3.2258064516129031E-2</v>
      </c>
      <c r="G26" s="232">
        <f>IFERROR(INDEX(年齢階層×在院期間区分F02F09＿寛解・院内寛解[#All],MATCH($AK26,年齢階層×在院期間区分F02F09＿寛解・院内寛解[[#All],[行ラベル]],0),MATCH($AU$4,年齢階層×在院期間区分F02F09＿寛解・院内寛解[#Headers],0)),0)+IFERROR(INDEX(年齢階層×在院期間区分F02F09＿寛解・院内寛解[#All],MATCH($AK26,年齢階層×在院期間区分F02F09＿寛解・院内寛解[[#All],[行ラベル]],0),MATCH($AV$4,年齢階層×在院期間区分F02F09＿寛解・院内寛解[#Headers],0)),0)+IFERROR(INDEX(年齢階層×在院期間区分F02F09＿寛解・院内寛解[#All],MATCH($AK26,年齢階層×在院期間区分F02F09＿寛解・院内寛解[[#All],[行ラベル]],0),MATCH($AW$4,年齢階層×在院期間区分F02F09＿寛解・院内寛解[#Headers],0)),0)+IFERROR(INDEX(年齢階層×在院期間区分F02F09＿寛解・院内寛解[#All],MATCH($AK26,年齢階層×在院期間区分F02F09＿寛解・院内寛解[[#All],[行ラベル]],0),MATCH($AX$4,年齢階層×在院期間区分F02F09＿寛解・院内寛解[#Headers],0)),0)+IFERROR(INDEX(年齢階層×在院期間区分F02F09＿寛解・院内寛解[#All],MATCH($AK26,年齢階層×在院期間区分F02F09＿寛解・院内寛解[[#All],[行ラベル]],0),MATCH($AY$4,年齢階層×在院期間区分F02F09＿寛解・院内寛解[#Headers],0)),0)</f>
        <v>1</v>
      </c>
      <c r="H26" s="209">
        <f t="shared" si="8"/>
        <v>0.14285714285714285</v>
      </c>
      <c r="I26" s="208">
        <f>IFERROR(INDEX(年齢階層×在院期間区分F02F09＿寛解・院内寛解[#All],MATCH($AK26,年齢階層×在院期間区分F02F09＿寛解・院内寛解[[#All],[行ラベル]],0),MATCH($AZ$4,年齢階層×在院期間区分F02F09＿寛解・院内寛解[#Headers],0))+INDEX(年齢階層×在院期間区分F02F09＿寛解・院内寛解[#All],MATCH($AK26,年齢階層×在院期間区分F02F09＿寛解・院内寛解[[#All],[行ラベル]],0),MATCH($BA$4,年齢階層×在院期間区分F02F09＿寛解・院内寛解[#Headers],0)),0)</f>
        <v>0</v>
      </c>
      <c r="J26" s="209">
        <f t="shared" si="9"/>
        <v>0</v>
      </c>
      <c r="K26" s="208">
        <f t="shared" si="10"/>
        <v>7</v>
      </c>
      <c r="L26" s="209">
        <f t="shared" si="11"/>
        <v>4.8611111111111112E-2</v>
      </c>
      <c r="O26" s="54" t="s">
        <v>8</v>
      </c>
      <c r="P26" s="66">
        <v>7</v>
      </c>
      <c r="Q26" s="66">
        <v>10</v>
      </c>
      <c r="R26" s="66">
        <v>8</v>
      </c>
      <c r="S26" s="66">
        <v>6</v>
      </c>
      <c r="T26" s="66">
        <v>4</v>
      </c>
      <c r="U26" s="66">
        <v>4</v>
      </c>
      <c r="V26" s="66">
        <v>3</v>
      </c>
      <c r="W26" s="66">
        <v>1</v>
      </c>
      <c r="X26" s="66">
        <v>0</v>
      </c>
      <c r="Y26" s="66">
        <v>0</v>
      </c>
      <c r="Z26" s="66">
        <v>0</v>
      </c>
      <c r="AA26" s="66">
        <v>0</v>
      </c>
      <c r="AB26" s="66">
        <v>0</v>
      </c>
      <c r="AC26" s="66">
        <v>1</v>
      </c>
      <c r="AD26" s="66">
        <v>1</v>
      </c>
      <c r="AE26" s="66"/>
      <c r="AK26" s="54" t="s">
        <v>6</v>
      </c>
    </row>
    <row r="27" spans="2:41" s="22" customFormat="1" ht="18.75" customHeight="1" x14ac:dyDescent="0.15">
      <c r="B27" s="230" t="s">
        <v>7</v>
      </c>
      <c r="C27" s="231">
        <f>IFERROR(INDEX(年齢階層×在院期間区分F02F09＿寛解・院内寛解[#All],MATCH($AK27,年齢階層×在院期間区分F02F09＿寛解・院内寛解[[#All],[行ラベル]],0),MATCH($AL$4,年齢階層×在院期間区分F02F09＿寛解・院内寛解[#Headers],0)),0)+IFERROR(INDEX(年齢階層×在院期間区分F02F09＿寛解・院内寛解[#All],MATCH($AK27,年齢階層×在院期間区分F02F09＿寛解・院内寛解[[#All],[行ラベル]],0),MATCH($AM$4,年齢階層×在院期間区分F02F09＿寛解・院内寛解[#Headers],0)),0)+IFERROR(INDEX(年齢階層×在院期間区分F02F09＿寛解・院内寛解[#All],MATCH($AK27,年齢階層×在院期間区分F02F09＿寛解・院内寛解[[#All],[行ラベル]],0),MATCH($AN$4,年齢階層×在院期間区分F02F09＿寛解・院内寛解[#Headers],0)),0)+IFERROR(INDEX(年齢階層×在院期間区分F02F09＿寛解・院内寛解[#All],MATCH($AK27,年齢階層×在院期間区分F02F09＿寛解・院内寛解[[#All],[行ラベル]],0),MATCH($AO$4,年齢階層×在院期間区分F02F09＿寛解・院内寛解[#Headers],0)),0)</f>
        <v>9</v>
      </c>
      <c r="D27" s="209">
        <f t="shared" si="6"/>
        <v>0.09</v>
      </c>
      <c r="E27" s="208">
        <f>IFERROR(INDEX(年齢階層×在院期間区分F02F09＿寛解・院内寛解[#All],MATCH($AK27,年齢階層×在院期間区分F02F09＿寛解・院内寛解[[#All],[行ラベル]],0),MATCH($AP$4,年齢階層×在院期間区分F02F09＿寛解・院内寛解[#Headers],0)),0)+IFERROR(INDEX(年齢階層×在院期間区分F02F09＿寛解・院内寛解[#All],MATCH($AK27,年齢階層×在院期間区分F02F09＿寛解・院内寛解[[#All],[行ラベル]],0),MATCH($AQ$4,年齢階層×在院期間区分F02F09＿寛解・院内寛解[#Headers],0)),0)+IFERROR(INDEX(年齢階層×在院期間区分F02F09＿寛解・院内寛解[#All],MATCH($AK27,年齢階層×在院期間区分F02F09＿寛解・院内寛解[[#All],[行ラベル]],0),MATCH($AR$4,年齢階層×在院期間区分F02F09＿寛解・院内寛解[#Headers],0)),0)+IFERROR(INDEX(年齢階層×在院期間区分F02F09＿寛解・院内寛解[#All],MATCH($AK27,年齢階層×在院期間区分F02F09＿寛解・院内寛解[[#All],[行ラベル]],0),MATCH($AS$4,年齢階層×在院期間区分F02F09＿寛解・院内寛解[#Headers],0)),0)+IFERROR(INDEX(年齢階層×在院期間区分F02F09＿寛解・院内寛解[#All],MATCH($AK27,年齢階層×在院期間区分F02F09＿寛解・院内寛解[[#All],[行ラベル]],0),MATCH($AT$4,年齢階層×在院期間区分F02F09＿寛解・院内寛解[#Headers],0)),0)</f>
        <v>6</v>
      </c>
      <c r="F27" s="209">
        <f t="shared" si="7"/>
        <v>0.19354838709677419</v>
      </c>
      <c r="G27" s="231">
        <f>IFERROR(INDEX(年齢階層×在院期間区分F02F09＿寛解・院内寛解[#All],MATCH($AK27,年齢階層×在院期間区分F02F09＿寛解・院内寛解[[#All],[行ラベル]],0),MATCH($AU$4,年齢階層×在院期間区分F02F09＿寛解・院内寛解[#Headers],0)),0)+IFERROR(INDEX(年齢階層×在院期間区分F02F09＿寛解・院内寛解[#All],MATCH($AK27,年齢階層×在院期間区分F02F09＿寛解・院内寛解[[#All],[行ラベル]],0),MATCH($AV$4,年齢階層×在院期間区分F02F09＿寛解・院内寛解[#Headers],0)),0)+IFERROR(INDEX(年齢階層×在院期間区分F02F09＿寛解・院内寛解[#All],MATCH($AK27,年齢階層×在院期間区分F02F09＿寛解・院内寛解[[#All],[行ラベル]],0),MATCH($AW$4,年齢階層×在院期間区分F02F09＿寛解・院内寛解[#Headers],0)),0)+IFERROR(INDEX(年齢階層×在院期間区分F02F09＿寛解・院内寛解[#All],MATCH($AK27,年齢階層×在院期間区分F02F09＿寛解・院内寛解[[#All],[行ラベル]],0),MATCH($AX$4,年齢階層×在院期間区分F02F09＿寛解・院内寛解[#Headers],0)),0)+IFERROR(INDEX(年齢階層×在院期間区分F02F09＿寛解・院内寛解[#All],MATCH($AK27,年齢階層×在院期間区分F02F09＿寛解・院内寛解[[#All],[行ラベル]],0),MATCH($AY$4,年齢階層×在院期間区分F02F09＿寛解・院内寛解[#Headers],0)),0)</f>
        <v>1</v>
      </c>
      <c r="H27" s="209">
        <f t="shared" si="8"/>
        <v>0.14285714285714285</v>
      </c>
      <c r="I27" s="208">
        <f>IFERROR(INDEX(年齢階層×在院期間区分F02F09＿寛解・院内寛解[#All],MATCH($AK27,年齢階層×在院期間区分F02F09＿寛解・院内寛解[[#All],[行ラベル]],0),MATCH($AZ$4,年齢階層×在院期間区分F02F09＿寛解・院内寛解[#Headers],0))+INDEX(年齢階層×在院期間区分F02F09＿寛解・院内寛解[#All],MATCH($AK27,年齢階層×在院期間区分F02F09＿寛解・院内寛解[[#All],[行ラベル]],0),MATCH($BA$4,年齢階層×在院期間区分F02F09＿寛解・院内寛解[#Headers],0)),0)</f>
        <v>3</v>
      </c>
      <c r="J27" s="209">
        <f t="shared" si="9"/>
        <v>0.5</v>
      </c>
      <c r="K27" s="208">
        <f t="shared" si="10"/>
        <v>19</v>
      </c>
      <c r="L27" s="209">
        <f t="shared" si="11"/>
        <v>0.13194444444444445</v>
      </c>
      <c r="O27" s="54" t="s">
        <v>9</v>
      </c>
      <c r="P27" s="66">
        <v>5</v>
      </c>
      <c r="Q27" s="66">
        <v>18</v>
      </c>
      <c r="R27" s="66">
        <v>10</v>
      </c>
      <c r="S27" s="66">
        <v>11</v>
      </c>
      <c r="T27" s="66">
        <v>4</v>
      </c>
      <c r="U27" s="66">
        <v>0</v>
      </c>
      <c r="V27" s="66">
        <v>4</v>
      </c>
      <c r="W27" s="66">
        <v>2</v>
      </c>
      <c r="X27" s="66">
        <v>0</v>
      </c>
      <c r="Y27" s="66">
        <v>2</v>
      </c>
      <c r="Z27" s="66">
        <v>1</v>
      </c>
      <c r="AA27" s="66">
        <v>0</v>
      </c>
      <c r="AB27" s="66">
        <v>1</v>
      </c>
      <c r="AC27" s="66">
        <v>1</v>
      </c>
      <c r="AD27" s="66">
        <v>0</v>
      </c>
      <c r="AE27" s="66"/>
      <c r="AK27" s="54" t="s">
        <v>7</v>
      </c>
    </row>
    <row r="28" spans="2:41" s="22" customFormat="1" ht="18.75" customHeight="1" x14ac:dyDescent="0.15">
      <c r="B28" s="230" t="s">
        <v>8</v>
      </c>
      <c r="C28" s="208">
        <f>IFERROR(INDEX(年齢階層×在院期間区分F02F09＿寛解・院内寛解[#All],MATCH($AK28,年齢階層×在院期間区分F02F09＿寛解・院内寛解[[#All],[行ラベル]],0),MATCH($AL$4,年齢階層×在院期間区分F02F09＿寛解・院内寛解[#Headers],0)),0)+IFERROR(INDEX(年齢階層×在院期間区分F02F09＿寛解・院内寛解[#All],MATCH($AK28,年齢階層×在院期間区分F02F09＿寛解・院内寛解[[#All],[行ラベル]],0),MATCH($AM$4,年齢階層×在院期間区分F02F09＿寛解・院内寛解[#Headers],0)),0)+IFERROR(INDEX(年齢階層×在院期間区分F02F09＿寛解・院内寛解[#All],MATCH($AK28,年齢階層×在院期間区分F02F09＿寛解・院内寛解[[#All],[行ラベル]],0),MATCH($AN$4,年齢階層×在院期間区分F02F09＿寛解・院内寛解[#Headers],0)),0)+IFERROR(INDEX(年齢階層×在院期間区分F02F09＿寛解・院内寛解[#All],MATCH($AK28,年齢階層×在院期間区分F02F09＿寛解・院内寛解[[#All],[行ラベル]],0),MATCH($AO$4,年齢階層×在院期間区分F02F09＿寛解・院内寛解[#Headers],0)),0)</f>
        <v>31</v>
      </c>
      <c r="D28" s="209">
        <f t="shared" si="6"/>
        <v>0.31</v>
      </c>
      <c r="E28" s="208">
        <f>IFERROR(INDEX(年齢階層×在院期間区分F02F09＿寛解・院内寛解[#All],MATCH($AK28,年齢階層×在院期間区分F02F09＿寛解・院内寛解[[#All],[行ラベル]],0),MATCH($AP$4,年齢階層×在院期間区分F02F09＿寛解・院内寛解[#Headers],0)),0)+IFERROR(INDEX(年齢階層×在院期間区分F02F09＿寛解・院内寛解[#All],MATCH($AK28,年齢階層×在院期間区分F02F09＿寛解・院内寛解[[#All],[行ラベル]],0),MATCH($AQ$4,年齢階層×在院期間区分F02F09＿寛解・院内寛解[#Headers],0)),0)+IFERROR(INDEX(年齢階層×在院期間区分F02F09＿寛解・院内寛解[#All],MATCH($AK28,年齢階層×在院期間区分F02F09＿寛解・院内寛解[[#All],[行ラベル]],0),MATCH($AR$4,年齢階層×在院期間区分F02F09＿寛解・院内寛解[#Headers],0)),0)+IFERROR(INDEX(年齢階層×在院期間区分F02F09＿寛解・院内寛解[#All],MATCH($AK28,年齢階層×在院期間区分F02F09＿寛解・院内寛解[[#All],[行ラベル]],0),MATCH($AS$4,年齢階層×在院期間区分F02F09＿寛解・院内寛解[#Headers],0)),0)+IFERROR(INDEX(年齢階層×在院期間区分F02F09＿寛解・院内寛解[#All],MATCH($AK28,年齢階層×在院期間区分F02F09＿寛解・院内寛解[[#All],[行ラベル]],0),MATCH($AT$4,年齢階層×在院期間区分F02F09＿寛解・院内寛解[#Headers],0)),0)</f>
        <v>12</v>
      </c>
      <c r="F28" s="209">
        <f t="shared" si="7"/>
        <v>0.38709677419354838</v>
      </c>
      <c r="G28" s="231">
        <f>IFERROR(INDEX(年齢階層×在院期間区分F02F09＿寛解・院内寛解[#All],MATCH($AK28,年齢階層×在院期間区分F02F09＿寛解・院内寛解[[#All],[行ラベル]],0),MATCH($AU$4,年齢階層×在院期間区分F02F09＿寛解・院内寛解[#Headers],0)),0)+IFERROR(INDEX(年齢階層×在院期間区分F02F09＿寛解・院内寛解[#All],MATCH($AK28,年齢階層×在院期間区分F02F09＿寛解・院内寛解[[#All],[行ラベル]],0),MATCH($AV$4,年齢階層×在院期間区分F02F09＿寛解・院内寛解[#Headers],0)),0)+IFERROR(INDEX(年齢階層×在院期間区分F02F09＿寛解・院内寛解[#All],MATCH($AK28,年齢階層×在院期間区分F02F09＿寛解・院内寛解[[#All],[行ラベル]],0),MATCH($AW$4,年齢階層×在院期間区分F02F09＿寛解・院内寛解[#Headers],0)),0)+IFERROR(INDEX(年齢階層×在院期間区分F02F09＿寛解・院内寛解[#All],MATCH($AK28,年齢階層×在院期間区分F02F09＿寛解・院内寛解[[#All],[行ラベル]],0),MATCH($AX$4,年齢階層×在院期間区分F02F09＿寛解・院内寛解[#Headers],0)),0)+IFERROR(INDEX(年齢階層×在院期間区分F02F09＿寛解・院内寛解[#All],MATCH($AK28,年齢階層×在院期間区分F02F09＿寛解・院内寛解[[#All],[行ラベル]],0),MATCH($AY$4,年齢階層×在院期間区分F02F09＿寛解・院内寛解[#Headers],0)),0)</f>
        <v>0</v>
      </c>
      <c r="H28" s="209">
        <f t="shared" si="8"/>
        <v>0</v>
      </c>
      <c r="I28" s="208">
        <f>IFERROR(INDEX(年齢階層×在院期間区分F02F09＿寛解・院内寛解[#All],MATCH($AK28,年齢階層×在院期間区分F02F09＿寛解・院内寛解[[#All],[行ラベル]],0),MATCH($AZ$4,年齢階層×在院期間区分F02F09＿寛解・院内寛解[#Headers],0))+INDEX(年齢階層×在院期間区分F02F09＿寛解・院内寛解[#All],MATCH($AK28,年齢階層×在院期間区分F02F09＿寛解・院内寛解[[#All],[行ラベル]],0),MATCH($BA$4,年齢階層×在院期間区分F02F09＿寛解・院内寛解[#Headers],0)),0)</f>
        <v>2</v>
      </c>
      <c r="J28" s="209">
        <f t="shared" si="9"/>
        <v>0.33333333333333331</v>
      </c>
      <c r="K28" s="208">
        <f t="shared" si="10"/>
        <v>45</v>
      </c>
      <c r="L28" s="209">
        <f t="shared" si="11"/>
        <v>0.3125</v>
      </c>
      <c r="O28" s="54" t="s">
        <v>10</v>
      </c>
      <c r="P28" s="66">
        <v>3</v>
      </c>
      <c r="Q28" s="66">
        <v>2</v>
      </c>
      <c r="R28" s="66">
        <v>1</v>
      </c>
      <c r="S28" s="66">
        <v>1</v>
      </c>
      <c r="T28" s="66">
        <v>0</v>
      </c>
      <c r="U28" s="66">
        <v>0</v>
      </c>
      <c r="V28" s="66">
        <v>0</v>
      </c>
      <c r="W28" s="66">
        <v>1</v>
      </c>
      <c r="X28" s="66">
        <v>0</v>
      </c>
      <c r="Y28" s="66">
        <v>1</v>
      </c>
      <c r="Z28" s="66">
        <v>0</v>
      </c>
      <c r="AA28" s="66">
        <v>0</v>
      </c>
      <c r="AB28" s="66">
        <v>0</v>
      </c>
      <c r="AC28" s="66">
        <v>0</v>
      </c>
      <c r="AD28" s="66">
        <v>0</v>
      </c>
      <c r="AE28" s="66"/>
      <c r="AK28" s="54" t="s">
        <v>8</v>
      </c>
    </row>
    <row r="29" spans="2:41" s="22" customFormat="1" ht="18.75" customHeight="1" x14ac:dyDescent="0.15">
      <c r="B29" s="230" t="s">
        <v>9</v>
      </c>
      <c r="C29" s="232">
        <f>IFERROR(INDEX(年齢階層×在院期間区分F02F09＿寛解・院内寛解[#All],MATCH($AK29,年齢階層×在院期間区分F02F09＿寛解・院内寛解[[#All],[行ラベル]],0),MATCH($AL$4,年齢階層×在院期間区分F02F09＿寛解・院内寛解[#Headers],0)),0)+IFERROR(INDEX(年齢階層×在院期間区分F02F09＿寛解・院内寛解[#All],MATCH($AK29,年齢階層×在院期間区分F02F09＿寛解・院内寛解[[#All],[行ラベル]],0),MATCH($AM$4,年齢階層×在院期間区分F02F09＿寛解・院内寛解[#Headers],0)),0)+IFERROR(INDEX(年齢階層×在院期間区分F02F09＿寛解・院内寛解[#All],MATCH($AK29,年齢階層×在院期間区分F02F09＿寛解・院内寛解[[#All],[行ラベル]],0),MATCH($AN$4,年齢階層×在院期間区分F02F09＿寛解・院内寛解[#Headers],0)),0)+IFERROR(INDEX(年齢階層×在院期間区分F02F09＿寛解・院内寛解[#All],MATCH($AK29,年齢階層×在院期間区分F02F09＿寛解・院内寛解[[#All],[行ラベル]],0),MATCH($AO$4,年齢階層×在院期間区分F02F09＿寛解・院内寛解[#Headers],0)),0)</f>
        <v>44</v>
      </c>
      <c r="D29" s="209">
        <f t="shared" si="6"/>
        <v>0.44</v>
      </c>
      <c r="E29" s="232">
        <f>IFERROR(INDEX(年齢階層×在院期間区分F02F09＿寛解・院内寛解[#All],MATCH($AK29,年齢階層×在院期間区分F02F09＿寛解・院内寛解[[#All],[行ラベル]],0),MATCH($AP$4,年齢階層×在院期間区分F02F09＿寛解・院内寛解[#Headers],0)),0)+IFERROR(INDEX(年齢階層×在院期間区分F02F09＿寛解・院内寛解[#All],MATCH($AK29,年齢階層×在院期間区分F02F09＿寛解・院内寛解[[#All],[行ラベル]],0),MATCH($AQ$4,年齢階層×在院期間区分F02F09＿寛解・院内寛解[#Headers],0)),0)+IFERROR(INDEX(年齢階層×在院期間区分F02F09＿寛解・院内寛解[#All],MATCH($AK29,年齢階層×在院期間区分F02F09＿寛解・院内寛解[[#All],[行ラベル]],0),MATCH($AR$4,年齢階層×在院期間区分F02F09＿寛解・院内寛解[#Headers],0)),0)+IFERROR(INDEX(年齢階層×在院期間区分F02F09＿寛解・院内寛解[#All],MATCH($AK29,年齢階層×在院期間区分F02F09＿寛解・院内寛解[[#All],[行ラベル]],0),MATCH($AS$4,年齢階層×在院期間区分F02F09＿寛解・院内寛解[#Headers],0)),0)+IFERROR(INDEX(年齢階層×在院期間区分F02F09＿寛解・院内寛解[#All],MATCH($AK29,年齢階層×在院期間区分F02F09＿寛解・院内寛解[[#All],[行ラベル]],0),MATCH($AT$4,年齢階層×在院期間区分F02F09＿寛解・院内寛解[#Headers],0)),0)</f>
        <v>10</v>
      </c>
      <c r="F29" s="209">
        <f t="shared" si="7"/>
        <v>0.32258064516129031</v>
      </c>
      <c r="G29" s="208">
        <f>IFERROR(INDEX(年齢階層×在院期間区分F02F09＿寛解・院内寛解[#All],MATCH($AK29,年齢階層×在院期間区分F02F09＿寛解・院内寛解[[#All],[行ラベル]],0),MATCH($AU$4,年齢階層×在院期間区分F02F09＿寛解・院内寛解[#Headers],0)),0)+IFERROR(INDEX(年齢階層×在院期間区分F02F09＿寛解・院内寛解[#All],MATCH($AK29,年齢階層×在院期間区分F02F09＿寛解・院内寛解[[#All],[行ラベル]],0),MATCH($AV$4,年齢階層×在院期間区分F02F09＿寛解・院内寛解[#Headers],0)),0)+IFERROR(INDEX(年齢階層×在院期間区分F02F09＿寛解・院内寛解[#All],MATCH($AK29,年齢階層×在院期間区分F02F09＿寛解・院内寛解[[#All],[行ラベル]],0),MATCH($AW$4,年齢階層×在院期間区分F02F09＿寛解・院内寛解[#Headers],0)),0)+IFERROR(INDEX(年齢階層×在院期間区分F02F09＿寛解・院内寛解[#All],MATCH($AK29,年齢階層×在院期間区分F02F09＿寛解・院内寛解[[#All],[行ラベル]],0),MATCH($AX$4,年齢階層×在院期間区分F02F09＿寛解・院内寛解[#Headers],0)),0)+IFERROR(INDEX(年齢階層×在院期間区分F02F09＿寛解・院内寛解[#All],MATCH($AK29,年齢階層×在院期間区分F02F09＿寛解・院内寛解[[#All],[行ラベル]],0),MATCH($AY$4,年齢階層×在院期間区分F02F09＿寛解・院内寛解[#Headers],0)),0)</f>
        <v>4</v>
      </c>
      <c r="H29" s="209">
        <f t="shared" si="8"/>
        <v>0.5714285714285714</v>
      </c>
      <c r="I29" s="208">
        <f>IFERROR(INDEX(年齢階層×在院期間区分F02F09＿寛解・院内寛解[#All],MATCH($AK29,年齢階層×在院期間区分F02F09＿寛解・院内寛解[[#All],[行ラベル]],0),MATCH($AZ$4,年齢階層×在院期間区分F02F09＿寛解・院内寛解[#Headers],0))+INDEX(年齢階層×在院期間区分F02F09＿寛解・院内寛解[#All],MATCH($AK29,年齢階層×在院期間区分F02F09＿寛解・院内寛解[[#All],[行ラベル]],0),MATCH($BA$4,年齢階層×在院期間区分F02F09＿寛解・院内寛解[#Headers],0)),0)</f>
        <v>1</v>
      </c>
      <c r="J29" s="209">
        <f t="shared" si="9"/>
        <v>0.16666666666666666</v>
      </c>
      <c r="K29" s="208">
        <f t="shared" si="10"/>
        <v>59</v>
      </c>
      <c r="L29" s="209">
        <f t="shared" si="11"/>
        <v>0.40972222222222221</v>
      </c>
      <c r="O29" s="54"/>
      <c r="P29" s="66"/>
      <c r="Q29" s="66"/>
      <c r="R29" s="66"/>
      <c r="S29" s="66"/>
      <c r="T29" s="66"/>
      <c r="U29" s="66"/>
      <c r="V29" s="66"/>
      <c r="W29" s="66"/>
      <c r="X29" s="66"/>
      <c r="Y29" s="66"/>
      <c r="Z29" s="66"/>
      <c r="AA29" s="66"/>
      <c r="AB29" s="66"/>
      <c r="AC29" s="66"/>
      <c r="AD29" s="66"/>
      <c r="AE29" s="66"/>
      <c r="AK29" s="54" t="s">
        <v>9</v>
      </c>
    </row>
    <row r="30" spans="2:41" s="22" customFormat="1" ht="18.75" customHeight="1" thickBot="1" x14ac:dyDescent="0.2">
      <c r="B30" s="233" t="s">
        <v>10</v>
      </c>
      <c r="C30" s="211">
        <f>IFERROR(INDEX(年齢階層×在院期間区分F02F09＿寛解・院内寛解[#All],MATCH($AK30,年齢階層×在院期間区分F02F09＿寛解・院内寛解[[#All],[行ラベル]],0),MATCH($AL$4,年齢階層×在院期間区分F02F09＿寛解・院内寛解[#Headers],0)),0)+IFERROR(INDEX(年齢階層×在院期間区分F02F09＿寛解・院内寛解[#All],MATCH($AK30,年齢階層×在院期間区分F02F09＿寛解・院内寛解[[#All],[行ラベル]],0),MATCH($AM$4,年齢階層×在院期間区分F02F09＿寛解・院内寛解[#Headers],0)),0)+IFERROR(INDEX(年齢階層×在院期間区分F02F09＿寛解・院内寛解[#All],MATCH($AK30,年齢階層×在院期間区分F02F09＿寛解・院内寛解[[#All],[行ラベル]],0),MATCH($AN$4,年齢階層×在院期間区分F02F09＿寛解・院内寛解[#Headers],0)),0)+IFERROR(INDEX(年齢階層×在院期間区分F02F09＿寛解・院内寛解[#All],MATCH($AK30,年齢階層×在院期間区分F02F09＿寛解・院内寛解[[#All],[行ラベル]],0),MATCH($AO$4,年齢階層×在院期間区分F02F09＿寛解・院内寛解[#Headers],0)),0)</f>
        <v>7</v>
      </c>
      <c r="D30" s="213">
        <f t="shared" si="6"/>
        <v>7.0000000000000007E-2</v>
      </c>
      <c r="E30" s="211">
        <f>IFERROR(INDEX(年齢階層×在院期間区分F02F09＿寛解・院内寛解[#All],MATCH($AK30,年齢階層×在院期間区分F02F09＿寛解・院内寛解[[#All],[行ラベル]],0),MATCH($AP$4,年齢階層×在院期間区分F02F09＿寛解・院内寛解[#Headers],0)),0)+IFERROR(INDEX(年齢階層×在院期間区分F02F09＿寛解・院内寛解[#All],MATCH($AK30,年齢階層×在院期間区分F02F09＿寛解・院内寛解[[#All],[行ラベル]],0),MATCH($AQ$4,年齢階層×在院期間区分F02F09＿寛解・院内寛解[#Headers],0)),0)+IFERROR(INDEX(年齢階層×在院期間区分F02F09＿寛解・院内寛解[#All],MATCH($AK30,年齢階層×在院期間区分F02F09＿寛解・院内寛解[[#All],[行ラベル]],0),MATCH($AR$4,年齢階層×在院期間区分F02F09＿寛解・院内寛解[#Headers],0)),0)+IFERROR(INDEX(年齢階層×在院期間区分F02F09＿寛解・院内寛解[#All],MATCH($AK30,年齢階層×在院期間区分F02F09＿寛解・院内寛解[[#All],[行ラベル]],0),MATCH($AS$4,年齢階層×在院期間区分F02F09＿寛解・院内寛解[#Headers],0)),0)+IFERROR(INDEX(年齢階層×在院期間区分F02F09＿寛解・院内寛解[#All],MATCH($AK30,年齢階層×在院期間区分F02F09＿寛解・院内寛解[[#All],[行ラベル]],0),MATCH($AT$4,年齢階層×在院期間区分F02F09＿寛解・院内寛解[#Headers],0)),0)</f>
        <v>1</v>
      </c>
      <c r="F30" s="225">
        <f t="shared" si="7"/>
        <v>3.2258064516129031E-2</v>
      </c>
      <c r="G30" s="234">
        <f>IFERROR(INDEX(年齢階層×在院期間区分F02F09＿寛解・院内寛解[#All],MATCH($AK30,年齢階層×在院期間区分F02F09＿寛解・院内寛解[[#All],[行ラベル]],0),MATCH($AU$4,年齢階層×在院期間区分F02F09＿寛解・院内寛解[#Headers],0)),0)+IFERROR(INDEX(年齢階層×在院期間区分F02F09＿寛解・院内寛解[#All],MATCH($AK30,年齢階層×在院期間区分F02F09＿寛解・院内寛解[[#All],[行ラベル]],0),MATCH($AV$4,年齢階層×在院期間区分F02F09＿寛解・院内寛解[#Headers],0)),0)+IFERROR(INDEX(年齢階層×在院期間区分F02F09＿寛解・院内寛解[#All],MATCH($AK30,年齢階層×在院期間区分F02F09＿寛解・院内寛解[[#All],[行ラベル]],0),MATCH($AW$4,年齢階層×在院期間区分F02F09＿寛解・院内寛解[#Headers],0)),0)+IFERROR(INDEX(年齢階層×在院期間区分F02F09＿寛解・院内寛解[#All],MATCH($AK30,年齢階層×在院期間区分F02F09＿寛解・院内寛解[[#All],[行ラベル]],0),MATCH($AX$4,年齢階層×在院期間区分F02F09＿寛解・院内寛解[#Headers],0)),0)+IFERROR(INDEX(年齢階層×在院期間区分F02F09＿寛解・院内寛解[#All],MATCH($AK30,年齢階層×在院期間区分F02F09＿寛解・院内寛解[[#All],[行ラベル]],0),MATCH($AY$4,年齢階層×在院期間区分F02F09＿寛解・院内寛解[#Headers],0)),0)</f>
        <v>1</v>
      </c>
      <c r="H30" s="225">
        <f t="shared" si="8"/>
        <v>0.14285714285714285</v>
      </c>
      <c r="I30" s="234">
        <f>IFERROR(INDEX(年齢階層×在院期間区分F02F09＿寛解・院内寛解[#All],MATCH($AK30,年齢階層×在院期間区分F02F09＿寛解・院内寛解[[#All],[行ラベル]],0),MATCH($AZ$4,年齢階層×在院期間区分F02F09＿寛解・院内寛解[#Headers],0))+INDEX(年齢階層×在院期間区分F02F09＿寛解・院内寛解[#All],MATCH($AK30,年齢階層×在院期間区分F02F09＿寛解・院内寛解[[#All],[行ラベル]],0),MATCH($BA$4,年齢階層×在院期間区分F02F09＿寛解・院内寛解[#Headers],0)),0)</f>
        <v>0</v>
      </c>
      <c r="J30" s="225">
        <f t="shared" si="9"/>
        <v>0</v>
      </c>
      <c r="K30" s="211">
        <f t="shared" si="10"/>
        <v>9</v>
      </c>
      <c r="L30" s="213">
        <f t="shared" si="11"/>
        <v>6.25E-2</v>
      </c>
      <c r="M30" s="78"/>
      <c r="O30" s="54"/>
      <c r="P30" s="66"/>
      <c r="Q30" s="66"/>
      <c r="R30" s="66"/>
      <c r="S30" s="66"/>
      <c r="T30" s="66"/>
      <c r="U30" s="66"/>
      <c r="V30" s="66"/>
      <c r="W30" s="66"/>
      <c r="X30" s="66"/>
      <c r="Y30" s="66"/>
      <c r="Z30" s="66"/>
      <c r="AA30" s="66"/>
      <c r="AB30" s="66"/>
      <c r="AC30" s="66"/>
      <c r="AD30" s="66"/>
      <c r="AE30" s="66"/>
      <c r="AK30" s="54" t="s">
        <v>10</v>
      </c>
    </row>
    <row r="31" spans="2:41" s="22" customFormat="1" ht="18.75" customHeight="1" thickTop="1" thickBot="1" x14ac:dyDescent="0.2">
      <c r="B31" s="235" t="s">
        <v>162</v>
      </c>
      <c r="C31" s="236">
        <f>SUM(C22:C30)</f>
        <v>100</v>
      </c>
      <c r="D31" s="245">
        <f t="shared" si="6"/>
        <v>1</v>
      </c>
      <c r="E31" s="236">
        <f>SUM(E22:E30)</f>
        <v>31</v>
      </c>
      <c r="F31" s="237">
        <f t="shared" si="7"/>
        <v>1</v>
      </c>
      <c r="G31" s="236">
        <f>SUM(G22:G30)</f>
        <v>7</v>
      </c>
      <c r="H31" s="246">
        <f t="shared" si="8"/>
        <v>1</v>
      </c>
      <c r="I31" s="236">
        <f>SUM(I22:I30)</f>
        <v>6</v>
      </c>
      <c r="J31" s="246">
        <f t="shared" si="9"/>
        <v>1</v>
      </c>
      <c r="K31" s="236">
        <f>SUM(K22:K30)</f>
        <v>144</v>
      </c>
      <c r="L31" s="243">
        <f t="shared" si="11"/>
        <v>1</v>
      </c>
      <c r="O31" s="430" t="s">
        <v>309</v>
      </c>
      <c r="P31" s="504" t="s">
        <v>183</v>
      </c>
      <c r="Q31" s="504" t="s">
        <v>184</v>
      </c>
      <c r="R31" s="504" t="s">
        <v>185</v>
      </c>
      <c r="S31" s="504" t="s">
        <v>186</v>
      </c>
      <c r="T31" s="504" t="s">
        <v>187</v>
      </c>
      <c r="U31" s="504" t="s">
        <v>188</v>
      </c>
      <c r="V31" s="504" t="s">
        <v>189</v>
      </c>
      <c r="W31" s="504" t="s">
        <v>190</v>
      </c>
      <c r="X31" s="504" t="s">
        <v>191</v>
      </c>
      <c r="Y31" s="504" t="s">
        <v>192</v>
      </c>
      <c r="Z31" s="504" t="s">
        <v>193</v>
      </c>
      <c r="AA31" s="504" t="s">
        <v>194</v>
      </c>
      <c r="AB31" s="504" t="s">
        <v>196</v>
      </c>
      <c r="AC31" s="504" t="s">
        <v>197</v>
      </c>
      <c r="AD31" s="504" t="s">
        <v>198</v>
      </c>
      <c r="AE31" s="56" t="s">
        <v>369</v>
      </c>
      <c r="AO31" s="59"/>
    </row>
    <row r="32" spans="2:41" s="22" customFormat="1" ht="18.75" customHeight="1" thickTop="1" x14ac:dyDescent="0.15">
      <c r="B32" s="238" t="s">
        <v>93</v>
      </c>
      <c r="C32" s="239">
        <f>IFERROR(INDEX(年齢階層×在院期間区分F02F09_65歳未満以上＿寛解・院内寛解[#All],MATCH($AK32,年齢階層×在院期間区分F02F09_65歳未満以上＿寛解・院内寛解[[#All],[列1]],0),MATCH($AL$4,年齢階層×在院期間区分F02F09_65歳未満以上＿寛解・院内寛解[#Headers],0)),0)+IFERROR(INDEX(年齢階層×在院期間区分F02F09_65歳未満以上＿寛解・院内寛解[#All],MATCH($AK32,年齢階層×在院期間区分F02F09_65歳未満以上＿寛解・院内寛解[[#All],[列1]],0),MATCH($AM$4,年齢階層×在院期間区分F02F09_65歳未満以上＿寛解・院内寛解[#Headers],0)),0)+IFERROR(INDEX(年齢階層×在院期間区分F02F09_65歳未満以上＿寛解・院内寛解[#All],MATCH($AK32,年齢階層×在院期間区分F02F09_65歳未満以上＿寛解・院内寛解[[#All],[列1]],0),MATCH($AN$4,年齢階層×在院期間区分F02F09_65歳未満以上＿寛解・院内寛解[#Headers],0)),0)+IFERROR(INDEX(年齢階層×在院期間区分F02F09_65歳未満以上＿寛解・院内寛解[#All],MATCH($AK32,年齢階層×在院期間区分F02F09_65歳未満以上＿寛解・院内寛解[[#All],[列1]],0),MATCH($AO$4,年齢階層×在院期間区分F02F09_65歳未満以上＿寛解・院内寛解[#Headers],0)),0)</f>
        <v>12</v>
      </c>
      <c r="D32" s="210">
        <f t="shared" si="6"/>
        <v>0.12</v>
      </c>
      <c r="E32" s="239">
        <f>IFERROR(INDEX(年齢階層×在院期間区分F02F09_65歳未満以上＿寛解・院内寛解[#All],MATCH($AK32,年齢階層×在院期間区分F02F09_65歳未満以上＿寛解・院内寛解[[#All],[列1]],0),MATCH($AP$4,年齢階層×在院期間区分F02F09_65歳未満以上＿寛解・院内寛解[#Headers],0)),0)+IFERROR(INDEX(年齢階層×在院期間区分F02F09_65歳未満以上＿寛解・院内寛解[#All],MATCH($AK32,年齢階層×在院期間区分F02F09_65歳未満以上＿寛解・院内寛解[[#All],[列1]],0),MATCH($AQ$4,年齢階層×在院期間区分F02F09_65歳未満以上＿寛解・院内寛解[#Headers],0)),0)+IFERROR(INDEX(年齢階層×在院期間区分F02F09_65歳未満以上＿寛解・院内寛解[#All],MATCH($AK32,年齢階層×在院期間区分F02F09_65歳未満以上＿寛解・院内寛解[[#All],[列1]],0),MATCH($AR$4,年齢階層×在院期間区分F02F09_65歳未満以上＿寛解・院内寛解[#Headers],0)),0)+IFERROR(INDEX(年齢階層×在院期間区分F02F09_65歳未満以上＿寛解・院内寛解[#All],MATCH($AK32,年齢階層×在院期間区分F02F09_65歳未満以上＿寛解・院内寛解[[#All],[列1]],0),MATCH($AS$4,年齢階層×在院期間区分F02F09_65歳未満以上＿寛解・院内寛解[#Headers],0)),0)+IFERROR(INDEX(年齢階層×在院期間区分F02F09_65歳未満以上＿寛解・院内寛解[#All],MATCH($AK32,年齢階層×在院期間区分F02F09_65歳未満以上＿寛解・院内寛解[[#All],[列1]],0),MATCH($AT$4,年齢階層×在院期間区分F02F09_65歳未満以上＿寛解・院内寛解[#Headers],0)),0)</f>
        <v>6</v>
      </c>
      <c r="F32" s="241">
        <f t="shared" si="7"/>
        <v>0.19354838709677419</v>
      </c>
      <c r="G32" s="239">
        <f>IFERROR(INDEX(年齢階層×在院期間区分F02F09_65歳未満以上＿寛解・院内寛解[#All],MATCH($AK32,年齢階層×在院期間区分F02F09_65歳未満以上＿寛解・院内寛解[[#All],[列1]],0),MATCH($AU$4,年齢階層×在院期間区分F02F09_65歳未満以上＿寛解・院内寛解[#Headers],0)),0)+IFERROR(INDEX(年齢階層×在院期間区分F02F09_65歳未満以上＿寛解・院内寛解[#All],MATCH($AK32,年齢階層×在院期間区分F02F09_65歳未満以上＿寛解・院内寛解[[#All],[列1]],0),MATCH($AV$4,年齢階層×在院期間区分F02F09_65歳未満以上＿寛解・院内寛解[#Headers],0)),0)+IFERROR(INDEX(年齢階層×在院期間区分F02F09_65歳未満以上＿寛解・院内寛解[#All],MATCH($AK32,年齢階層×在院期間区分F02F09_65歳未満以上＿寛解・院内寛解[[#All],[列1]],0),MATCH($AW$4,年齢階層×在院期間区分F02F09_65歳未満以上＿寛解・院内寛解[#Headers],0)),0)+IFERROR(INDEX(年齢階層×在院期間区分F02F09_65歳未満以上＿寛解・院内寛解[#All],MATCH($AK32,年齢階層×在院期間区分F02F09_65歳未満以上＿寛解・院内寛解[[#All],[列1]],0),MATCH($AX$4,年齢階層×在院期間区分F02F09_65歳未満以上＿寛解・院内寛解[#Headers],0)),0)+IFERROR(INDEX(年齢階層×在院期間区分F02F09_65歳未満以上＿寛解・院内寛解[#All],MATCH($AK32,年齢階層×在院期間区分F02F09_65歳未満以上＿寛解・院内寛解[[#All],[列1]],0),MATCH($AY$4,年齢階層×在院期間区分F02F09_65歳未満以上＿寛解・院内寛解[#Headers],0)),0)</f>
        <v>2</v>
      </c>
      <c r="H32" s="241">
        <f t="shared" si="8"/>
        <v>0.2857142857142857</v>
      </c>
      <c r="I32" s="239">
        <f>IFERROR(INDEX(年齢階層×在院期間区分F02F09_65歳未満以上＿寛解・院内寛解[#All],MATCH($AK32,年齢階層×在院期間区分F02F09_65歳未満以上＿寛解・院内寛解[[#All],[列1]],0),MATCH($AZ$4,年齢階層×在院期間区分F02F09_65歳未満以上＿寛解・院内寛解[#Headers],0)),0)+IFERROR(INDEX(年齢階層×在院期間区分F02F09_65歳未満以上＿寛解・院内寛解[#All],MATCH($AK32,年齢階層×在院期間区分F02F09_65歳未満以上＿寛解・院内寛解[[#All],[列1]],0),MATCH($BA$4,年齢階層×在院期間区分F02F09_65歳未満以上＿寛解・院内寛解[#Headers],0)),0)</f>
        <v>1</v>
      </c>
      <c r="J32" s="224">
        <f t="shared" si="9"/>
        <v>0.16666666666666666</v>
      </c>
      <c r="K32" s="239">
        <f>C32+E32+G32+I32</f>
        <v>21</v>
      </c>
      <c r="L32" s="224">
        <f t="shared" si="11"/>
        <v>0.14583333333333334</v>
      </c>
      <c r="O32" s="54" t="s">
        <v>307</v>
      </c>
      <c r="P32" s="66">
        <v>2</v>
      </c>
      <c r="Q32" s="66">
        <v>7</v>
      </c>
      <c r="R32" s="66">
        <v>1</v>
      </c>
      <c r="S32" s="66">
        <v>2</v>
      </c>
      <c r="T32" s="66">
        <v>1</v>
      </c>
      <c r="U32" s="66">
        <v>0</v>
      </c>
      <c r="V32" s="66">
        <v>2</v>
      </c>
      <c r="W32" s="66">
        <v>2</v>
      </c>
      <c r="X32" s="66">
        <v>1</v>
      </c>
      <c r="Y32" s="66">
        <v>1</v>
      </c>
      <c r="Z32" s="66">
        <v>0</v>
      </c>
      <c r="AA32" s="66">
        <v>1</v>
      </c>
      <c r="AB32" s="66">
        <v>0</v>
      </c>
      <c r="AC32" s="66">
        <v>1</v>
      </c>
      <c r="AD32" s="66">
        <v>0</v>
      </c>
      <c r="AE32" s="66"/>
      <c r="AF32" s="1"/>
      <c r="AG32" s="1"/>
      <c r="AK32" s="83" t="s">
        <v>157</v>
      </c>
    </row>
    <row r="33" spans="2:49" ht="18.75" customHeight="1" x14ac:dyDescent="0.15">
      <c r="B33" s="240" t="s">
        <v>89</v>
      </c>
      <c r="C33" s="239">
        <f>IFERROR(INDEX(年齢階層×在院期間区分F02F09_65歳未満以上＿寛解・院内寛解[#All],MATCH($AK33,年齢階層×在院期間区分F02F09_65歳未満以上＿寛解・院内寛解[[#All],[列1]],0),MATCH($AL$4,年齢階層×在院期間区分F02F09_65歳未満以上＿寛解・院内寛解[#Headers],0)),0)+IFERROR(INDEX(年齢階層×在院期間区分F02F09_65歳未満以上＿寛解・院内寛解[#All],MATCH($AK33,年齢階層×在院期間区分F02F09_65歳未満以上＿寛解・院内寛解[[#All],[列1]],0),MATCH($AM$4,年齢階層×在院期間区分F02F09_65歳未満以上＿寛解・院内寛解[#Headers],0)),0)+IFERROR(INDEX(年齢階層×在院期間区分F02F09_65歳未満以上＿寛解・院内寛解[#All],MATCH($AK33,年齢階層×在院期間区分F02F09_65歳未満以上＿寛解・院内寛解[[#All],[列1]],0),MATCH($AN$4,年齢階層×在院期間区分F02F09_65歳未満以上＿寛解・院内寛解[#Headers],0)),0)+IFERROR(INDEX(年齢階層×在院期間区分F02F09_65歳未満以上＿寛解・院内寛解[#All],MATCH($AK33,年齢階層×在院期間区分F02F09_65歳未満以上＿寛解・院内寛解[[#All],[列1]],0),MATCH($AO$4,年齢階層×在院期間区分F02F09_65歳未満以上＿寛解・院内寛解[#Headers],0)),0)</f>
        <v>88</v>
      </c>
      <c r="D33" s="241">
        <f t="shared" si="6"/>
        <v>0.88</v>
      </c>
      <c r="E33" s="239">
        <f>IFERROR(INDEX(年齢階層×在院期間区分F02F09_65歳未満以上＿寛解・院内寛解[#All],MATCH($AK33,年齢階層×在院期間区分F02F09_65歳未満以上＿寛解・院内寛解[[#All],[列1]],0),MATCH($AP$4,年齢階層×在院期間区分F02F09_65歳未満以上＿寛解・院内寛解[#Headers],0)),0)+IFERROR(INDEX(年齢階層×在院期間区分F02F09_65歳未満以上＿寛解・院内寛解[#All],MATCH($AK33,年齢階層×在院期間区分F02F09_65歳未満以上＿寛解・院内寛解[[#All],[列1]],0),MATCH($AQ$4,年齢階層×在院期間区分F02F09_65歳未満以上＿寛解・院内寛解[#Headers],0)),0)+IFERROR(INDEX(年齢階層×在院期間区分F02F09_65歳未満以上＿寛解・院内寛解[#All],MATCH($AK33,年齢階層×在院期間区分F02F09_65歳未満以上＿寛解・院内寛解[[#All],[列1]],0),MATCH($AR$4,年齢階層×在院期間区分F02F09_65歳未満以上＿寛解・院内寛解[#Headers],0)),0)+IFERROR(INDEX(年齢階層×在院期間区分F02F09_65歳未満以上＿寛解・院内寛解[#All],MATCH($AK33,年齢階層×在院期間区分F02F09_65歳未満以上＿寛解・院内寛解[[#All],[列1]],0),MATCH($AS$4,年齢階層×在院期間区分F02F09_65歳未満以上＿寛解・院内寛解[#Headers],0)),0)+IFERROR(INDEX(年齢階層×在院期間区分F02F09_65歳未満以上＿寛解・院内寛解[#All],MATCH($AK33,年齢階層×在院期間区分F02F09_65歳未満以上＿寛解・院内寛解[[#All],[列1]],0),MATCH($AT$4,年齢階層×在院期間区分F02F09_65歳未満以上＿寛解・院内寛解[#Headers],0)),0)</f>
        <v>25</v>
      </c>
      <c r="F33" s="241">
        <f t="shared" si="7"/>
        <v>0.80645161290322576</v>
      </c>
      <c r="G33" s="239">
        <f>IFERROR(INDEX(年齢階層×在院期間区分F02F09_65歳未満以上＿寛解・院内寛解[#All],MATCH($AK33,年齢階層×在院期間区分F02F09_65歳未満以上＿寛解・院内寛解[[#All],[列1]],0),MATCH($AU$4,年齢階層×在院期間区分F02F09_65歳未満以上＿寛解・院内寛解[#Headers],0)),0)+IFERROR(INDEX(年齢階層×在院期間区分F02F09_65歳未満以上＿寛解・院内寛解[#All],MATCH($AK33,年齢階層×在院期間区分F02F09_65歳未満以上＿寛解・院内寛解[[#All],[列1]],0),MATCH($AV$4,年齢階層×在院期間区分F02F09_65歳未満以上＿寛解・院内寛解[#Headers],0)),0)+IFERROR(INDEX(年齢階層×在院期間区分F02F09_65歳未満以上＿寛解・院内寛解[#All],MATCH($AK33,年齢階層×在院期間区分F02F09_65歳未満以上＿寛解・院内寛解[[#All],[列1]],0),MATCH($AW$4,年齢階層×在院期間区分F02F09_65歳未満以上＿寛解・院内寛解[#Headers],0)),0)+IFERROR(INDEX(年齢階層×在院期間区分F02F09_65歳未満以上＿寛解・院内寛解[#All],MATCH($AK33,年齢階層×在院期間区分F02F09_65歳未満以上＿寛解・院内寛解[[#All],[列1]],0),MATCH($AX$4,年齢階層×在院期間区分F02F09_65歳未満以上＿寛解・院内寛解[#Headers],0)),0)+IFERROR(INDEX(年齢階層×在院期間区分F02F09_65歳未満以上＿寛解・院内寛解[#All],MATCH($AK33,年齢階層×在院期間区分F02F09_65歳未満以上＿寛解・院内寛解[[#All],[列1]],0),MATCH($AY$4,年齢階層×在院期間区分F02F09_65歳未満以上＿寛解・院内寛解[#Headers],0)),0)</f>
        <v>5</v>
      </c>
      <c r="H33" s="241">
        <f t="shared" si="8"/>
        <v>0.7142857142857143</v>
      </c>
      <c r="I33" s="239">
        <f>IFERROR(INDEX(年齢階層×在院期間区分F02F09_65歳未満以上＿寛解・院内寛解[#All],MATCH($AK33,年齢階層×在院期間区分F02F09_65歳未満以上＿寛解・院内寛解[[#All],[列1]],0),MATCH($AZ$4,年齢階層×在院期間区分F02F09_65歳未満以上＿寛解・院内寛解[#Headers],0)),0)+IFERROR(INDEX(年齢階層×在院期間区分F02F09_65歳未満以上＿寛解・院内寛解[#All],MATCH($AK33,年齢階層×在院期間区分F02F09_65歳未満以上＿寛解・院内寛解[[#All],[列1]],0),MATCH($BA$4,年齢階層×在院期間区分F02F09_65歳未満以上＿寛解・院内寛解[#Headers],0)),0)</f>
        <v>5</v>
      </c>
      <c r="J33" s="241">
        <f t="shared" si="9"/>
        <v>0.83333333333333337</v>
      </c>
      <c r="K33" s="239">
        <f>C33+E33+G33+I33</f>
        <v>123</v>
      </c>
      <c r="L33" s="241">
        <f t="shared" si="11"/>
        <v>0.85416666666666663</v>
      </c>
      <c r="O33" s="83" t="s">
        <v>308</v>
      </c>
      <c r="P33" s="66">
        <v>16</v>
      </c>
      <c r="Q33" s="66">
        <v>31</v>
      </c>
      <c r="R33" s="66">
        <v>23</v>
      </c>
      <c r="S33" s="66">
        <v>18</v>
      </c>
      <c r="T33" s="66">
        <v>8</v>
      </c>
      <c r="U33" s="66">
        <v>4</v>
      </c>
      <c r="V33" s="66">
        <v>7</v>
      </c>
      <c r="W33" s="66">
        <v>5</v>
      </c>
      <c r="X33" s="66">
        <v>1</v>
      </c>
      <c r="Y33" s="66">
        <v>3</v>
      </c>
      <c r="Z33" s="66">
        <v>1</v>
      </c>
      <c r="AA33" s="66">
        <v>0</v>
      </c>
      <c r="AB33" s="66">
        <v>1</v>
      </c>
      <c r="AC33" s="66">
        <v>3</v>
      </c>
      <c r="AD33" s="66">
        <v>2</v>
      </c>
      <c r="AE33" s="66"/>
      <c r="AG33" s="83"/>
      <c r="AK33" s="83" t="s">
        <v>88</v>
      </c>
    </row>
    <row r="35" spans="2:49" x14ac:dyDescent="0.15">
      <c r="C35" s="53"/>
      <c r="D35" s="62"/>
      <c r="E35" s="62"/>
      <c r="F35" s="62"/>
      <c r="G35" s="62"/>
      <c r="H35" s="62"/>
      <c r="I35" s="62"/>
      <c r="J35" s="62"/>
      <c r="K35" s="62"/>
      <c r="L35" s="62"/>
      <c r="M35" s="62"/>
      <c r="N35" s="62"/>
      <c r="O35" s="62"/>
      <c r="P35" s="62"/>
      <c r="Q35" s="62"/>
      <c r="R35" s="84"/>
    </row>
    <row r="36" spans="2:49" x14ac:dyDescent="0.15">
      <c r="B36" s="38"/>
      <c r="C36" s="23"/>
      <c r="D36" s="23"/>
      <c r="E36" s="23"/>
      <c r="F36" s="23"/>
      <c r="G36" s="23"/>
      <c r="H36" s="23"/>
      <c r="I36" s="23"/>
      <c r="J36" s="23"/>
      <c r="K36" s="23"/>
      <c r="L36" s="23"/>
      <c r="M36" s="23"/>
      <c r="N36" s="23"/>
      <c r="O36" s="23"/>
      <c r="P36" s="23"/>
      <c r="Q36" s="23"/>
      <c r="R36" s="23"/>
      <c r="S36" s="23"/>
      <c r="AG36" s="34"/>
    </row>
    <row r="37" spans="2:49" x14ac:dyDescent="0.15">
      <c r="B37" s="38"/>
      <c r="C37" s="23"/>
      <c r="D37" s="23"/>
      <c r="E37" s="23"/>
      <c r="F37" s="23"/>
      <c r="G37" s="23"/>
      <c r="H37" s="23"/>
      <c r="I37" s="23"/>
      <c r="J37" s="23"/>
      <c r="K37" s="23"/>
      <c r="L37" s="23"/>
      <c r="M37" s="23"/>
      <c r="N37" s="23"/>
      <c r="O37" s="23"/>
      <c r="P37" s="23"/>
      <c r="Q37" s="23"/>
      <c r="R37" s="23"/>
      <c r="S37" s="23"/>
      <c r="AG37" s="54"/>
    </row>
    <row r="38" spans="2:49" x14ac:dyDescent="0.15">
      <c r="B38" s="50"/>
      <c r="C38" s="85"/>
      <c r="D38" s="85"/>
      <c r="E38" s="85"/>
      <c r="F38" s="85"/>
      <c r="G38" s="85"/>
      <c r="H38" s="85"/>
      <c r="I38" s="85"/>
      <c r="J38" s="85"/>
      <c r="K38" s="85"/>
      <c r="L38" s="85"/>
      <c r="M38" s="85"/>
      <c r="N38" s="85"/>
      <c r="O38" s="85"/>
      <c r="P38" s="85"/>
      <c r="Q38" s="85"/>
      <c r="R38" s="85"/>
      <c r="S38" s="85"/>
      <c r="T38" s="22"/>
      <c r="U38" s="22"/>
      <c r="V38" s="22"/>
      <c r="W38" s="22"/>
      <c r="X38" s="22"/>
      <c r="Y38" s="22"/>
      <c r="Z38" s="22"/>
      <c r="AA38" s="22"/>
      <c r="AB38" s="22"/>
      <c r="AC38" s="22"/>
      <c r="AD38" s="22"/>
      <c r="AE38" s="22"/>
      <c r="AF38" s="22"/>
      <c r="AG38" s="54"/>
      <c r="AH38" s="22"/>
      <c r="AI38" s="22"/>
      <c r="AJ38" s="22"/>
      <c r="AK38" s="22"/>
      <c r="AL38" s="22"/>
      <c r="AM38" s="22"/>
      <c r="AN38" s="22"/>
      <c r="AO38" s="22"/>
      <c r="AP38" s="22"/>
      <c r="AQ38" s="22"/>
      <c r="AR38" s="22"/>
      <c r="AS38" s="22"/>
      <c r="AT38" s="22"/>
      <c r="AU38" s="22"/>
      <c r="AV38" s="22"/>
      <c r="AW38" s="22"/>
    </row>
    <row r="39" spans="2:49" ht="35.25" customHeight="1" x14ac:dyDescent="0.15">
      <c r="B39" s="22"/>
      <c r="C39" s="22"/>
      <c r="D39" s="22"/>
      <c r="E39" s="22"/>
      <c r="F39" s="22"/>
      <c r="G39" s="22"/>
      <c r="H39" s="22"/>
      <c r="I39" s="22"/>
      <c r="J39" s="22"/>
      <c r="K39" s="22"/>
      <c r="L39" s="22"/>
      <c r="M39" s="22"/>
      <c r="N39" s="22"/>
      <c r="O39" s="22"/>
      <c r="P39" s="22"/>
      <c r="Q39" s="22"/>
      <c r="R39" s="22"/>
      <c r="S39" s="22"/>
      <c r="T39" s="22"/>
      <c r="U39" s="22"/>
      <c r="V39" s="22"/>
      <c r="W39" s="22"/>
      <c r="X39" s="22"/>
      <c r="Y39" s="22"/>
      <c r="Z39" s="22"/>
      <c r="AA39" s="22"/>
      <c r="AB39" s="22"/>
      <c r="AC39" s="22"/>
      <c r="AD39" s="22"/>
      <c r="AE39" s="22"/>
      <c r="AF39" s="22"/>
      <c r="AG39" s="54"/>
      <c r="AH39" s="22"/>
      <c r="AI39" s="22"/>
      <c r="AJ39" s="22"/>
      <c r="AK39" s="22"/>
      <c r="AL39" s="22"/>
      <c r="AM39" s="22"/>
      <c r="AN39" s="22"/>
      <c r="AO39" s="22"/>
      <c r="AP39" s="22"/>
      <c r="AQ39" s="22"/>
      <c r="AR39" s="22"/>
      <c r="AS39" s="22"/>
      <c r="AT39" s="22"/>
      <c r="AU39" s="22"/>
      <c r="AV39" s="22"/>
      <c r="AW39" s="22"/>
    </row>
    <row r="40" spans="2:49" x14ac:dyDescent="0.15">
      <c r="B40" s="7"/>
      <c r="C40" s="86"/>
      <c r="D40" s="86"/>
      <c r="E40" s="86"/>
      <c r="F40" s="86"/>
      <c r="G40" s="86"/>
      <c r="H40" s="86"/>
      <c r="I40" s="86"/>
      <c r="J40" s="86"/>
      <c r="K40" s="86"/>
      <c r="L40" s="86"/>
      <c r="M40" s="86"/>
      <c r="N40" s="86"/>
      <c r="O40" s="86"/>
      <c r="P40" s="86"/>
      <c r="Q40" s="86"/>
      <c r="R40" s="86"/>
      <c r="S40" s="86"/>
      <c r="T40" s="22"/>
      <c r="U40" s="22"/>
      <c r="V40" s="22"/>
      <c r="W40" s="22"/>
      <c r="X40" s="22"/>
      <c r="Y40" s="22"/>
      <c r="Z40" s="22"/>
      <c r="AA40" s="22"/>
      <c r="AB40" s="22"/>
      <c r="AC40" s="22"/>
      <c r="AD40" s="22"/>
      <c r="AE40" s="22"/>
      <c r="AF40" s="22"/>
      <c r="AG40" s="54"/>
      <c r="AH40" s="22"/>
      <c r="AI40" s="22"/>
      <c r="AJ40" s="22"/>
      <c r="AK40" s="22"/>
      <c r="AL40" s="22"/>
      <c r="AM40" s="22"/>
      <c r="AN40" s="22"/>
      <c r="AO40" s="22"/>
      <c r="AP40" s="22"/>
      <c r="AQ40" s="22"/>
      <c r="AR40" s="22"/>
      <c r="AS40" s="22"/>
      <c r="AT40" s="22"/>
      <c r="AU40" s="22"/>
      <c r="AV40" s="22"/>
      <c r="AW40" s="22"/>
    </row>
    <row r="41" spans="2:49" x14ac:dyDescent="0.15">
      <c r="B41" s="7"/>
      <c r="C41" s="86"/>
      <c r="D41" s="86"/>
      <c r="E41" s="86"/>
      <c r="F41" s="86"/>
      <c r="G41" s="86"/>
      <c r="H41" s="86"/>
      <c r="I41" s="86"/>
      <c r="J41" s="86"/>
      <c r="K41" s="86"/>
      <c r="L41" s="86"/>
      <c r="M41" s="86"/>
      <c r="N41" s="86"/>
      <c r="O41" s="86"/>
      <c r="P41" s="86"/>
      <c r="Q41" s="86"/>
      <c r="R41" s="86"/>
      <c r="S41" s="86"/>
      <c r="T41" s="22"/>
      <c r="U41" s="22"/>
      <c r="V41" s="22"/>
      <c r="W41" s="22"/>
      <c r="X41" s="22"/>
      <c r="Y41" s="22"/>
      <c r="Z41" s="22"/>
      <c r="AA41" s="22"/>
      <c r="AB41" s="22"/>
      <c r="AC41" s="22"/>
      <c r="AD41" s="22"/>
      <c r="AE41" s="22"/>
      <c r="AF41" s="22"/>
      <c r="AG41" s="54"/>
      <c r="AH41" s="22"/>
      <c r="AI41" s="22"/>
      <c r="AJ41" s="22"/>
      <c r="AK41" s="22"/>
      <c r="AL41" s="22"/>
      <c r="AM41" s="22"/>
      <c r="AN41" s="22"/>
      <c r="AO41" s="22"/>
      <c r="AP41" s="22"/>
      <c r="AQ41" s="22"/>
      <c r="AR41" s="22"/>
      <c r="AS41" s="22"/>
      <c r="AT41" s="22"/>
      <c r="AU41" s="22"/>
      <c r="AV41" s="22"/>
      <c r="AW41" s="22"/>
    </row>
    <row r="42" spans="2:49" x14ac:dyDescent="0.15">
      <c r="B42" s="7"/>
      <c r="C42" s="86"/>
      <c r="D42" s="86"/>
      <c r="E42" s="86"/>
      <c r="F42" s="86"/>
      <c r="G42" s="86"/>
      <c r="H42" s="86"/>
      <c r="I42" s="86"/>
      <c r="J42" s="86"/>
      <c r="K42" s="86"/>
      <c r="L42" s="86"/>
      <c r="M42" s="86"/>
      <c r="N42" s="86"/>
      <c r="O42" s="86"/>
      <c r="P42" s="86"/>
      <c r="Q42" s="86"/>
      <c r="R42" s="86"/>
      <c r="S42" s="86"/>
      <c r="T42" s="22"/>
      <c r="U42" s="22"/>
      <c r="V42" s="22"/>
      <c r="W42" s="22"/>
      <c r="X42" s="22"/>
      <c r="Y42" s="22"/>
      <c r="Z42" s="22"/>
      <c r="AA42" s="22"/>
      <c r="AB42" s="22"/>
      <c r="AC42" s="22"/>
      <c r="AD42" s="22"/>
      <c r="AE42" s="22"/>
      <c r="AF42" s="22"/>
      <c r="AG42" s="54"/>
      <c r="AH42" s="22"/>
      <c r="AI42" s="22"/>
      <c r="AJ42" s="22"/>
      <c r="AK42" s="22"/>
      <c r="AL42" s="22"/>
      <c r="AM42" s="22"/>
      <c r="AN42" s="22"/>
      <c r="AO42" s="22"/>
      <c r="AP42" s="22"/>
      <c r="AQ42" s="22"/>
      <c r="AR42" s="22"/>
      <c r="AS42" s="22"/>
      <c r="AT42" s="22"/>
      <c r="AU42" s="22"/>
      <c r="AV42" s="22"/>
      <c r="AW42" s="22"/>
    </row>
    <row r="43" spans="2:49" x14ac:dyDescent="0.15">
      <c r="B43" s="22"/>
      <c r="C43" s="22"/>
      <c r="D43" s="22"/>
      <c r="E43" s="22"/>
      <c r="F43" s="22"/>
      <c r="G43" s="22"/>
      <c r="H43" s="22"/>
      <c r="I43" s="22"/>
      <c r="J43" s="22"/>
      <c r="K43" s="22"/>
      <c r="L43" s="22"/>
      <c r="M43" s="22"/>
      <c r="N43" s="22"/>
      <c r="O43" s="22"/>
      <c r="P43" s="22"/>
      <c r="Q43" s="22"/>
      <c r="R43" s="22"/>
      <c r="S43" s="22"/>
      <c r="T43" s="22"/>
      <c r="U43" s="22"/>
      <c r="V43" s="22"/>
      <c r="W43" s="22"/>
      <c r="X43" s="22"/>
      <c r="Y43" s="22"/>
      <c r="Z43" s="22"/>
      <c r="AA43" s="22"/>
      <c r="AB43" s="22"/>
      <c r="AC43" s="22"/>
      <c r="AD43" s="22"/>
      <c r="AE43" s="22"/>
      <c r="AF43" s="22"/>
      <c r="AG43" s="54"/>
      <c r="AH43" s="22"/>
      <c r="AI43" s="22"/>
      <c r="AJ43" s="22"/>
      <c r="AK43" s="22"/>
      <c r="AL43" s="22"/>
      <c r="AM43" s="22"/>
      <c r="AN43" s="22"/>
      <c r="AO43" s="22"/>
      <c r="AP43" s="22"/>
      <c r="AQ43" s="22"/>
      <c r="AR43" s="22"/>
      <c r="AS43" s="22"/>
      <c r="AT43" s="22"/>
      <c r="AU43" s="22"/>
      <c r="AV43" s="22"/>
      <c r="AW43" s="22"/>
    </row>
    <row r="44" spans="2:49" x14ac:dyDescent="0.15">
      <c r="B44" s="22"/>
      <c r="C44" s="22"/>
      <c r="D44" s="22"/>
      <c r="E44" s="22"/>
      <c r="F44" s="22"/>
      <c r="G44" s="22"/>
      <c r="H44" s="22"/>
      <c r="I44" s="22"/>
      <c r="J44" s="22"/>
      <c r="K44" s="22"/>
      <c r="L44" s="22"/>
      <c r="M44" s="22"/>
      <c r="N44" s="22"/>
      <c r="O44" s="22"/>
      <c r="P44" s="22"/>
      <c r="Q44" s="22"/>
      <c r="R44" s="22"/>
      <c r="S44" s="22"/>
      <c r="T44" s="22"/>
      <c r="U44" s="22"/>
      <c r="V44" s="22"/>
      <c r="W44" s="22"/>
      <c r="X44" s="22"/>
      <c r="Y44" s="22"/>
      <c r="Z44" s="22"/>
      <c r="AA44" s="22"/>
      <c r="AB44" s="22"/>
      <c r="AC44" s="22"/>
      <c r="AD44" s="22"/>
      <c r="AE44" s="22"/>
      <c r="AF44" s="22"/>
      <c r="AG44" s="54"/>
      <c r="AH44" s="22"/>
      <c r="AI44" s="22"/>
      <c r="AJ44" s="22"/>
      <c r="AK44" s="22"/>
      <c r="AL44" s="22"/>
      <c r="AM44" s="22"/>
      <c r="AN44" s="22"/>
      <c r="AO44" s="22"/>
      <c r="AP44" s="22"/>
      <c r="AQ44" s="22"/>
      <c r="AR44" s="22"/>
      <c r="AS44" s="22"/>
      <c r="AT44" s="22"/>
      <c r="AU44" s="22"/>
      <c r="AV44" s="22"/>
      <c r="AW44" s="22"/>
    </row>
    <row r="45" spans="2:49" x14ac:dyDescent="0.15">
      <c r="B45" s="22"/>
      <c r="C45" s="22"/>
      <c r="D45" s="22"/>
      <c r="E45" s="22"/>
      <c r="F45" s="22"/>
      <c r="G45" s="22"/>
      <c r="H45" s="22"/>
      <c r="I45" s="22"/>
      <c r="J45" s="22"/>
      <c r="K45" s="22"/>
      <c r="L45" s="22"/>
      <c r="M45" s="22"/>
      <c r="N45" s="22"/>
      <c r="O45" s="22"/>
      <c r="P45" s="22"/>
      <c r="Q45" s="22"/>
      <c r="R45" s="22"/>
      <c r="S45" s="22"/>
      <c r="T45" s="22"/>
      <c r="U45" s="22"/>
      <c r="V45" s="22"/>
      <c r="W45" s="22"/>
      <c r="X45" s="22"/>
      <c r="Y45" s="22"/>
      <c r="Z45" s="22"/>
      <c r="AA45" s="22"/>
      <c r="AB45" s="22"/>
      <c r="AC45" s="22"/>
      <c r="AD45" s="22"/>
      <c r="AE45" s="22"/>
      <c r="AF45" s="22"/>
      <c r="AG45" s="54"/>
      <c r="AH45" s="22"/>
      <c r="AI45" s="22"/>
      <c r="AJ45" s="22"/>
      <c r="AK45" s="22"/>
      <c r="AL45" s="22"/>
      <c r="AM45" s="22"/>
      <c r="AN45" s="22"/>
      <c r="AO45" s="22"/>
      <c r="AP45" s="22"/>
      <c r="AQ45" s="22"/>
      <c r="AR45" s="22"/>
      <c r="AS45" s="22"/>
      <c r="AT45" s="22"/>
      <c r="AU45" s="22"/>
      <c r="AV45" s="22"/>
      <c r="AW45" s="22"/>
    </row>
    <row r="46" spans="2:49" x14ac:dyDescent="0.15">
      <c r="B46" s="22"/>
      <c r="C46" s="22"/>
      <c r="D46" s="22"/>
      <c r="E46" s="22"/>
      <c r="F46" s="22"/>
      <c r="G46" s="22"/>
      <c r="H46" s="22"/>
      <c r="I46" s="22"/>
      <c r="J46" s="22"/>
      <c r="K46" s="22"/>
      <c r="L46" s="22"/>
      <c r="M46" s="22"/>
      <c r="N46" s="22"/>
      <c r="O46" s="22"/>
      <c r="P46" s="22"/>
      <c r="Q46" s="22"/>
      <c r="R46" s="22"/>
      <c r="S46" s="22"/>
      <c r="T46" s="22"/>
      <c r="U46" s="22"/>
      <c r="V46" s="22"/>
      <c r="W46" s="22"/>
      <c r="X46" s="22"/>
      <c r="Y46" s="22"/>
      <c r="Z46" s="22"/>
      <c r="AA46" s="22"/>
      <c r="AB46" s="22"/>
      <c r="AC46" s="22"/>
      <c r="AD46" s="22"/>
      <c r="AE46" s="22"/>
      <c r="AF46" s="22"/>
      <c r="AG46" s="22"/>
      <c r="AH46" s="22"/>
      <c r="AI46" s="22"/>
      <c r="AJ46" s="22"/>
      <c r="AK46" s="22"/>
      <c r="AL46" s="22"/>
      <c r="AM46" s="22"/>
      <c r="AN46" s="22"/>
      <c r="AO46" s="22"/>
      <c r="AP46" s="22"/>
      <c r="AQ46" s="22"/>
      <c r="AR46" s="22"/>
      <c r="AS46" s="22"/>
      <c r="AT46" s="22"/>
      <c r="AU46" s="22"/>
      <c r="AV46" s="22"/>
      <c r="AW46" s="22"/>
    </row>
    <row r="47" spans="2:49" x14ac:dyDescent="0.15">
      <c r="B47" s="22"/>
      <c r="C47" s="22"/>
      <c r="D47" s="22"/>
      <c r="E47" s="22"/>
      <c r="F47" s="22"/>
      <c r="G47" s="22"/>
      <c r="H47" s="22"/>
      <c r="I47" s="22"/>
      <c r="J47" s="22"/>
      <c r="K47" s="22"/>
      <c r="L47" s="22"/>
      <c r="M47" s="22"/>
      <c r="N47" s="22"/>
      <c r="O47" s="22"/>
      <c r="P47" s="22"/>
      <c r="Q47" s="22"/>
      <c r="R47" s="22"/>
      <c r="S47" s="22"/>
      <c r="T47" s="22"/>
      <c r="U47" s="22"/>
      <c r="V47" s="22"/>
      <c r="W47" s="22"/>
      <c r="X47" s="22"/>
      <c r="Y47" s="22"/>
      <c r="Z47" s="22"/>
      <c r="AA47" s="22"/>
      <c r="AB47" s="22"/>
      <c r="AC47" s="22"/>
      <c r="AD47" s="22"/>
      <c r="AE47" s="22"/>
      <c r="AF47" s="22"/>
      <c r="AG47" s="83"/>
      <c r="AH47" s="22"/>
      <c r="AI47" s="22"/>
      <c r="AJ47" s="22"/>
      <c r="AK47" s="22"/>
      <c r="AL47" s="22"/>
      <c r="AM47" s="22"/>
      <c r="AN47" s="22"/>
      <c r="AO47" s="22"/>
      <c r="AP47" s="22"/>
      <c r="AQ47" s="22"/>
      <c r="AR47" s="22"/>
      <c r="AS47" s="22"/>
      <c r="AT47" s="22"/>
      <c r="AU47" s="22"/>
      <c r="AV47" s="22"/>
      <c r="AW47" s="22"/>
    </row>
    <row r="48" spans="2:49" x14ac:dyDescent="0.15">
      <c r="B48" s="22"/>
      <c r="C48" s="22"/>
      <c r="D48" s="22"/>
      <c r="E48" s="22"/>
      <c r="F48" s="22"/>
      <c r="G48" s="22"/>
      <c r="H48" s="22"/>
      <c r="I48" s="22"/>
      <c r="J48" s="22"/>
      <c r="K48" s="22"/>
      <c r="L48" s="22"/>
      <c r="M48" s="22"/>
      <c r="N48" s="22"/>
      <c r="O48" s="22"/>
      <c r="P48" s="22"/>
      <c r="Q48" s="22"/>
      <c r="R48" s="22"/>
      <c r="S48" s="22"/>
      <c r="T48" s="22"/>
      <c r="U48" s="22"/>
      <c r="V48" s="22"/>
      <c r="W48" s="22"/>
      <c r="X48" s="22"/>
      <c r="Y48" s="22"/>
      <c r="Z48" s="22"/>
      <c r="AA48" s="22"/>
      <c r="AB48" s="22"/>
      <c r="AC48" s="22"/>
      <c r="AD48" s="22"/>
      <c r="AE48" s="22"/>
      <c r="AF48" s="22"/>
      <c r="AG48" s="83"/>
      <c r="AH48" s="22"/>
      <c r="AI48" s="22"/>
      <c r="AJ48" s="22"/>
      <c r="AK48" s="22"/>
      <c r="AL48" s="22"/>
      <c r="AM48" s="22"/>
      <c r="AN48" s="22"/>
      <c r="AO48" s="22"/>
      <c r="AP48" s="22"/>
      <c r="AQ48" s="22"/>
      <c r="AR48" s="22"/>
      <c r="AS48" s="22"/>
      <c r="AT48" s="22"/>
      <c r="AU48" s="22"/>
      <c r="AV48" s="22"/>
      <c r="AW48" s="22"/>
    </row>
    <row r="49" spans="2:49" x14ac:dyDescent="0.15">
      <c r="B49" s="22"/>
      <c r="C49" s="22"/>
      <c r="D49" s="22"/>
      <c r="E49" s="22"/>
      <c r="F49" s="22"/>
      <c r="G49" s="22"/>
      <c r="H49" s="22"/>
      <c r="I49" s="22"/>
      <c r="J49" s="22"/>
      <c r="K49" s="22"/>
      <c r="L49" s="22"/>
      <c r="M49" s="22"/>
      <c r="N49" s="22"/>
      <c r="O49" s="22"/>
      <c r="P49" s="22"/>
      <c r="Q49" s="22"/>
      <c r="R49" s="22"/>
      <c r="S49" s="22"/>
      <c r="T49" s="22"/>
      <c r="U49" s="22"/>
      <c r="V49" s="22"/>
      <c r="W49" s="22"/>
      <c r="X49" s="22"/>
      <c r="Y49" s="22"/>
      <c r="Z49" s="22"/>
      <c r="AA49" s="22"/>
      <c r="AB49" s="22"/>
      <c r="AC49" s="22"/>
      <c r="AD49" s="22"/>
      <c r="AE49" s="22"/>
      <c r="AF49" s="22"/>
      <c r="AG49" s="22"/>
      <c r="AH49" s="22"/>
      <c r="AI49" s="22"/>
      <c r="AJ49" s="22"/>
      <c r="AK49" s="22"/>
      <c r="AL49" s="22"/>
      <c r="AM49" s="22"/>
      <c r="AN49" s="22"/>
      <c r="AO49" s="22"/>
      <c r="AP49" s="22"/>
      <c r="AQ49" s="22"/>
      <c r="AR49" s="22"/>
      <c r="AS49" s="22"/>
      <c r="AT49" s="22"/>
      <c r="AU49" s="22"/>
      <c r="AV49" s="22"/>
      <c r="AW49" s="22"/>
    </row>
    <row r="50" spans="2:49" x14ac:dyDescent="0.15">
      <c r="B50" s="22"/>
      <c r="C50" s="22"/>
      <c r="D50" s="22"/>
      <c r="E50" s="22"/>
      <c r="F50" s="22"/>
      <c r="G50" s="22"/>
      <c r="H50" s="22"/>
      <c r="I50" s="22"/>
      <c r="J50" s="22"/>
      <c r="K50" s="22"/>
      <c r="L50" s="22"/>
      <c r="M50" s="22"/>
      <c r="N50" s="22"/>
      <c r="O50" s="22"/>
      <c r="P50" s="22"/>
      <c r="Q50" s="22"/>
      <c r="R50" s="22"/>
      <c r="S50" s="22"/>
      <c r="T50" s="22"/>
      <c r="U50" s="22"/>
      <c r="V50" s="22"/>
      <c r="W50" s="22"/>
      <c r="X50" s="22"/>
      <c r="Y50" s="22"/>
      <c r="Z50" s="22"/>
      <c r="AA50" s="22"/>
      <c r="AB50" s="22"/>
      <c r="AC50" s="22"/>
      <c r="AD50" s="22"/>
      <c r="AE50" s="22"/>
      <c r="AF50" s="22"/>
      <c r="AG50" s="22"/>
      <c r="AH50" s="22"/>
      <c r="AI50" s="22"/>
      <c r="AJ50" s="22"/>
      <c r="AK50" s="22"/>
      <c r="AL50" s="22"/>
      <c r="AM50" s="22"/>
      <c r="AN50" s="22"/>
      <c r="AO50" s="22"/>
      <c r="AP50" s="22"/>
      <c r="AQ50" s="22"/>
      <c r="AR50" s="22"/>
      <c r="AS50" s="22"/>
      <c r="AT50" s="22"/>
      <c r="AU50" s="22"/>
      <c r="AV50" s="22"/>
      <c r="AW50" s="22"/>
    </row>
    <row r="51" spans="2:49" x14ac:dyDescent="0.15">
      <c r="B51" s="22"/>
      <c r="C51" s="22"/>
      <c r="D51" s="22"/>
      <c r="E51" s="22"/>
      <c r="F51" s="22"/>
      <c r="G51" s="22"/>
      <c r="H51" s="22"/>
      <c r="I51" s="22"/>
      <c r="J51" s="22"/>
      <c r="K51" s="22"/>
      <c r="L51" s="22"/>
      <c r="M51" s="22"/>
      <c r="N51" s="22"/>
      <c r="O51" s="22"/>
      <c r="P51" s="22"/>
      <c r="Q51" s="22"/>
      <c r="R51" s="22"/>
      <c r="S51" s="22"/>
      <c r="T51" s="22"/>
      <c r="U51" s="22"/>
      <c r="V51" s="22"/>
      <c r="W51" s="22"/>
      <c r="X51" s="22"/>
      <c r="Y51" s="22"/>
      <c r="Z51" s="22"/>
      <c r="AA51" s="22"/>
      <c r="AB51" s="22"/>
      <c r="AC51" s="22"/>
      <c r="AD51" s="22"/>
      <c r="AE51" s="22"/>
      <c r="AF51" s="22"/>
      <c r="AG51" s="22"/>
      <c r="AH51" s="22"/>
      <c r="AI51" s="22"/>
      <c r="AJ51" s="22"/>
      <c r="AK51" s="22"/>
      <c r="AL51" s="22"/>
      <c r="AM51" s="22"/>
      <c r="AN51" s="22"/>
      <c r="AO51" s="22"/>
      <c r="AP51" s="22"/>
      <c r="AQ51" s="22"/>
      <c r="AR51" s="22"/>
      <c r="AS51" s="22"/>
      <c r="AT51" s="22"/>
      <c r="AU51" s="22"/>
      <c r="AV51" s="22"/>
      <c r="AW51" s="22"/>
    </row>
    <row r="52" spans="2:49" x14ac:dyDescent="0.15">
      <c r="B52" s="22"/>
      <c r="C52" s="22"/>
      <c r="D52" s="22"/>
      <c r="E52" s="22"/>
      <c r="F52" s="22"/>
      <c r="G52" s="22"/>
      <c r="H52" s="22"/>
      <c r="I52" s="22"/>
      <c r="J52" s="22"/>
      <c r="K52" s="22"/>
      <c r="L52" s="22"/>
      <c r="M52" s="22"/>
      <c r="N52" s="22"/>
      <c r="O52" s="22"/>
      <c r="P52" s="22"/>
      <c r="Q52" s="22"/>
      <c r="R52" s="22"/>
      <c r="S52" s="22"/>
      <c r="T52" s="22"/>
      <c r="U52" s="22"/>
      <c r="V52" s="22"/>
      <c r="W52" s="22"/>
      <c r="X52" s="22"/>
      <c r="Y52" s="22"/>
      <c r="Z52" s="22"/>
      <c r="AA52" s="22"/>
      <c r="AB52" s="22"/>
      <c r="AC52" s="22"/>
      <c r="AD52" s="22"/>
      <c r="AE52" s="22"/>
      <c r="AF52" s="22"/>
      <c r="AG52" s="22"/>
      <c r="AH52" s="22"/>
      <c r="AI52" s="22"/>
      <c r="AJ52" s="22"/>
      <c r="AK52" s="22"/>
      <c r="AL52" s="22"/>
      <c r="AM52" s="22"/>
      <c r="AN52" s="22"/>
      <c r="AO52" s="22"/>
      <c r="AP52" s="22"/>
      <c r="AQ52" s="22"/>
      <c r="AR52" s="22"/>
      <c r="AS52" s="22"/>
      <c r="AT52" s="22"/>
      <c r="AU52" s="22"/>
      <c r="AV52" s="22"/>
      <c r="AW52" s="22"/>
    </row>
    <row r="53" spans="2:49" x14ac:dyDescent="0.15">
      <c r="B53" s="22"/>
      <c r="C53" s="22"/>
      <c r="D53" s="22"/>
      <c r="E53" s="22"/>
      <c r="F53" s="22"/>
      <c r="G53" s="22"/>
      <c r="H53" s="22"/>
      <c r="I53" s="22"/>
      <c r="J53" s="22"/>
      <c r="K53" s="22"/>
      <c r="L53" s="22"/>
      <c r="M53" s="22"/>
      <c r="N53" s="22"/>
      <c r="O53" s="22"/>
      <c r="P53" s="22"/>
      <c r="Q53" s="22"/>
      <c r="R53" s="22"/>
      <c r="S53" s="22"/>
      <c r="T53" s="22"/>
      <c r="U53" s="22"/>
      <c r="V53" s="22"/>
      <c r="W53" s="22"/>
      <c r="X53" s="22"/>
      <c r="Y53" s="22"/>
      <c r="Z53" s="22"/>
      <c r="AA53" s="22"/>
      <c r="AB53" s="22"/>
      <c r="AC53" s="22"/>
      <c r="AD53" s="22"/>
      <c r="AE53" s="22"/>
      <c r="AF53" s="22"/>
      <c r="AG53" s="22"/>
      <c r="AH53" s="22"/>
      <c r="AI53" s="22"/>
      <c r="AJ53" s="22"/>
      <c r="AK53" s="22"/>
      <c r="AL53" s="22"/>
      <c r="AM53" s="22"/>
      <c r="AN53" s="22"/>
      <c r="AO53" s="22"/>
      <c r="AP53" s="22"/>
      <c r="AQ53" s="22"/>
      <c r="AR53" s="22"/>
      <c r="AS53" s="22"/>
      <c r="AT53" s="22"/>
      <c r="AU53" s="22"/>
      <c r="AV53" s="22"/>
      <c r="AW53" s="22"/>
    </row>
    <row r="54" spans="2:49" x14ac:dyDescent="0.15">
      <c r="B54" s="22"/>
      <c r="C54" s="22"/>
      <c r="D54" s="22"/>
      <c r="E54" s="22"/>
      <c r="F54" s="22"/>
      <c r="G54" s="22"/>
      <c r="H54" s="22"/>
      <c r="I54" s="22"/>
      <c r="J54" s="22"/>
      <c r="K54" s="22"/>
      <c r="L54" s="22"/>
      <c r="M54" s="22"/>
      <c r="N54" s="22"/>
      <c r="O54" s="22"/>
      <c r="P54" s="22"/>
      <c r="Q54" s="22"/>
      <c r="R54" s="22"/>
      <c r="S54" s="22"/>
      <c r="T54" s="22"/>
      <c r="U54" s="22"/>
      <c r="V54" s="22"/>
      <c r="W54" s="22"/>
      <c r="X54" s="22"/>
      <c r="Y54" s="22"/>
      <c r="Z54" s="22"/>
      <c r="AA54" s="22"/>
      <c r="AB54" s="22"/>
      <c r="AC54" s="22"/>
      <c r="AD54" s="22"/>
      <c r="AE54" s="22"/>
      <c r="AF54" s="22"/>
      <c r="AG54" s="22"/>
      <c r="AH54" s="22"/>
      <c r="AI54" s="22"/>
      <c r="AJ54" s="22"/>
      <c r="AK54" s="22"/>
      <c r="AL54" s="22"/>
      <c r="AM54" s="22"/>
      <c r="AN54" s="22"/>
      <c r="AO54" s="22"/>
      <c r="AP54" s="22"/>
      <c r="AQ54" s="22"/>
      <c r="AR54" s="22"/>
      <c r="AS54" s="22"/>
      <c r="AT54" s="22"/>
      <c r="AU54" s="22"/>
      <c r="AV54" s="22"/>
      <c r="AW54" s="22"/>
    </row>
    <row r="55" spans="2:49" x14ac:dyDescent="0.15">
      <c r="B55" s="22"/>
      <c r="C55" s="22"/>
      <c r="D55" s="22"/>
      <c r="E55" s="22"/>
      <c r="F55" s="22"/>
      <c r="G55" s="22"/>
      <c r="H55" s="22"/>
      <c r="I55" s="22"/>
      <c r="J55" s="22"/>
      <c r="K55" s="22"/>
      <c r="L55" s="22"/>
      <c r="M55" s="22"/>
      <c r="N55" s="22"/>
      <c r="O55" s="22"/>
      <c r="P55" s="22"/>
      <c r="Q55" s="22"/>
      <c r="R55" s="22"/>
      <c r="S55" s="22"/>
      <c r="T55" s="22"/>
      <c r="U55" s="22"/>
      <c r="V55" s="22"/>
      <c r="W55" s="22"/>
      <c r="X55" s="22"/>
      <c r="Y55" s="22"/>
      <c r="Z55" s="22"/>
      <c r="AA55" s="22"/>
      <c r="AB55" s="22"/>
      <c r="AC55" s="22"/>
      <c r="AD55" s="22"/>
      <c r="AE55" s="22"/>
      <c r="AF55" s="22"/>
      <c r="AG55" s="22"/>
      <c r="AH55" s="22"/>
      <c r="AI55" s="22"/>
      <c r="AJ55" s="22"/>
      <c r="AK55" s="22"/>
      <c r="AL55" s="22"/>
      <c r="AM55" s="22"/>
      <c r="AN55" s="22"/>
      <c r="AO55" s="22"/>
      <c r="AP55" s="22"/>
      <c r="AQ55" s="22"/>
      <c r="AR55" s="22"/>
      <c r="AS55" s="22"/>
      <c r="AT55" s="22"/>
      <c r="AU55" s="22"/>
      <c r="AV55" s="22"/>
      <c r="AW55" s="22"/>
    </row>
    <row r="56" spans="2:49" x14ac:dyDescent="0.15">
      <c r="B56" s="22"/>
      <c r="C56" s="22"/>
      <c r="D56" s="22"/>
      <c r="E56" s="22"/>
      <c r="F56" s="22"/>
      <c r="G56" s="22"/>
      <c r="H56" s="22"/>
      <c r="I56" s="22"/>
      <c r="J56" s="22"/>
      <c r="K56" s="22"/>
      <c r="L56" s="22"/>
      <c r="M56" s="22"/>
      <c r="N56" s="22"/>
      <c r="O56" s="22"/>
      <c r="P56" s="22"/>
      <c r="Q56" s="22"/>
      <c r="R56" s="22"/>
      <c r="S56" s="22"/>
      <c r="T56" s="22"/>
      <c r="U56" s="22"/>
      <c r="V56" s="22"/>
      <c r="W56" s="22"/>
      <c r="X56" s="22"/>
      <c r="Y56" s="22"/>
      <c r="Z56" s="22"/>
      <c r="AA56" s="22"/>
      <c r="AB56" s="22"/>
      <c r="AC56" s="22"/>
      <c r="AD56" s="22"/>
      <c r="AE56" s="22"/>
      <c r="AF56" s="22"/>
      <c r="AG56" s="22"/>
      <c r="AH56" s="22"/>
      <c r="AI56" s="22"/>
      <c r="AJ56" s="22"/>
      <c r="AK56" s="22"/>
      <c r="AL56" s="22"/>
      <c r="AM56" s="22"/>
      <c r="AN56" s="22"/>
      <c r="AO56" s="22"/>
      <c r="AP56" s="22"/>
      <c r="AQ56" s="22"/>
      <c r="AR56" s="22"/>
      <c r="AS56" s="22"/>
      <c r="AT56" s="22"/>
      <c r="AU56" s="22"/>
      <c r="AV56" s="22"/>
      <c r="AW56" s="22"/>
    </row>
    <row r="57" spans="2:49" x14ac:dyDescent="0.15">
      <c r="B57" s="22"/>
      <c r="C57" s="22"/>
      <c r="D57" s="22"/>
      <c r="E57" s="22"/>
      <c r="F57" s="22"/>
      <c r="G57" s="22"/>
      <c r="H57" s="22"/>
      <c r="I57" s="22"/>
      <c r="J57" s="22"/>
      <c r="K57" s="22"/>
      <c r="L57" s="22"/>
      <c r="M57" s="22"/>
      <c r="N57" s="22"/>
      <c r="O57" s="22"/>
      <c r="P57" s="22"/>
      <c r="Q57" s="22"/>
      <c r="R57" s="22"/>
      <c r="S57" s="22"/>
      <c r="T57" s="22"/>
      <c r="U57" s="22"/>
      <c r="V57" s="22"/>
      <c r="W57" s="22"/>
      <c r="X57" s="22"/>
      <c r="Y57" s="22"/>
      <c r="Z57" s="22"/>
      <c r="AA57" s="22"/>
      <c r="AB57" s="22"/>
      <c r="AC57" s="22"/>
      <c r="AD57" s="22"/>
      <c r="AE57" s="22"/>
      <c r="AF57" s="22"/>
      <c r="AG57" s="22"/>
      <c r="AH57" s="22"/>
      <c r="AI57" s="22"/>
      <c r="AJ57" s="22"/>
      <c r="AK57" s="22"/>
      <c r="AL57" s="22"/>
      <c r="AM57" s="22"/>
      <c r="AN57" s="22"/>
      <c r="AO57" s="22"/>
      <c r="AP57" s="22"/>
      <c r="AQ57" s="22"/>
      <c r="AR57" s="22"/>
      <c r="AS57" s="22"/>
      <c r="AT57" s="22"/>
      <c r="AU57" s="22"/>
      <c r="AV57" s="22"/>
      <c r="AW57" s="22"/>
    </row>
    <row r="58" spans="2:49" x14ac:dyDescent="0.15">
      <c r="B58" s="22"/>
      <c r="C58" s="22"/>
      <c r="D58" s="22"/>
      <c r="E58" s="22"/>
      <c r="F58" s="22"/>
      <c r="G58" s="22"/>
      <c r="H58" s="22"/>
      <c r="I58" s="22"/>
      <c r="J58" s="22"/>
      <c r="K58" s="22"/>
      <c r="L58" s="22"/>
      <c r="M58" s="22"/>
      <c r="N58" s="22"/>
      <c r="O58" s="22"/>
      <c r="P58" s="22"/>
      <c r="Q58" s="22"/>
      <c r="R58" s="22"/>
      <c r="S58" s="22"/>
      <c r="T58" s="22"/>
      <c r="U58" s="22"/>
      <c r="V58" s="22"/>
      <c r="W58" s="22"/>
      <c r="X58" s="22"/>
      <c r="Y58" s="22"/>
      <c r="Z58" s="22"/>
      <c r="AA58" s="22"/>
      <c r="AB58" s="22"/>
      <c r="AC58" s="22"/>
      <c r="AD58" s="22"/>
      <c r="AE58" s="22"/>
      <c r="AF58" s="22"/>
      <c r="AG58" s="22"/>
      <c r="AH58" s="22"/>
      <c r="AI58" s="22"/>
      <c r="AJ58" s="22"/>
      <c r="AK58" s="22"/>
      <c r="AL58" s="22"/>
      <c r="AM58" s="22"/>
      <c r="AN58" s="22"/>
      <c r="AO58" s="22"/>
      <c r="AP58" s="22"/>
      <c r="AQ58" s="22"/>
      <c r="AR58" s="22"/>
      <c r="AS58" s="22"/>
      <c r="AT58" s="22"/>
      <c r="AU58" s="22"/>
      <c r="AV58" s="22"/>
      <c r="AW58" s="22"/>
    </row>
    <row r="59" spans="2:49" x14ac:dyDescent="0.15">
      <c r="B59" s="22"/>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row>
    <row r="60" spans="2:49" x14ac:dyDescent="0.15">
      <c r="B60" s="22"/>
      <c r="C60" s="22"/>
      <c r="D60" s="22"/>
      <c r="E60" s="22"/>
      <c r="F60" s="22"/>
      <c r="G60" s="22"/>
      <c r="H60" s="22"/>
      <c r="I60" s="22"/>
      <c r="J60" s="22"/>
      <c r="K60" s="22"/>
      <c r="L60" s="22"/>
      <c r="M60" s="22"/>
      <c r="N60" s="22"/>
      <c r="O60" s="22"/>
      <c r="P60" s="22"/>
      <c r="Q60" s="22"/>
      <c r="R60" s="22"/>
      <c r="S60" s="22"/>
      <c r="T60" s="22"/>
      <c r="U60" s="22"/>
      <c r="V60" s="22"/>
      <c r="W60" s="22"/>
      <c r="X60" s="22"/>
      <c r="Y60" s="22"/>
      <c r="Z60" s="22"/>
      <c r="AA60" s="22"/>
      <c r="AB60" s="22"/>
      <c r="AC60" s="22"/>
      <c r="AD60" s="22"/>
      <c r="AE60" s="22"/>
      <c r="AF60" s="22"/>
      <c r="AG60" s="22"/>
      <c r="AH60" s="22"/>
      <c r="AI60" s="22"/>
      <c r="AJ60" s="22"/>
      <c r="AK60" s="22"/>
      <c r="AL60" s="22"/>
      <c r="AM60" s="22"/>
      <c r="AN60" s="22"/>
      <c r="AO60" s="22"/>
      <c r="AP60" s="22"/>
      <c r="AQ60" s="22"/>
      <c r="AR60" s="22"/>
      <c r="AS60" s="22"/>
      <c r="AT60" s="22"/>
      <c r="AU60" s="22"/>
      <c r="AV60" s="22"/>
      <c r="AW60" s="22"/>
    </row>
    <row r="61" spans="2:49" x14ac:dyDescent="0.15">
      <c r="B61" s="22"/>
      <c r="C61" s="22"/>
      <c r="D61" s="22"/>
      <c r="E61" s="22"/>
      <c r="F61" s="22"/>
      <c r="G61" s="22"/>
      <c r="H61" s="22"/>
      <c r="I61" s="22"/>
      <c r="J61" s="22"/>
      <c r="K61" s="22"/>
      <c r="L61" s="22"/>
      <c r="M61" s="22"/>
      <c r="N61" s="22"/>
      <c r="O61" s="22"/>
      <c r="P61" s="22"/>
      <c r="Q61" s="22"/>
      <c r="R61" s="22"/>
      <c r="S61" s="22"/>
      <c r="T61" s="22"/>
      <c r="U61" s="22"/>
      <c r="V61" s="22"/>
      <c r="W61" s="22"/>
      <c r="X61" s="22"/>
      <c r="Y61" s="22"/>
      <c r="Z61" s="22"/>
      <c r="AA61" s="22"/>
      <c r="AB61" s="22"/>
      <c r="AC61" s="22"/>
      <c r="AD61" s="22"/>
      <c r="AE61" s="22"/>
      <c r="AF61" s="22"/>
      <c r="AG61" s="22"/>
      <c r="AH61" s="22"/>
      <c r="AI61" s="22"/>
      <c r="AJ61" s="22"/>
      <c r="AK61" s="22"/>
      <c r="AL61" s="22"/>
      <c r="AM61" s="22"/>
      <c r="AN61" s="22"/>
      <c r="AO61" s="22"/>
      <c r="AP61" s="22"/>
      <c r="AQ61" s="22"/>
      <c r="AR61" s="22"/>
      <c r="AS61" s="22"/>
      <c r="AT61" s="22"/>
      <c r="AU61" s="22"/>
      <c r="AV61" s="22"/>
      <c r="AW61" s="22"/>
    </row>
    <row r="62" spans="2:49" x14ac:dyDescent="0.15">
      <c r="B62" s="22"/>
      <c r="C62" s="22"/>
      <c r="D62" s="22"/>
      <c r="E62" s="22"/>
      <c r="F62" s="22"/>
      <c r="G62" s="22"/>
      <c r="H62" s="22"/>
      <c r="I62" s="22"/>
      <c r="J62" s="22"/>
      <c r="K62" s="22"/>
      <c r="L62" s="22"/>
      <c r="M62" s="22"/>
      <c r="N62" s="22"/>
      <c r="O62" s="22"/>
      <c r="P62" s="22"/>
      <c r="Q62" s="22"/>
      <c r="R62" s="22"/>
      <c r="S62" s="22"/>
      <c r="T62" s="22"/>
      <c r="U62" s="22"/>
      <c r="V62" s="22"/>
      <c r="W62" s="22"/>
      <c r="X62" s="22"/>
      <c r="Y62" s="22"/>
      <c r="Z62" s="22"/>
      <c r="AA62" s="22"/>
      <c r="AB62" s="22"/>
      <c r="AC62" s="22"/>
      <c r="AD62" s="22"/>
      <c r="AE62" s="22"/>
      <c r="AF62" s="22"/>
      <c r="AG62" s="22"/>
      <c r="AH62" s="22"/>
      <c r="AI62" s="22"/>
      <c r="AJ62" s="22"/>
      <c r="AK62" s="22"/>
      <c r="AL62" s="22"/>
      <c r="AM62" s="22"/>
      <c r="AN62" s="22"/>
      <c r="AO62" s="22"/>
      <c r="AP62" s="22"/>
      <c r="AQ62" s="22"/>
      <c r="AR62" s="22"/>
      <c r="AS62" s="22"/>
      <c r="AT62" s="22"/>
      <c r="AU62" s="22"/>
      <c r="AV62" s="22"/>
      <c r="AW62" s="22"/>
    </row>
    <row r="63" spans="2:49" x14ac:dyDescent="0.15">
      <c r="B63" s="22"/>
      <c r="C63" s="22"/>
      <c r="D63" s="22"/>
      <c r="E63" s="22"/>
      <c r="F63" s="22"/>
      <c r="G63" s="22"/>
      <c r="H63" s="22"/>
      <c r="I63" s="22"/>
      <c r="J63" s="22"/>
      <c r="K63" s="22"/>
      <c r="L63" s="22"/>
      <c r="M63" s="22"/>
      <c r="N63" s="22"/>
      <c r="O63" s="22"/>
      <c r="P63" s="22"/>
      <c r="Q63" s="22"/>
      <c r="R63" s="22"/>
      <c r="S63" s="22"/>
      <c r="T63" s="22"/>
      <c r="U63" s="22"/>
      <c r="V63" s="22"/>
      <c r="W63" s="22"/>
      <c r="X63" s="22"/>
      <c r="Y63" s="22"/>
      <c r="Z63" s="22"/>
      <c r="AA63" s="22"/>
      <c r="AB63" s="22"/>
      <c r="AC63" s="22"/>
      <c r="AD63" s="22"/>
      <c r="AE63" s="22"/>
      <c r="AF63" s="22"/>
      <c r="AG63" s="22"/>
      <c r="AH63" s="22"/>
      <c r="AI63" s="22"/>
      <c r="AJ63" s="22"/>
      <c r="AK63" s="22"/>
      <c r="AL63" s="22"/>
      <c r="AM63" s="22"/>
      <c r="AN63" s="22"/>
      <c r="AO63" s="22"/>
      <c r="AP63" s="22"/>
      <c r="AQ63" s="22"/>
      <c r="AR63" s="22"/>
      <c r="AS63" s="22"/>
      <c r="AT63" s="22"/>
      <c r="AU63" s="22"/>
      <c r="AV63" s="22"/>
      <c r="AW63" s="22"/>
    </row>
    <row r="64" spans="2:49" x14ac:dyDescent="0.15">
      <c r="B64" s="22"/>
      <c r="C64" s="22"/>
      <c r="D64" s="22"/>
      <c r="E64" s="22"/>
      <c r="F64" s="22"/>
      <c r="G64" s="22"/>
      <c r="H64" s="22"/>
      <c r="I64" s="22"/>
      <c r="J64" s="22"/>
      <c r="K64" s="22"/>
      <c r="L64" s="22"/>
      <c r="M64" s="22"/>
      <c r="N64" s="22"/>
      <c r="O64" s="22"/>
      <c r="P64" s="22"/>
      <c r="Q64" s="22"/>
      <c r="R64" s="22"/>
      <c r="S64" s="22"/>
      <c r="T64" s="22"/>
      <c r="U64" s="22"/>
      <c r="V64" s="22"/>
      <c r="W64" s="22"/>
      <c r="X64" s="22"/>
      <c r="Y64" s="22"/>
      <c r="Z64" s="22"/>
      <c r="AA64" s="22"/>
      <c r="AB64" s="22"/>
      <c r="AC64" s="22"/>
      <c r="AD64" s="22"/>
      <c r="AE64" s="22"/>
      <c r="AF64" s="22"/>
      <c r="AG64" s="22"/>
      <c r="AH64" s="22"/>
      <c r="AI64" s="22"/>
      <c r="AJ64" s="22"/>
      <c r="AK64" s="22"/>
      <c r="AL64" s="22"/>
      <c r="AM64" s="22"/>
      <c r="AN64" s="22"/>
      <c r="AO64" s="22"/>
      <c r="AP64" s="22"/>
      <c r="AQ64" s="22"/>
      <c r="AR64" s="22"/>
      <c r="AS64" s="22"/>
      <c r="AT64" s="22"/>
      <c r="AU64" s="22"/>
      <c r="AV64" s="22"/>
      <c r="AW64" s="22"/>
    </row>
    <row r="65" spans="2:49" x14ac:dyDescent="0.15">
      <c r="B65" s="22"/>
      <c r="C65" s="22"/>
      <c r="D65" s="22"/>
      <c r="E65" s="22"/>
      <c r="F65" s="22"/>
      <c r="G65" s="22"/>
      <c r="H65" s="22"/>
      <c r="I65" s="22"/>
      <c r="J65" s="22"/>
      <c r="K65" s="22"/>
      <c r="L65" s="22"/>
      <c r="M65" s="22"/>
      <c r="N65" s="22"/>
      <c r="O65" s="22"/>
      <c r="P65" s="22"/>
      <c r="Q65" s="22"/>
      <c r="R65" s="22"/>
      <c r="S65" s="22"/>
      <c r="T65" s="22"/>
      <c r="U65" s="22"/>
      <c r="V65" s="22"/>
      <c r="W65" s="22"/>
      <c r="X65" s="22"/>
      <c r="Y65" s="22"/>
      <c r="Z65" s="22"/>
      <c r="AA65" s="22"/>
      <c r="AB65" s="22"/>
      <c r="AC65" s="22"/>
      <c r="AD65" s="22"/>
      <c r="AE65" s="22"/>
      <c r="AF65" s="22"/>
      <c r="AG65" s="22"/>
      <c r="AH65" s="22"/>
      <c r="AI65" s="22"/>
      <c r="AJ65" s="22"/>
      <c r="AK65" s="22"/>
      <c r="AL65" s="22"/>
      <c r="AM65" s="22"/>
      <c r="AN65" s="22"/>
      <c r="AO65" s="22"/>
      <c r="AP65" s="22"/>
      <c r="AQ65" s="22"/>
      <c r="AR65" s="22"/>
      <c r="AS65" s="22"/>
      <c r="AT65" s="22"/>
      <c r="AU65" s="22"/>
      <c r="AV65" s="22"/>
      <c r="AW65" s="22"/>
    </row>
    <row r="66" spans="2:49" x14ac:dyDescent="0.15">
      <c r="B66" s="22"/>
      <c r="C66" s="22"/>
      <c r="D66" s="22"/>
      <c r="E66" s="22"/>
      <c r="F66" s="22"/>
      <c r="G66" s="22"/>
      <c r="H66" s="22"/>
      <c r="I66" s="22"/>
      <c r="J66" s="22"/>
      <c r="K66" s="22"/>
      <c r="L66" s="22"/>
      <c r="M66" s="22"/>
      <c r="N66" s="22"/>
      <c r="O66" s="22"/>
      <c r="P66" s="22"/>
      <c r="Q66" s="22"/>
      <c r="R66" s="22"/>
      <c r="S66" s="22"/>
      <c r="T66" s="22"/>
      <c r="U66" s="22"/>
      <c r="V66" s="22"/>
      <c r="W66" s="22"/>
      <c r="X66" s="22"/>
      <c r="Y66" s="22"/>
      <c r="Z66" s="22"/>
      <c r="AA66" s="22"/>
      <c r="AB66" s="22"/>
      <c r="AC66" s="22"/>
      <c r="AD66" s="22"/>
      <c r="AE66" s="22"/>
      <c r="AF66" s="22"/>
      <c r="AG66" s="22"/>
      <c r="AH66" s="22"/>
      <c r="AI66" s="22"/>
      <c r="AJ66" s="22"/>
      <c r="AK66" s="22"/>
      <c r="AL66" s="22"/>
      <c r="AM66" s="22"/>
      <c r="AN66" s="22"/>
      <c r="AO66" s="22"/>
      <c r="AP66" s="22"/>
      <c r="AQ66" s="22"/>
      <c r="AR66" s="22"/>
      <c r="AS66" s="22"/>
      <c r="AT66" s="22"/>
      <c r="AU66" s="22"/>
      <c r="AV66" s="22"/>
      <c r="AW66" s="22"/>
    </row>
    <row r="67" spans="2:49" x14ac:dyDescent="0.15">
      <c r="B67" s="22"/>
      <c r="C67" s="22"/>
      <c r="D67" s="22"/>
      <c r="E67" s="22"/>
      <c r="F67" s="22"/>
      <c r="G67" s="22"/>
      <c r="H67" s="22"/>
      <c r="I67" s="22"/>
      <c r="J67" s="22"/>
      <c r="K67" s="22"/>
      <c r="L67" s="22"/>
      <c r="M67" s="22"/>
      <c r="N67" s="22"/>
      <c r="O67" s="22"/>
      <c r="P67" s="22"/>
      <c r="Q67" s="22"/>
      <c r="R67" s="22"/>
      <c r="S67" s="22"/>
      <c r="T67" s="22"/>
      <c r="U67" s="22"/>
      <c r="V67" s="22"/>
      <c r="W67" s="22"/>
      <c r="X67" s="22"/>
      <c r="Y67" s="22"/>
      <c r="Z67" s="22"/>
      <c r="AA67" s="22"/>
      <c r="AB67" s="22"/>
      <c r="AC67" s="22"/>
      <c r="AD67" s="22"/>
      <c r="AE67" s="22"/>
      <c r="AF67" s="22"/>
      <c r="AG67" s="22"/>
      <c r="AH67" s="22"/>
      <c r="AI67" s="22"/>
      <c r="AJ67" s="22"/>
      <c r="AK67" s="22"/>
      <c r="AL67" s="22"/>
      <c r="AM67" s="22"/>
      <c r="AN67" s="22"/>
      <c r="AO67" s="22"/>
      <c r="AP67" s="22"/>
      <c r="AQ67" s="22"/>
      <c r="AR67" s="22"/>
      <c r="AS67" s="22"/>
      <c r="AT67" s="22"/>
      <c r="AU67" s="22"/>
      <c r="AV67" s="22"/>
      <c r="AW67" s="22"/>
    </row>
    <row r="68" spans="2:49" x14ac:dyDescent="0.15">
      <c r="B68" s="22"/>
      <c r="C68" s="22"/>
      <c r="D68" s="22"/>
      <c r="E68" s="22"/>
      <c r="F68" s="22"/>
      <c r="G68" s="22"/>
      <c r="H68" s="22"/>
      <c r="I68" s="22"/>
      <c r="J68" s="22"/>
      <c r="K68" s="22"/>
      <c r="L68" s="22"/>
      <c r="M68" s="22"/>
      <c r="N68" s="22"/>
      <c r="O68" s="22"/>
      <c r="P68" s="22"/>
      <c r="Q68" s="22"/>
      <c r="R68" s="22"/>
      <c r="S68" s="22"/>
      <c r="T68" s="22"/>
      <c r="U68" s="22"/>
      <c r="V68" s="22"/>
      <c r="W68" s="22"/>
      <c r="X68" s="22"/>
      <c r="Y68" s="22"/>
      <c r="Z68" s="22"/>
      <c r="AA68" s="22"/>
      <c r="AB68" s="22"/>
      <c r="AC68" s="22"/>
      <c r="AD68" s="22"/>
      <c r="AE68" s="22"/>
      <c r="AF68" s="22"/>
      <c r="AG68" s="22"/>
      <c r="AH68" s="22"/>
      <c r="AI68" s="22"/>
      <c r="AJ68" s="22"/>
      <c r="AK68" s="22"/>
      <c r="AL68" s="22"/>
      <c r="AM68" s="22"/>
      <c r="AN68" s="22"/>
      <c r="AO68" s="22"/>
      <c r="AP68" s="22"/>
      <c r="AQ68" s="22"/>
      <c r="AR68" s="22"/>
      <c r="AS68" s="22"/>
      <c r="AT68" s="22"/>
      <c r="AU68" s="22"/>
      <c r="AV68" s="22"/>
      <c r="AW68" s="22"/>
    </row>
    <row r="69" spans="2:49" x14ac:dyDescent="0.15">
      <c r="B69" s="22"/>
      <c r="C69" s="22"/>
      <c r="D69" s="22"/>
      <c r="E69" s="22"/>
      <c r="F69" s="22"/>
      <c r="G69" s="22"/>
      <c r="H69" s="22"/>
      <c r="I69" s="22"/>
      <c r="J69" s="22"/>
      <c r="K69" s="22"/>
      <c r="L69" s="22"/>
      <c r="M69" s="22"/>
      <c r="N69" s="22"/>
      <c r="O69" s="22"/>
      <c r="P69" s="22"/>
      <c r="Q69" s="22"/>
      <c r="R69" s="22"/>
      <c r="S69" s="22"/>
      <c r="T69" s="22"/>
      <c r="U69" s="22"/>
      <c r="V69" s="22"/>
      <c r="W69" s="22"/>
      <c r="X69" s="22"/>
      <c r="Y69" s="22"/>
      <c r="Z69" s="22"/>
      <c r="AA69" s="22"/>
      <c r="AB69" s="22"/>
      <c r="AC69" s="22"/>
      <c r="AD69" s="22"/>
      <c r="AE69" s="22"/>
      <c r="AF69" s="22"/>
      <c r="AG69" s="22"/>
      <c r="AH69" s="22"/>
      <c r="AI69" s="22"/>
      <c r="AJ69" s="22"/>
      <c r="AK69" s="22"/>
      <c r="AL69" s="22"/>
      <c r="AM69" s="22"/>
      <c r="AN69" s="22"/>
      <c r="AO69" s="22"/>
      <c r="AP69" s="22"/>
      <c r="AQ69" s="22"/>
      <c r="AR69" s="22"/>
      <c r="AS69" s="22"/>
      <c r="AT69" s="22"/>
      <c r="AU69" s="22"/>
      <c r="AV69" s="22"/>
      <c r="AW69" s="22"/>
    </row>
    <row r="70" spans="2:49" x14ac:dyDescent="0.15">
      <c r="B70" s="22"/>
      <c r="C70" s="22"/>
      <c r="D70" s="22"/>
      <c r="E70" s="22"/>
      <c r="F70" s="22"/>
      <c r="G70" s="22"/>
      <c r="H70" s="22"/>
      <c r="I70" s="22"/>
      <c r="J70" s="22"/>
      <c r="K70" s="22"/>
      <c r="L70" s="22"/>
      <c r="M70" s="22"/>
      <c r="N70" s="22"/>
      <c r="O70" s="22"/>
      <c r="P70" s="22"/>
      <c r="Q70" s="22"/>
      <c r="R70" s="22"/>
      <c r="S70" s="22"/>
      <c r="T70" s="22"/>
      <c r="U70" s="22"/>
      <c r="V70" s="22"/>
      <c r="W70" s="22"/>
      <c r="X70" s="22"/>
      <c r="Y70" s="22"/>
      <c r="Z70" s="22"/>
      <c r="AA70" s="22"/>
      <c r="AB70" s="22"/>
      <c r="AC70" s="22"/>
      <c r="AD70" s="22"/>
      <c r="AE70" s="22"/>
      <c r="AF70" s="22"/>
      <c r="AG70" s="22"/>
      <c r="AH70" s="22"/>
      <c r="AI70" s="22"/>
      <c r="AJ70" s="22"/>
      <c r="AK70" s="22"/>
      <c r="AL70" s="22"/>
      <c r="AM70" s="22"/>
      <c r="AN70" s="22"/>
      <c r="AO70" s="22"/>
      <c r="AP70" s="22"/>
      <c r="AQ70" s="22"/>
      <c r="AR70" s="22"/>
      <c r="AS70" s="22"/>
      <c r="AT70" s="22"/>
      <c r="AU70" s="22"/>
      <c r="AV70" s="22"/>
      <c r="AW70" s="22"/>
    </row>
    <row r="71" spans="2:49" x14ac:dyDescent="0.15">
      <c r="B71" s="22"/>
      <c r="C71" s="22"/>
      <c r="D71" s="22"/>
      <c r="E71" s="22"/>
      <c r="F71" s="22"/>
      <c r="G71" s="22"/>
      <c r="H71" s="22"/>
      <c r="I71" s="22"/>
      <c r="J71" s="22"/>
      <c r="K71" s="22"/>
      <c r="L71" s="22"/>
      <c r="M71" s="22"/>
      <c r="N71" s="22"/>
      <c r="O71" s="22"/>
      <c r="P71" s="22"/>
      <c r="Q71" s="22"/>
      <c r="R71" s="22"/>
      <c r="S71" s="22"/>
      <c r="T71" s="22"/>
      <c r="U71" s="22"/>
      <c r="V71" s="22"/>
      <c r="W71" s="22"/>
      <c r="X71" s="22"/>
      <c r="Y71" s="22"/>
      <c r="Z71" s="22"/>
      <c r="AA71" s="22"/>
      <c r="AB71" s="22"/>
      <c r="AC71" s="22"/>
      <c r="AD71" s="22"/>
      <c r="AE71" s="22"/>
      <c r="AF71" s="22"/>
      <c r="AG71" s="22"/>
      <c r="AH71" s="22"/>
      <c r="AI71" s="22"/>
      <c r="AJ71" s="22"/>
      <c r="AK71" s="22"/>
      <c r="AL71" s="22"/>
      <c r="AM71" s="22"/>
      <c r="AN71" s="22"/>
      <c r="AO71" s="22"/>
      <c r="AP71" s="22"/>
      <c r="AQ71" s="22"/>
      <c r="AR71" s="22"/>
      <c r="AS71" s="22"/>
      <c r="AT71" s="22"/>
      <c r="AU71" s="22"/>
      <c r="AV71" s="22"/>
      <c r="AW71" s="22"/>
    </row>
    <row r="72" spans="2:49" x14ac:dyDescent="0.15">
      <c r="B72" s="22"/>
      <c r="C72" s="22"/>
      <c r="D72" s="22"/>
      <c r="E72" s="22"/>
      <c r="F72" s="22"/>
      <c r="G72" s="22"/>
      <c r="H72" s="22"/>
      <c r="I72" s="22"/>
      <c r="J72" s="22"/>
      <c r="K72" s="22"/>
      <c r="L72" s="22"/>
      <c r="M72" s="22"/>
      <c r="N72" s="22"/>
      <c r="O72" s="22"/>
      <c r="P72" s="22"/>
      <c r="Q72" s="22"/>
      <c r="R72" s="22"/>
      <c r="S72" s="22"/>
      <c r="T72" s="22"/>
      <c r="U72" s="22"/>
      <c r="V72" s="22"/>
      <c r="W72" s="22"/>
      <c r="X72" s="22"/>
      <c r="Y72" s="22"/>
      <c r="Z72" s="22"/>
      <c r="AA72" s="22"/>
      <c r="AB72" s="22"/>
      <c r="AC72" s="22"/>
      <c r="AD72" s="22"/>
      <c r="AE72" s="22"/>
      <c r="AF72" s="22"/>
      <c r="AG72" s="22"/>
      <c r="AH72" s="22"/>
      <c r="AI72" s="22"/>
      <c r="AJ72" s="22"/>
      <c r="AK72" s="22"/>
      <c r="AL72" s="22"/>
      <c r="AM72" s="22"/>
      <c r="AN72" s="22"/>
      <c r="AO72" s="22"/>
      <c r="AP72" s="22"/>
      <c r="AQ72" s="22"/>
      <c r="AR72" s="22"/>
      <c r="AS72" s="22"/>
      <c r="AT72" s="22"/>
      <c r="AU72" s="22"/>
      <c r="AV72" s="22"/>
      <c r="AW72" s="22"/>
    </row>
    <row r="73" spans="2:49" x14ac:dyDescent="0.15">
      <c r="B73" s="22"/>
      <c r="C73" s="22"/>
      <c r="D73" s="22"/>
      <c r="E73" s="22"/>
      <c r="F73" s="22"/>
      <c r="G73" s="22"/>
      <c r="H73" s="22"/>
      <c r="I73" s="22"/>
      <c r="J73" s="22"/>
      <c r="K73" s="22"/>
      <c r="L73" s="22"/>
      <c r="M73" s="22"/>
      <c r="N73" s="22"/>
      <c r="O73" s="22"/>
      <c r="P73" s="22"/>
      <c r="Q73" s="22"/>
      <c r="R73" s="22"/>
      <c r="S73" s="22"/>
      <c r="T73" s="22"/>
      <c r="U73" s="22"/>
      <c r="V73" s="22"/>
      <c r="W73" s="22"/>
      <c r="X73" s="22"/>
      <c r="Y73" s="22"/>
      <c r="Z73" s="22"/>
      <c r="AA73" s="22"/>
      <c r="AB73" s="22"/>
      <c r="AC73" s="22"/>
      <c r="AD73" s="22"/>
      <c r="AE73" s="22"/>
      <c r="AF73" s="22"/>
      <c r="AG73" s="22"/>
      <c r="AH73" s="22"/>
      <c r="AI73" s="22"/>
      <c r="AJ73" s="22"/>
      <c r="AK73" s="22"/>
      <c r="AL73" s="22"/>
      <c r="AM73" s="22"/>
      <c r="AN73" s="22"/>
      <c r="AO73" s="22"/>
      <c r="AP73" s="22"/>
      <c r="AQ73" s="22"/>
      <c r="AR73" s="22"/>
      <c r="AS73" s="22"/>
      <c r="AT73" s="22"/>
      <c r="AU73" s="22"/>
      <c r="AV73" s="22"/>
      <c r="AW73" s="22"/>
    </row>
    <row r="74" spans="2:49" x14ac:dyDescent="0.15">
      <c r="B74" s="22"/>
      <c r="C74" s="22"/>
      <c r="D74" s="22"/>
      <c r="E74" s="22"/>
      <c r="F74" s="22"/>
      <c r="G74" s="22"/>
      <c r="H74" s="22"/>
      <c r="I74" s="22"/>
      <c r="J74" s="22"/>
      <c r="K74" s="22"/>
      <c r="L74" s="22"/>
      <c r="M74" s="22"/>
      <c r="N74" s="22"/>
      <c r="O74" s="22"/>
      <c r="P74" s="22"/>
      <c r="Q74" s="22"/>
      <c r="R74" s="22"/>
      <c r="S74" s="22"/>
      <c r="T74" s="22"/>
      <c r="U74" s="22"/>
      <c r="V74" s="22"/>
      <c r="W74" s="22"/>
      <c r="X74" s="22"/>
      <c r="Y74" s="22"/>
      <c r="Z74" s="22"/>
      <c r="AA74" s="22"/>
      <c r="AB74" s="22"/>
      <c r="AC74" s="22"/>
      <c r="AD74" s="22"/>
      <c r="AE74" s="22"/>
      <c r="AF74" s="22"/>
      <c r="AG74" s="22"/>
      <c r="AH74" s="22"/>
      <c r="AI74" s="22"/>
      <c r="AJ74" s="22"/>
      <c r="AK74" s="22"/>
      <c r="AL74" s="22"/>
      <c r="AM74" s="22"/>
      <c r="AN74" s="22"/>
      <c r="AO74" s="22"/>
      <c r="AP74" s="22"/>
      <c r="AQ74" s="22"/>
      <c r="AR74" s="22"/>
      <c r="AS74" s="22"/>
      <c r="AT74" s="22"/>
      <c r="AU74" s="22"/>
      <c r="AV74" s="22"/>
      <c r="AW74" s="22"/>
    </row>
    <row r="75" spans="2:49" x14ac:dyDescent="0.15">
      <c r="B75" s="22"/>
      <c r="C75" s="22"/>
      <c r="D75" s="22"/>
      <c r="E75" s="22"/>
      <c r="F75" s="22"/>
      <c r="G75" s="22"/>
      <c r="H75" s="22"/>
      <c r="I75" s="22"/>
      <c r="J75" s="22"/>
      <c r="K75" s="22"/>
      <c r="L75" s="22"/>
      <c r="M75" s="22"/>
      <c r="N75" s="22"/>
      <c r="O75" s="22"/>
      <c r="P75" s="22"/>
      <c r="Q75" s="22"/>
      <c r="R75" s="22"/>
      <c r="S75" s="22"/>
      <c r="T75" s="22"/>
      <c r="U75" s="22"/>
      <c r="V75" s="22"/>
      <c r="W75" s="22"/>
      <c r="X75" s="22"/>
      <c r="Y75" s="22"/>
      <c r="Z75" s="22"/>
      <c r="AA75" s="22"/>
      <c r="AB75" s="22"/>
      <c r="AC75" s="22"/>
      <c r="AD75" s="22"/>
      <c r="AE75" s="22"/>
      <c r="AF75" s="22"/>
      <c r="AG75" s="22"/>
      <c r="AH75" s="22"/>
      <c r="AI75" s="22"/>
      <c r="AJ75" s="22"/>
      <c r="AK75" s="22"/>
      <c r="AL75" s="22"/>
      <c r="AM75" s="22"/>
      <c r="AN75" s="22"/>
      <c r="AO75" s="22"/>
      <c r="AP75" s="22"/>
      <c r="AQ75" s="22"/>
      <c r="AR75" s="22"/>
      <c r="AS75" s="22"/>
      <c r="AT75" s="22"/>
      <c r="AU75" s="22"/>
      <c r="AV75" s="22"/>
      <c r="AW75" s="22"/>
    </row>
    <row r="76" spans="2:49" x14ac:dyDescent="0.15">
      <c r="B76" s="22"/>
      <c r="C76" s="22"/>
      <c r="D76" s="22"/>
      <c r="E76" s="22"/>
      <c r="F76" s="22"/>
      <c r="G76" s="22"/>
      <c r="H76" s="22"/>
      <c r="I76" s="22"/>
      <c r="J76" s="22"/>
      <c r="K76" s="22"/>
      <c r="L76" s="22"/>
      <c r="M76" s="22"/>
      <c r="N76" s="22"/>
      <c r="O76" s="22"/>
      <c r="P76" s="22"/>
      <c r="Q76" s="22"/>
      <c r="R76" s="22"/>
      <c r="S76" s="22"/>
      <c r="T76" s="22"/>
      <c r="U76" s="22"/>
      <c r="V76" s="22"/>
      <c r="W76" s="22"/>
      <c r="X76" s="22"/>
      <c r="Y76" s="22"/>
      <c r="Z76" s="22"/>
      <c r="AA76" s="22"/>
      <c r="AB76" s="22"/>
      <c r="AC76" s="22"/>
      <c r="AD76" s="22"/>
      <c r="AE76" s="22"/>
      <c r="AF76" s="22"/>
      <c r="AG76" s="22"/>
      <c r="AH76" s="22"/>
      <c r="AI76" s="22"/>
      <c r="AJ76" s="22"/>
      <c r="AK76" s="22"/>
      <c r="AL76" s="22"/>
      <c r="AM76" s="22"/>
      <c r="AN76" s="22"/>
      <c r="AO76" s="22"/>
      <c r="AP76" s="22"/>
      <c r="AQ76" s="22"/>
      <c r="AR76" s="22"/>
      <c r="AS76" s="22"/>
      <c r="AT76" s="22"/>
      <c r="AU76" s="22"/>
      <c r="AV76" s="22"/>
      <c r="AW76" s="22"/>
    </row>
    <row r="77" spans="2:49" x14ac:dyDescent="0.15">
      <c r="B77" s="22"/>
      <c r="C77" s="22"/>
      <c r="D77" s="22"/>
      <c r="E77" s="22"/>
      <c r="F77" s="22"/>
      <c r="G77" s="22"/>
      <c r="H77" s="22"/>
      <c r="I77" s="22"/>
      <c r="J77" s="22"/>
      <c r="K77" s="22"/>
      <c r="L77" s="22"/>
      <c r="M77" s="22"/>
      <c r="N77" s="22"/>
      <c r="O77" s="22"/>
      <c r="P77" s="22"/>
      <c r="Q77" s="22"/>
      <c r="R77" s="22"/>
      <c r="S77" s="22"/>
      <c r="T77" s="22"/>
      <c r="U77" s="22"/>
      <c r="V77" s="22"/>
      <c r="W77" s="22"/>
      <c r="X77" s="22"/>
      <c r="Y77" s="22"/>
      <c r="Z77" s="22"/>
      <c r="AA77" s="22"/>
      <c r="AB77" s="22"/>
      <c r="AC77" s="22"/>
      <c r="AD77" s="22"/>
      <c r="AE77" s="22"/>
      <c r="AF77" s="22"/>
      <c r="AG77" s="22"/>
      <c r="AH77" s="22"/>
      <c r="AI77" s="22"/>
      <c r="AJ77" s="22"/>
      <c r="AK77" s="22"/>
      <c r="AL77" s="22"/>
      <c r="AM77" s="22"/>
      <c r="AN77" s="22"/>
      <c r="AO77" s="22"/>
      <c r="AP77" s="22"/>
      <c r="AQ77" s="22"/>
      <c r="AR77" s="22"/>
      <c r="AS77" s="22"/>
      <c r="AT77" s="22"/>
      <c r="AU77" s="22"/>
      <c r="AV77" s="22"/>
      <c r="AW77" s="22"/>
    </row>
    <row r="78" spans="2:49" x14ac:dyDescent="0.15">
      <c r="B78" s="22"/>
      <c r="C78" s="22"/>
      <c r="D78" s="22"/>
      <c r="E78" s="22"/>
      <c r="F78" s="22"/>
      <c r="G78" s="22"/>
      <c r="H78" s="22"/>
      <c r="I78" s="22"/>
      <c r="J78" s="22"/>
      <c r="K78" s="22"/>
      <c r="L78" s="22"/>
      <c r="M78" s="22"/>
      <c r="N78" s="22"/>
      <c r="O78" s="22"/>
      <c r="P78" s="22"/>
      <c r="Q78" s="22"/>
      <c r="R78" s="22"/>
      <c r="S78" s="22"/>
      <c r="T78" s="22"/>
      <c r="U78" s="22"/>
      <c r="V78" s="22"/>
      <c r="W78" s="22"/>
      <c r="X78" s="22"/>
      <c r="Y78" s="22"/>
      <c r="Z78" s="22"/>
      <c r="AA78" s="22"/>
      <c r="AB78" s="22"/>
      <c r="AC78" s="22"/>
      <c r="AD78" s="22"/>
      <c r="AE78" s="22"/>
      <c r="AF78" s="22"/>
      <c r="AG78" s="22"/>
      <c r="AH78" s="22"/>
      <c r="AI78" s="22"/>
      <c r="AJ78" s="22"/>
      <c r="AK78" s="22"/>
      <c r="AL78" s="22"/>
      <c r="AM78" s="22"/>
      <c r="AN78" s="22"/>
      <c r="AO78" s="22"/>
      <c r="AP78" s="22"/>
      <c r="AQ78" s="22"/>
      <c r="AR78" s="22"/>
      <c r="AS78" s="22"/>
      <c r="AT78" s="22"/>
      <c r="AU78" s="22"/>
      <c r="AV78" s="22"/>
      <c r="AW78" s="22"/>
    </row>
    <row r="79" spans="2:49" x14ac:dyDescent="0.15">
      <c r="B79" s="22"/>
      <c r="C79" s="22"/>
      <c r="D79" s="22"/>
      <c r="E79" s="22"/>
      <c r="F79" s="22"/>
      <c r="G79" s="22"/>
      <c r="H79" s="22"/>
      <c r="I79" s="22"/>
      <c r="J79" s="22"/>
      <c r="K79" s="22"/>
      <c r="L79" s="22"/>
      <c r="M79" s="22"/>
      <c r="N79" s="22"/>
      <c r="O79" s="22"/>
      <c r="P79" s="22"/>
      <c r="Q79" s="22"/>
      <c r="R79" s="22"/>
      <c r="S79" s="22"/>
      <c r="T79" s="22"/>
      <c r="U79" s="22"/>
      <c r="V79" s="22"/>
      <c r="W79" s="22"/>
      <c r="X79" s="22"/>
      <c r="Y79" s="22"/>
      <c r="Z79" s="22"/>
      <c r="AA79" s="22"/>
      <c r="AB79" s="22"/>
      <c r="AC79" s="22"/>
      <c r="AD79" s="22"/>
      <c r="AE79" s="22"/>
      <c r="AF79" s="22"/>
      <c r="AG79" s="22"/>
      <c r="AH79" s="22"/>
      <c r="AI79" s="22"/>
      <c r="AJ79" s="22"/>
      <c r="AK79" s="22"/>
      <c r="AL79" s="22"/>
      <c r="AM79" s="22"/>
      <c r="AN79" s="22"/>
      <c r="AO79" s="22"/>
      <c r="AP79" s="22"/>
      <c r="AQ79" s="22"/>
      <c r="AR79" s="22"/>
      <c r="AS79" s="22"/>
      <c r="AT79" s="22"/>
      <c r="AU79" s="22"/>
      <c r="AV79" s="22"/>
      <c r="AW79" s="22"/>
    </row>
    <row r="80" spans="2:49" x14ac:dyDescent="0.15">
      <c r="B80" s="22"/>
      <c r="C80" s="22"/>
      <c r="D80" s="22"/>
      <c r="E80" s="22"/>
      <c r="F80" s="22"/>
      <c r="G80" s="22"/>
      <c r="H80" s="22"/>
      <c r="I80" s="22"/>
      <c r="J80" s="22"/>
      <c r="K80" s="22"/>
      <c r="L80" s="22"/>
      <c r="M80" s="22"/>
      <c r="N80" s="22"/>
      <c r="O80" s="22"/>
      <c r="P80" s="22"/>
      <c r="Q80" s="22"/>
      <c r="R80" s="22"/>
      <c r="S80" s="22"/>
      <c r="T80" s="22"/>
      <c r="U80" s="22"/>
      <c r="V80" s="22"/>
      <c r="W80" s="22"/>
      <c r="X80" s="22"/>
      <c r="Y80" s="22"/>
      <c r="Z80" s="22"/>
      <c r="AA80" s="22"/>
      <c r="AB80" s="22"/>
      <c r="AC80" s="22"/>
      <c r="AD80" s="22"/>
      <c r="AE80" s="22"/>
      <c r="AF80" s="22"/>
      <c r="AG80" s="22"/>
      <c r="AH80" s="22"/>
      <c r="AI80" s="22"/>
      <c r="AJ80" s="22"/>
      <c r="AK80" s="22"/>
      <c r="AL80" s="22"/>
      <c r="AM80" s="22"/>
      <c r="AN80" s="22"/>
      <c r="AO80" s="22"/>
      <c r="AP80" s="22"/>
      <c r="AQ80" s="22"/>
      <c r="AR80" s="22"/>
      <c r="AS80" s="22"/>
      <c r="AT80" s="22"/>
      <c r="AU80" s="22"/>
      <c r="AV80" s="22"/>
      <c r="AW80" s="22"/>
    </row>
    <row r="81" spans="2:49" x14ac:dyDescent="0.15">
      <c r="B81" s="22"/>
      <c r="C81" s="22"/>
      <c r="D81" s="22"/>
      <c r="E81" s="22"/>
      <c r="F81" s="22"/>
      <c r="G81" s="22"/>
      <c r="H81" s="22"/>
      <c r="I81" s="22"/>
      <c r="J81" s="22"/>
      <c r="K81" s="22"/>
      <c r="L81" s="22"/>
      <c r="M81" s="22"/>
      <c r="N81" s="22"/>
      <c r="O81" s="22"/>
      <c r="P81" s="22"/>
      <c r="Q81" s="22"/>
      <c r="R81" s="22"/>
      <c r="S81" s="22"/>
      <c r="T81" s="22"/>
      <c r="U81" s="22"/>
      <c r="V81" s="22"/>
      <c r="W81" s="22"/>
      <c r="X81" s="22"/>
      <c r="Y81" s="22"/>
      <c r="Z81" s="22"/>
      <c r="AA81" s="22"/>
      <c r="AB81" s="22"/>
      <c r="AC81" s="22"/>
      <c r="AD81" s="22"/>
      <c r="AE81" s="22"/>
      <c r="AF81" s="22"/>
      <c r="AG81" s="22"/>
      <c r="AH81" s="22"/>
      <c r="AI81" s="22"/>
      <c r="AJ81" s="22"/>
      <c r="AK81" s="22"/>
      <c r="AL81" s="22"/>
      <c r="AM81" s="22"/>
      <c r="AN81" s="22"/>
      <c r="AO81" s="22"/>
      <c r="AP81" s="22"/>
      <c r="AQ81" s="22"/>
      <c r="AR81" s="22"/>
      <c r="AS81" s="22"/>
      <c r="AT81" s="22"/>
      <c r="AU81" s="22"/>
      <c r="AV81" s="22"/>
      <c r="AW81" s="22"/>
    </row>
    <row r="82" spans="2:49" x14ac:dyDescent="0.15">
      <c r="B82" s="22"/>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row>
    <row r="83" spans="2:49" x14ac:dyDescent="0.15">
      <c r="B83" s="22"/>
      <c r="C83" s="22"/>
      <c r="D83" s="22"/>
      <c r="E83" s="22"/>
      <c r="F83" s="22"/>
      <c r="G83" s="22"/>
      <c r="H83" s="22"/>
      <c r="I83" s="22"/>
      <c r="J83" s="22"/>
      <c r="K83" s="22"/>
      <c r="L83" s="22"/>
      <c r="M83" s="22"/>
      <c r="N83" s="22"/>
      <c r="O83" s="22"/>
      <c r="P83" s="22"/>
      <c r="Q83" s="22"/>
      <c r="R83" s="22"/>
      <c r="S83" s="22"/>
      <c r="T83" s="22"/>
      <c r="U83" s="22"/>
      <c r="V83" s="22"/>
      <c r="W83" s="22"/>
      <c r="X83" s="22"/>
      <c r="Y83" s="22"/>
      <c r="Z83" s="22"/>
      <c r="AA83" s="22"/>
      <c r="AB83" s="22"/>
      <c r="AC83" s="22"/>
      <c r="AD83" s="22"/>
      <c r="AE83" s="22"/>
      <c r="AF83" s="22"/>
      <c r="AG83" s="22"/>
      <c r="AH83" s="22"/>
      <c r="AI83" s="22"/>
      <c r="AJ83" s="22"/>
      <c r="AK83" s="22"/>
      <c r="AL83" s="22"/>
      <c r="AM83" s="22"/>
      <c r="AN83" s="22"/>
      <c r="AO83" s="22"/>
      <c r="AP83" s="22"/>
      <c r="AQ83" s="22"/>
      <c r="AR83" s="22"/>
      <c r="AS83" s="22"/>
      <c r="AT83" s="22"/>
      <c r="AU83" s="22"/>
      <c r="AV83" s="22"/>
      <c r="AW83" s="22"/>
    </row>
    <row r="84" spans="2:49" x14ac:dyDescent="0.15">
      <c r="B84" s="22"/>
      <c r="C84" s="22"/>
      <c r="D84" s="22"/>
      <c r="E84" s="22"/>
      <c r="F84" s="22"/>
      <c r="G84" s="22"/>
      <c r="H84" s="22"/>
      <c r="I84" s="22"/>
      <c r="J84" s="22"/>
      <c r="K84" s="22"/>
      <c r="L84" s="22"/>
      <c r="M84" s="22"/>
      <c r="N84" s="22"/>
      <c r="O84" s="22"/>
      <c r="P84" s="22"/>
      <c r="Q84" s="22"/>
      <c r="R84" s="22"/>
      <c r="S84" s="22"/>
      <c r="T84" s="22"/>
      <c r="U84" s="22"/>
      <c r="V84" s="22"/>
      <c r="W84" s="22"/>
      <c r="X84" s="22"/>
      <c r="Y84" s="22"/>
      <c r="Z84" s="22"/>
      <c r="AA84" s="22"/>
      <c r="AB84" s="22"/>
      <c r="AC84" s="22"/>
      <c r="AD84" s="22"/>
      <c r="AE84" s="22"/>
      <c r="AF84" s="22"/>
      <c r="AG84" s="22"/>
      <c r="AH84" s="22"/>
      <c r="AI84" s="22"/>
      <c r="AJ84" s="22"/>
      <c r="AK84" s="22"/>
      <c r="AL84" s="22"/>
      <c r="AM84" s="22"/>
      <c r="AN84" s="22"/>
      <c r="AO84" s="22"/>
      <c r="AP84" s="22"/>
      <c r="AQ84" s="22"/>
      <c r="AR84" s="22"/>
      <c r="AS84" s="22"/>
      <c r="AT84" s="22"/>
      <c r="AU84" s="22"/>
      <c r="AV84" s="22"/>
      <c r="AW84" s="22"/>
    </row>
    <row r="85" spans="2:49" x14ac:dyDescent="0.15">
      <c r="B85" s="22"/>
      <c r="C85" s="22"/>
      <c r="D85" s="22"/>
      <c r="E85" s="22"/>
      <c r="F85" s="22"/>
      <c r="G85" s="22"/>
      <c r="H85" s="22"/>
      <c r="I85" s="22"/>
      <c r="J85" s="22"/>
      <c r="K85" s="22"/>
      <c r="L85" s="22"/>
      <c r="M85" s="22"/>
      <c r="N85" s="22"/>
      <c r="O85" s="22"/>
      <c r="P85" s="22"/>
      <c r="Q85" s="22"/>
      <c r="R85" s="22"/>
      <c r="S85" s="22"/>
      <c r="T85" s="22"/>
      <c r="U85" s="22"/>
      <c r="V85" s="22"/>
      <c r="W85" s="22"/>
      <c r="X85" s="22"/>
      <c r="Y85" s="22"/>
      <c r="Z85" s="22"/>
      <c r="AA85" s="22"/>
      <c r="AB85" s="22"/>
      <c r="AC85" s="22"/>
      <c r="AD85" s="22"/>
      <c r="AE85" s="22"/>
      <c r="AF85" s="22"/>
      <c r="AG85" s="22"/>
      <c r="AH85" s="22"/>
      <c r="AI85" s="22"/>
      <c r="AJ85" s="22"/>
      <c r="AK85" s="22"/>
      <c r="AL85" s="22"/>
      <c r="AM85" s="22"/>
      <c r="AN85" s="22"/>
      <c r="AO85" s="22"/>
      <c r="AP85" s="22"/>
      <c r="AQ85" s="22"/>
      <c r="AR85" s="22"/>
      <c r="AS85" s="22"/>
      <c r="AT85" s="22"/>
      <c r="AU85" s="22"/>
      <c r="AV85" s="22"/>
      <c r="AW85" s="22"/>
    </row>
    <row r="86" spans="2:49" x14ac:dyDescent="0.15">
      <c r="B86" s="22"/>
      <c r="C86" s="22"/>
      <c r="D86" s="22"/>
      <c r="E86" s="22"/>
      <c r="F86" s="22"/>
      <c r="G86" s="22"/>
      <c r="H86" s="22"/>
      <c r="I86" s="22"/>
      <c r="J86" s="22"/>
      <c r="K86" s="22"/>
      <c r="L86" s="22"/>
      <c r="M86" s="22"/>
      <c r="N86" s="22"/>
      <c r="O86" s="22"/>
      <c r="P86" s="22"/>
      <c r="Q86" s="22"/>
      <c r="R86" s="22"/>
      <c r="S86" s="22"/>
      <c r="T86" s="22"/>
      <c r="U86" s="22"/>
      <c r="V86" s="22"/>
      <c r="W86" s="22"/>
      <c r="X86" s="22"/>
      <c r="Y86" s="22"/>
      <c r="Z86" s="22"/>
      <c r="AA86" s="22"/>
      <c r="AB86" s="22"/>
      <c r="AC86" s="22"/>
      <c r="AD86" s="22"/>
      <c r="AE86" s="22"/>
      <c r="AF86" s="22"/>
      <c r="AG86" s="22"/>
      <c r="AH86" s="22"/>
      <c r="AI86" s="22"/>
      <c r="AJ86" s="22"/>
      <c r="AK86" s="22"/>
      <c r="AL86" s="22"/>
      <c r="AM86" s="22"/>
      <c r="AN86" s="22"/>
      <c r="AO86" s="22"/>
      <c r="AP86" s="22"/>
      <c r="AQ86" s="22"/>
      <c r="AR86" s="22"/>
      <c r="AS86" s="22"/>
      <c r="AT86" s="22"/>
      <c r="AU86" s="22"/>
      <c r="AV86" s="22"/>
      <c r="AW86" s="22"/>
    </row>
    <row r="87" spans="2:49" x14ac:dyDescent="0.15">
      <c r="B87" s="22"/>
      <c r="C87" s="22"/>
      <c r="D87" s="22"/>
      <c r="E87" s="22"/>
      <c r="F87" s="22"/>
      <c r="G87" s="22"/>
      <c r="H87" s="22"/>
      <c r="I87" s="22"/>
      <c r="J87" s="22"/>
      <c r="K87" s="22"/>
      <c r="L87" s="22"/>
      <c r="M87" s="22"/>
      <c r="N87" s="22"/>
      <c r="O87" s="22"/>
      <c r="P87" s="22"/>
      <c r="Q87" s="22"/>
      <c r="R87" s="22"/>
      <c r="S87" s="22"/>
      <c r="T87" s="22"/>
      <c r="U87" s="22"/>
      <c r="V87" s="22"/>
      <c r="W87" s="22"/>
      <c r="X87" s="22"/>
      <c r="Y87" s="22"/>
      <c r="Z87" s="22"/>
      <c r="AA87" s="22"/>
      <c r="AB87" s="22"/>
      <c r="AC87" s="22"/>
      <c r="AD87" s="22"/>
      <c r="AE87" s="22"/>
      <c r="AF87" s="22"/>
      <c r="AG87" s="22"/>
      <c r="AH87" s="22"/>
      <c r="AI87" s="22"/>
      <c r="AJ87" s="22"/>
      <c r="AK87" s="22"/>
      <c r="AL87" s="22"/>
      <c r="AM87" s="22"/>
      <c r="AN87" s="22"/>
      <c r="AO87" s="22"/>
      <c r="AP87" s="22"/>
      <c r="AQ87" s="22"/>
      <c r="AR87" s="22"/>
      <c r="AS87" s="22"/>
      <c r="AT87" s="22"/>
      <c r="AU87" s="22"/>
      <c r="AV87" s="22"/>
      <c r="AW87" s="22"/>
    </row>
    <row r="88" spans="2:49" x14ac:dyDescent="0.15">
      <c r="B88" s="22"/>
      <c r="C88" s="22"/>
      <c r="D88" s="22"/>
      <c r="E88" s="22"/>
      <c r="F88" s="22"/>
      <c r="G88" s="22"/>
      <c r="H88" s="22"/>
      <c r="I88" s="22"/>
      <c r="J88" s="22"/>
      <c r="K88" s="22"/>
      <c r="L88" s="22"/>
      <c r="M88" s="22"/>
      <c r="N88" s="22"/>
      <c r="O88" s="22"/>
      <c r="P88" s="22"/>
      <c r="Q88" s="22"/>
      <c r="R88" s="22"/>
      <c r="S88" s="22"/>
      <c r="T88" s="22"/>
      <c r="U88" s="22"/>
      <c r="V88" s="22"/>
      <c r="W88" s="22"/>
      <c r="X88" s="22"/>
      <c r="Y88" s="22"/>
      <c r="Z88" s="22"/>
      <c r="AA88" s="22"/>
      <c r="AB88" s="22"/>
      <c r="AC88" s="22"/>
      <c r="AD88" s="22"/>
      <c r="AE88" s="22"/>
      <c r="AF88" s="22"/>
      <c r="AG88" s="22"/>
      <c r="AH88" s="22"/>
      <c r="AI88" s="22"/>
      <c r="AJ88" s="22"/>
      <c r="AK88" s="22"/>
      <c r="AL88" s="22"/>
      <c r="AM88" s="22"/>
      <c r="AN88" s="22"/>
      <c r="AO88" s="22"/>
      <c r="AP88" s="22"/>
      <c r="AQ88" s="22"/>
      <c r="AR88" s="22"/>
      <c r="AS88" s="22"/>
      <c r="AT88" s="22"/>
      <c r="AU88" s="22"/>
      <c r="AV88" s="22"/>
      <c r="AW88" s="22"/>
    </row>
    <row r="89" spans="2:49" x14ac:dyDescent="0.15">
      <c r="B89" s="22"/>
      <c r="C89" s="22"/>
      <c r="D89" s="22"/>
      <c r="E89" s="22"/>
      <c r="F89" s="22"/>
      <c r="G89" s="22"/>
      <c r="H89" s="22"/>
      <c r="I89" s="22"/>
      <c r="J89" s="22"/>
      <c r="K89" s="22"/>
      <c r="L89" s="22"/>
      <c r="M89" s="22"/>
      <c r="N89" s="22"/>
      <c r="O89" s="22"/>
      <c r="P89" s="22"/>
      <c r="Q89" s="22"/>
      <c r="R89" s="22"/>
      <c r="S89" s="22"/>
      <c r="T89" s="22"/>
      <c r="U89" s="22"/>
      <c r="V89" s="22"/>
      <c r="W89" s="22"/>
      <c r="X89" s="22"/>
      <c r="Y89" s="22"/>
      <c r="Z89" s="22"/>
      <c r="AA89" s="22"/>
      <c r="AB89" s="22"/>
      <c r="AC89" s="22"/>
      <c r="AD89" s="22"/>
      <c r="AE89" s="22"/>
      <c r="AF89" s="22"/>
      <c r="AG89" s="22"/>
      <c r="AH89" s="22"/>
      <c r="AI89" s="22"/>
      <c r="AJ89" s="22"/>
      <c r="AK89" s="22"/>
      <c r="AL89" s="22"/>
      <c r="AM89" s="22"/>
      <c r="AN89" s="22"/>
      <c r="AO89" s="22"/>
      <c r="AP89" s="22"/>
      <c r="AQ89" s="22"/>
      <c r="AR89" s="22"/>
      <c r="AS89" s="22"/>
      <c r="AT89" s="22"/>
      <c r="AU89" s="22"/>
      <c r="AV89" s="22"/>
      <c r="AW89" s="22"/>
    </row>
    <row r="90" spans="2:49" x14ac:dyDescent="0.15">
      <c r="B90" s="22"/>
      <c r="C90" s="22"/>
      <c r="D90" s="22"/>
      <c r="E90" s="22"/>
      <c r="F90" s="22"/>
      <c r="G90" s="22"/>
      <c r="H90" s="22"/>
      <c r="I90" s="22"/>
      <c r="J90" s="22"/>
      <c r="K90" s="22"/>
      <c r="L90" s="22"/>
      <c r="M90" s="22"/>
      <c r="N90" s="22"/>
      <c r="O90" s="22"/>
      <c r="P90" s="22"/>
      <c r="Q90" s="22"/>
      <c r="R90" s="22"/>
      <c r="S90" s="22"/>
      <c r="T90" s="22"/>
      <c r="U90" s="22"/>
      <c r="V90" s="22"/>
      <c r="W90" s="22"/>
      <c r="X90" s="22"/>
      <c r="Y90" s="22"/>
      <c r="Z90" s="22"/>
      <c r="AA90" s="22"/>
      <c r="AB90" s="22"/>
      <c r="AC90" s="22"/>
      <c r="AD90" s="22"/>
      <c r="AE90" s="22"/>
      <c r="AF90" s="22"/>
      <c r="AG90" s="22"/>
      <c r="AH90" s="22"/>
      <c r="AI90" s="22"/>
      <c r="AJ90" s="22"/>
      <c r="AK90" s="22"/>
      <c r="AL90" s="22"/>
      <c r="AM90" s="22"/>
      <c r="AN90" s="22"/>
      <c r="AO90" s="22"/>
      <c r="AP90" s="22"/>
      <c r="AQ90" s="22"/>
      <c r="AR90" s="22"/>
      <c r="AS90" s="22"/>
      <c r="AT90" s="22"/>
      <c r="AU90" s="22"/>
      <c r="AV90" s="22"/>
      <c r="AW90" s="22"/>
    </row>
    <row r="91" spans="2:49" x14ac:dyDescent="0.15">
      <c r="B91" s="22"/>
      <c r="C91" s="22"/>
      <c r="D91" s="22"/>
      <c r="E91" s="22"/>
      <c r="F91" s="22"/>
      <c r="G91" s="22"/>
      <c r="H91" s="22"/>
      <c r="I91" s="22"/>
      <c r="J91" s="22"/>
      <c r="K91" s="22"/>
      <c r="L91" s="22"/>
      <c r="M91" s="22"/>
      <c r="N91" s="22"/>
      <c r="O91" s="22"/>
      <c r="P91" s="22"/>
      <c r="Q91" s="22"/>
      <c r="R91" s="22"/>
      <c r="S91" s="22"/>
      <c r="T91" s="22"/>
      <c r="U91" s="22"/>
      <c r="V91" s="22"/>
      <c r="W91" s="22"/>
      <c r="X91" s="22"/>
      <c r="Y91" s="22"/>
      <c r="Z91" s="22"/>
      <c r="AA91" s="22"/>
      <c r="AB91" s="22"/>
      <c r="AC91" s="22"/>
      <c r="AD91" s="22"/>
      <c r="AE91" s="22"/>
      <c r="AF91" s="22"/>
      <c r="AG91" s="22"/>
      <c r="AH91" s="22"/>
      <c r="AI91" s="22"/>
      <c r="AJ91" s="22"/>
      <c r="AK91" s="22"/>
      <c r="AL91" s="22"/>
      <c r="AM91" s="22"/>
      <c r="AN91" s="22"/>
      <c r="AO91" s="22"/>
      <c r="AP91" s="22"/>
      <c r="AQ91" s="22"/>
      <c r="AR91" s="22"/>
      <c r="AS91" s="22"/>
      <c r="AT91" s="22"/>
      <c r="AU91" s="22"/>
      <c r="AV91" s="22"/>
      <c r="AW91" s="22"/>
    </row>
    <row r="92" spans="2:49" x14ac:dyDescent="0.15">
      <c r="B92" s="22"/>
      <c r="C92" s="22"/>
      <c r="D92" s="22"/>
      <c r="E92" s="22"/>
      <c r="F92" s="22"/>
      <c r="G92" s="22"/>
      <c r="H92" s="22"/>
      <c r="I92" s="22"/>
      <c r="J92" s="22"/>
      <c r="K92" s="22"/>
      <c r="L92" s="22"/>
      <c r="M92" s="22"/>
      <c r="N92" s="22"/>
      <c r="O92" s="22"/>
      <c r="P92" s="22"/>
      <c r="Q92" s="22"/>
      <c r="R92" s="22"/>
      <c r="S92" s="22"/>
      <c r="T92" s="22"/>
      <c r="U92" s="22"/>
      <c r="V92" s="22"/>
      <c r="W92" s="22"/>
      <c r="X92" s="22"/>
      <c r="Y92" s="22"/>
      <c r="Z92" s="22"/>
      <c r="AA92" s="22"/>
      <c r="AB92" s="22"/>
      <c r="AC92" s="22"/>
      <c r="AD92" s="22"/>
      <c r="AE92" s="22"/>
      <c r="AF92" s="22"/>
      <c r="AG92" s="22"/>
      <c r="AH92" s="22"/>
      <c r="AI92" s="22"/>
      <c r="AJ92" s="22"/>
      <c r="AK92" s="22"/>
      <c r="AL92" s="22"/>
      <c r="AM92" s="22"/>
      <c r="AN92" s="22"/>
      <c r="AO92" s="22"/>
      <c r="AP92" s="22"/>
      <c r="AQ92" s="22"/>
      <c r="AR92" s="22"/>
      <c r="AS92" s="22"/>
      <c r="AT92" s="22"/>
      <c r="AU92" s="22"/>
      <c r="AV92" s="22"/>
      <c r="AW92" s="22"/>
    </row>
    <row r="93" spans="2:49" x14ac:dyDescent="0.15">
      <c r="B93" s="22"/>
      <c r="C93" s="22"/>
      <c r="D93" s="22"/>
      <c r="E93" s="22"/>
      <c r="F93" s="22"/>
      <c r="G93" s="22"/>
      <c r="H93" s="22"/>
      <c r="I93" s="22"/>
      <c r="J93" s="22"/>
      <c r="K93" s="22"/>
      <c r="L93" s="22"/>
      <c r="M93" s="22"/>
      <c r="N93" s="22"/>
      <c r="O93" s="22"/>
      <c r="P93" s="22"/>
      <c r="Q93" s="22"/>
      <c r="R93" s="22"/>
      <c r="S93" s="22"/>
      <c r="T93" s="22"/>
      <c r="U93" s="22"/>
      <c r="V93" s="22"/>
      <c r="W93" s="22"/>
      <c r="X93" s="22"/>
      <c r="Y93" s="22"/>
      <c r="Z93" s="22"/>
      <c r="AA93" s="22"/>
      <c r="AB93" s="22"/>
      <c r="AC93" s="22"/>
      <c r="AD93" s="22"/>
      <c r="AE93" s="22"/>
      <c r="AF93" s="22"/>
      <c r="AG93" s="22"/>
      <c r="AH93" s="22"/>
      <c r="AI93" s="22"/>
      <c r="AJ93" s="22"/>
      <c r="AK93" s="22"/>
      <c r="AL93" s="22"/>
      <c r="AM93" s="22"/>
      <c r="AN93" s="22"/>
      <c r="AO93" s="22"/>
      <c r="AP93" s="22"/>
      <c r="AQ93" s="22"/>
      <c r="AR93" s="22"/>
      <c r="AS93" s="22"/>
      <c r="AT93" s="22"/>
      <c r="AU93" s="22"/>
      <c r="AV93" s="22"/>
      <c r="AW93" s="22"/>
    </row>
    <row r="94" spans="2:49" x14ac:dyDescent="0.15">
      <c r="B94" s="22"/>
      <c r="C94" s="22"/>
      <c r="D94" s="22"/>
      <c r="E94" s="22"/>
      <c r="F94" s="22"/>
      <c r="G94" s="22"/>
      <c r="H94" s="22"/>
      <c r="I94" s="22"/>
      <c r="J94" s="22"/>
      <c r="K94" s="22"/>
      <c r="L94" s="22"/>
      <c r="M94" s="22"/>
      <c r="N94" s="22"/>
      <c r="O94" s="22"/>
      <c r="P94" s="22"/>
      <c r="Q94" s="22"/>
      <c r="R94" s="22"/>
      <c r="S94" s="22"/>
      <c r="T94" s="22"/>
      <c r="U94" s="22"/>
      <c r="V94" s="22"/>
      <c r="W94" s="22"/>
      <c r="X94" s="22"/>
      <c r="Y94" s="22"/>
      <c r="Z94" s="22"/>
      <c r="AA94" s="22"/>
      <c r="AB94" s="22"/>
      <c r="AC94" s="22"/>
      <c r="AD94" s="22"/>
      <c r="AE94" s="22"/>
      <c r="AF94" s="22"/>
      <c r="AG94" s="22"/>
      <c r="AH94" s="22"/>
      <c r="AI94" s="22"/>
      <c r="AJ94" s="22"/>
      <c r="AK94" s="22"/>
      <c r="AL94" s="22"/>
      <c r="AM94" s="22"/>
      <c r="AN94" s="22"/>
      <c r="AO94" s="22"/>
      <c r="AP94" s="22"/>
      <c r="AQ94" s="22"/>
      <c r="AR94" s="22"/>
      <c r="AS94" s="22"/>
      <c r="AT94" s="22"/>
      <c r="AU94" s="22"/>
      <c r="AV94" s="22"/>
      <c r="AW94" s="22"/>
    </row>
    <row r="95" spans="2:49" x14ac:dyDescent="0.15">
      <c r="B95" s="22"/>
      <c r="C95" s="22"/>
      <c r="D95" s="22"/>
      <c r="E95" s="22"/>
      <c r="F95" s="22"/>
      <c r="G95" s="22"/>
      <c r="H95" s="22"/>
      <c r="I95" s="22"/>
      <c r="J95" s="22"/>
      <c r="K95" s="22"/>
      <c r="L95" s="22"/>
      <c r="M95" s="22"/>
      <c r="N95" s="22"/>
      <c r="O95" s="22"/>
      <c r="P95" s="22"/>
      <c r="Q95" s="22"/>
      <c r="R95" s="22"/>
      <c r="S95" s="22"/>
      <c r="T95" s="22"/>
      <c r="U95" s="22"/>
      <c r="V95" s="22"/>
      <c r="W95" s="22"/>
      <c r="X95" s="22"/>
      <c r="Y95" s="22"/>
      <c r="Z95" s="22"/>
      <c r="AA95" s="22"/>
      <c r="AB95" s="22"/>
      <c r="AC95" s="22"/>
      <c r="AD95" s="22"/>
      <c r="AE95" s="22"/>
      <c r="AF95" s="22"/>
      <c r="AG95" s="22"/>
      <c r="AH95" s="22"/>
      <c r="AI95" s="22"/>
      <c r="AJ95" s="22"/>
      <c r="AK95" s="22"/>
      <c r="AL95" s="22"/>
      <c r="AM95" s="22"/>
      <c r="AN95" s="22"/>
      <c r="AO95" s="22"/>
      <c r="AP95" s="22"/>
      <c r="AQ95" s="22"/>
      <c r="AR95" s="22"/>
      <c r="AS95" s="22"/>
      <c r="AT95" s="22"/>
      <c r="AU95" s="22"/>
      <c r="AV95" s="22"/>
      <c r="AW95" s="22"/>
    </row>
    <row r="96" spans="2:49" x14ac:dyDescent="0.15">
      <c r="B96" s="22"/>
      <c r="C96" s="22"/>
      <c r="D96" s="22"/>
      <c r="E96" s="22"/>
      <c r="F96" s="22"/>
      <c r="G96" s="22"/>
      <c r="H96" s="22"/>
      <c r="I96" s="22"/>
      <c r="J96" s="22"/>
      <c r="K96" s="22"/>
      <c r="L96" s="22"/>
      <c r="M96" s="22"/>
      <c r="N96" s="22"/>
      <c r="O96" s="22"/>
      <c r="P96" s="22"/>
      <c r="Q96" s="22"/>
      <c r="R96" s="22"/>
      <c r="S96" s="22"/>
      <c r="T96" s="22"/>
      <c r="U96" s="22"/>
      <c r="V96" s="22"/>
      <c r="W96" s="22"/>
      <c r="X96" s="22"/>
      <c r="Y96" s="22"/>
      <c r="Z96" s="22"/>
      <c r="AA96" s="22"/>
      <c r="AB96" s="22"/>
      <c r="AC96" s="22"/>
      <c r="AD96" s="22"/>
      <c r="AE96" s="22"/>
      <c r="AF96" s="22"/>
      <c r="AG96" s="22"/>
      <c r="AH96" s="22"/>
      <c r="AI96" s="22"/>
      <c r="AJ96" s="22"/>
      <c r="AK96" s="22"/>
      <c r="AL96" s="22"/>
      <c r="AM96" s="22"/>
      <c r="AN96" s="22"/>
      <c r="AO96" s="22"/>
      <c r="AP96" s="22"/>
      <c r="AQ96" s="22"/>
      <c r="AR96" s="22"/>
      <c r="AS96" s="22"/>
      <c r="AT96" s="22"/>
      <c r="AU96" s="22"/>
      <c r="AV96" s="22"/>
      <c r="AW96" s="22"/>
    </row>
    <row r="97" spans="2:49" x14ac:dyDescent="0.15">
      <c r="B97" s="22"/>
      <c r="C97" s="22"/>
      <c r="D97" s="22"/>
      <c r="E97" s="22"/>
      <c r="F97" s="22"/>
      <c r="G97" s="22"/>
      <c r="H97" s="22"/>
      <c r="I97" s="22"/>
      <c r="J97" s="22"/>
      <c r="K97" s="22"/>
      <c r="L97" s="22"/>
      <c r="M97" s="22"/>
      <c r="N97" s="22"/>
      <c r="O97" s="22"/>
      <c r="P97" s="22"/>
      <c r="Q97" s="22"/>
      <c r="R97" s="22"/>
      <c r="S97" s="22"/>
      <c r="T97" s="22"/>
      <c r="U97" s="22"/>
      <c r="V97" s="22"/>
      <c r="W97" s="22"/>
      <c r="X97" s="22"/>
      <c r="Y97" s="22"/>
      <c r="Z97" s="22"/>
      <c r="AA97" s="22"/>
      <c r="AB97" s="22"/>
      <c r="AC97" s="22"/>
      <c r="AD97" s="22"/>
      <c r="AE97" s="22"/>
      <c r="AF97" s="22"/>
      <c r="AG97" s="22"/>
      <c r="AH97" s="22"/>
      <c r="AI97" s="22"/>
      <c r="AJ97" s="22"/>
      <c r="AK97" s="22"/>
      <c r="AL97" s="22"/>
      <c r="AM97" s="22"/>
      <c r="AN97" s="22"/>
      <c r="AO97" s="22"/>
      <c r="AP97" s="22"/>
      <c r="AQ97" s="22"/>
      <c r="AR97" s="22"/>
      <c r="AS97" s="22"/>
      <c r="AT97" s="22"/>
      <c r="AU97" s="22"/>
      <c r="AV97" s="22"/>
      <c r="AW97" s="22"/>
    </row>
    <row r="98" spans="2:49" x14ac:dyDescent="0.15">
      <c r="B98" s="22"/>
      <c r="C98" s="22"/>
      <c r="D98" s="22"/>
      <c r="E98" s="22"/>
      <c r="F98" s="22"/>
      <c r="G98" s="22"/>
      <c r="H98" s="22"/>
      <c r="I98" s="22"/>
      <c r="J98" s="22"/>
      <c r="K98" s="22"/>
      <c r="L98" s="22"/>
      <c r="M98" s="22"/>
      <c r="N98" s="22"/>
      <c r="O98" s="22"/>
      <c r="P98" s="22"/>
      <c r="Q98" s="22"/>
      <c r="R98" s="22"/>
      <c r="S98" s="22"/>
      <c r="T98" s="22"/>
      <c r="U98" s="22"/>
      <c r="V98" s="22"/>
      <c r="W98" s="22"/>
      <c r="X98" s="22"/>
      <c r="Y98" s="22"/>
      <c r="Z98" s="22"/>
      <c r="AA98" s="22"/>
      <c r="AB98" s="22"/>
      <c r="AC98" s="22"/>
      <c r="AD98" s="22"/>
      <c r="AE98" s="22"/>
      <c r="AF98" s="22"/>
      <c r="AG98" s="22"/>
      <c r="AH98" s="22"/>
      <c r="AI98" s="22"/>
      <c r="AJ98" s="22"/>
      <c r="AK98" s="22"/>
      <c r="AL98" s="22"/>
      <c r="AM98" s="22"/>
      <c r="AN98" s="22"/>
      <c r="AO98" s="22"/>
      <c r="AP98" s="22"/>
      <c r="AQ98" s="22"/>
      <c r="AR98" s="22"/>
      <c r="AS98" s="22"/>
      <c r="AT98" s="22"/>
      <c r="AU98" s="22"/>
      <c r="AV98" s="22"/>
      <c r="AW98" s="22"/>
    </row>
    <row r="99" spans="2:49" x14ac:dyDescent="0.15">
      <c r="B99" s="22"/>
      <c r="C99" s="22"/>
      <c r="D99" s="22"/>
      <c r="E99" s="22"/>
      <c r="F99" s="22"/>
      <c r="G99" s="22"/>
      <c r="H99" s="22"/>
      <c r="I99" s="22"/>
      <c r="J99" s="22"/>
      <c r="K99" s="22"/>
      <c r="L99" s="22"/>
      <c r="M99" s="22"/>
      <c r="N99" s="22"/>
      <c r="O99" s="22"/>
      <c r="P99" s="22"/>
      <c r="Q99" s="22"/>
      <c r="R99" s="22"/>
      <c r="S99" s="22"/>
      <c r="T99" s="22"/>
      <c r="U99" s="22"/>
      <c r="V99" s="22"/>
      <c r="W99" s="22"/>
      <c r="X99" s="22"/>
      <c r="Y99" s="22"/>
      <c r="Z99" s="22"/>
      <c r="AA99" s="22"/>
      <c r="AB99" s="22"/>
      <c r="AC99" s="22"/>
      <c r="AD99" s="22"/>
      <c r="AE99" s="22"/>
      <c r="AF99" s="22"/>
      <c r="AG99" s="22"/>
      <c r="AH99" s="22"/>
      <c r="AI99" s="22"/>
      <c r="AJ99" s="22"/>
      <c r="AK99" s="22"/>
      <c r="AL99" s="22"/>
      <c r="AM99" s="22"/>
      <c r="AN99" s="22"/>
      <c r="AO99" s="22"/>
      <c r="AP99" s="22"/>
      <c r="AQ99" s="22"/>
      <c r="AR99" s="22"/>
      <c r="AS99" s="22"/>
      <c r="AT99" s="22"/>
      <c r="AU99" s="22"/>
      <c r="AV99" s="22"/>
      <c r="AW99" s="22"/>
    </row>
    <row r="100" spans="2:49" x14ac:dyDescent="0.15">
      <c r="B100" s="22"/>
      <c r="C100" s="22"/>
      <c r="D100" s="22"/>
      <c r="E100" s="22"/>
      <c r="F100" s="22"/>
      <c r="G100" s="22"/>
      <c r="H100" s="22"/>
      <c r="I100" s="22"/>
      <c r="J100" s="22"/>
      <c r="K100" s="22"/>
      <c r="L100" s="22"/>
      <c r="M100" s="22"/>
      <c r="N100" s="22"/>
      <c r="O100" s="22"/>
      <c r="P100" s="22"/>
      <c r="Q100" s="22"/>
      <c r="R100" s="22"/>
      <c r="S100" s="22"/>
      <c r="T100" s="22"/>
      <c r="U100" s="22"/>
      <c r="V100" s="22"/>
      <c r="W100" s="22"/>
      <c r="X100" s="22"/>
      <c r="Y100" s="22"/>
      <c r="Z100" s="22"/>
      <c r="AA100" s="22"/>
      <c r="AB100" s="22"/>
      <c r="AC100" s="22"/>
      <c r="AD100" s="22"/>
      <c r="AE100" s="22"/>
      <c r="AF100" s="22"/>
      <c r="AG100" s="22"/>
      <c r="AH100" s="22"/>
      <c r="AI100" s="22"/>
      <c r="AJ100" s="22"/>
      <c r="AK100" s="22"/>
      <c r="AL100" s="22"/>
      <c r="AM100" s="22"/>
      <c r="AN100" s="22"/>
      <c r="AO100" s="22"/>
      <c r="AP100" s="22"/>
      <c r="AQ100" s="22"/>
      <c r="AR100" s="22"/>
      <c r="AS100" s="22"/>
      <c r="AT100" s="22"/>
      <c r="AU100" s="22"/>
      <c r="AV100" s="22"/>
      <c r="AW100" s="22"/>
    </row>
    <row r="101" spans="2:49" x14ac:dyDescent="0.15">
      <c r="B101" s="22"/>
      <c r="C101" s="22"/>
      <c r="D101" s="22"/>
      <c r="E101" s="22"/>
      <c r="F101" s="22"/>
      <c r="G101" s="22"/>
      <c r="H101" s="22"/>
      <c r="I101" s="22"/>
      <c r="J101" s="22"/>
      <c r="K101" s="22"/>
      <c r="L101" s="22"/>
      <c r="M101" s="22"/>
      <c r="N101" s="22"/>
      <c r="O101" s="22"/>
      <c r="P101" s="22"/>
      <c r="Q101" s="22"/>
      <c r="R101" s="22"/>
      <c r="S101" s="22"/>
      <c r="T101" s="22"/>
      <c r="U101" s="22"/>
      <c r="V101" s="22"/>
      <c r="W101" s="22"/>
      <c r="X101" s="22"/>
      <c r="Y101" s="22"/>
      <c r="Z101" s="22"/>
      <c r="AA101" s="22"/>
      <c r="AB101" s="22"/>
      <c r="AC101" s="22"/>
      <c r="AD101" s="22"/>
      <c r="AE101" s="22"/>
      <c r="AF101" s="22"/>
      <c r="AG101" s="22"/>
      <c r="AH101" s="22"/>
      <c r="AI101" s="22"/>
      <c r="AJ101" s="22"/>
      <c r="AK101" s="22"/>
      <c r="AL101" s="22"/>
      <c r="AM101" s="22"/>
      <c r="AN101" s="22"/>
      <c r="AO101" s="22"/>
      <c r="AP101" s="22"/>
      <c r="AQ101" s="22"/>
      <c r="AR101" s="22"/>
      <c r="AS101" s="22"/>
      <c r="AT101" s="22"/>
      <c r="AU101" s="22"/>
      <c r="AV101" s="22"/>
      <c r="AW101" s="22"/>
    </row>
    <row r="102" spans="2:49" x14ac:dyDescent="0.15">
      <c r="B102" s="22"/>
      <c r="C102" s="22"/>
      <c r="D102" s="22"/>
      <c r="E102" s="22"/>
      <c r="F102" s="22"/>
      <c r="G102" s="22"/>
      <c r="H102" s="22"/>
      <c r="I102" s="22"/>
      <c r="J102" s="22"/>
      <c r="K102" s="22"/>
      <c r="L102" s="22"/>
      <c r="M102" s="22"/>
      <c r="N102" s="22"/>
      <c r="O102" s="22"/>
      <c r="P102" s="22"/>
      <c r="Q102" s="22"/>
      <c r="R102" s="22"/>
      <c r="S102" s="22"/>
      <c r="T102" s="22"/>
      <c r="U102" s="22"/>
      <c r="V102" s="22"/>
      <c r="W102" s="22"/>
      <c r="X102" s="22"/>
      <c r="Y102" s="22"/>
      <c r="Z102" s="22"/>
      <c r="AA102" s="22"/>
      <c r="AB102" s="22"/>
      <c r="AC102" s="22"/>
      <c r="AD102" s="22"/>
      <c r="AE102" s="22"/>
      <c r="AF102" s="22"/>
      <c r="AG102" s="22"/>
      <c r="AH102" s="22"/>
      <c r="AI102" s="22"/>
      <c r="AJ102" s="22"/>
      <c r="AK102" s="22"/>
      <c r="AL102" s="22"/>
      <c r="AM102" s="22"/>
      <c r="AN102" s="22"/>
      <c r="AO102" s="22"/>
      <c r="AP102" s="22"/>
      <c r="AQ102" s="22"/>
      <c r="AR102" s="22"/>
      <c r="AS102" s="22"/>
      <c r="AT102" s="22"/>
      <c r="AU102" s="22"/>
      <c r="AV102" s="22"/>
      <c r="AW102" s="22"/>
    </row>
    <row r="103" spans="2:49" x14ac:dyDescent="0.15">
      <c r="B103" s="22"/>
      <c r="C103" s="22"/>
      <c r="D103" s="22"/>
      <c r="E103" s="22"/>
      <c r="F103" s="22"/>
      <c r="G103" s="22"/>
      <c r="H103" s="22"/>
      <c r="I103" s="22"/>
      <c r="J103" s="22"/>
      <c r="K103" s="22"/>
      <c r="L103" s="22"/>
      <c r="M103" s="22"/>
      <c r="N103" s="22"/>
      <c r="O103" s="22"/>
      <c r="P103" s="22"/>
      <c r="Q103" s="22"/>
      <c r="R103" s="22"/>
      <c r="S103" s="22"/>
      <c r="T103" s="22"/>
      <c r="U103" s="22"/>
      <c r="V103" s="22"/>
      <c r="W103" s="22"/>
      <c r="X103" s="22"/>
      <c r="Y103" s="22"/>
      <c r="Z103" s="22"/>
      <c r="AA103" s="22"/>
      <c r="AB103" s="22"/>
      <c r="AC103" s="22"/>
      <c r="AD103" s="22"/>
      <c r="AE103" s="22"/>
      <c r="AF103" s="22"/>
      <c r="AG103" s="22"/>
      <c r="AH103" s="22"/>
      <c r="AI103" s="22"/>
      <c r="AJ103" s="22"/>
      <c r="AK103" s="22"/>
      <c r="AL103" s="22"/>
      <c r="AM103" s="22"/>
      <c r="AN103" s="22"/>
      <c r="AO103" s="22"/>
      <c r="AP103" s="22"/>
      <c r="AQ103" s="22"/>
      <c r="AR103" s="22"/>
      <c r="AS103" s="22"/>
      <c r="AT103" s="22"/>
      <c r="AU103" s="22"/>
      <c r="AV103" s="22"/>
      <c r="AW103" s="22"/>
    </row>
    <row r="104" spans="2:49" x14ac:dyDescent="0.15">
      <c r="B104" s="22"/>
      <c r="C104" s="22"/>
      <c r="D104" s="22"/>
      <c r="E104" s="22"/>
      <c r="F104" s="22"/>
      <c r="G104" s="22"/>
      <c r="H104" s="22"/>
      <c r="I104" s="22"/>
      <c r="J104" s="22"/>
      <c r="K104" s="22"/>
      <c r="L104" s="22"/>
      <c r="M104" s="22"/>
      <c r="N104" s="22"/>
      <c r="O104" s="22"/>
      <c r="P104" s="22"/>
      <c r="Q104" s="22"/>
      <c r="R104" s="22"/>
      <c r="S104" s="22"/>
      <c r="T104" s="22"/>
      <c r="U104" s="22"/>
      <c r="V104" s="22"/>
      <c r="W104" s="22"/>
      <c r="X104" s="22"/>
      <c r="Y104" s="22"/>
      <c r="Z104" s="22"/>
      <c r="AA104" s="22"/>
      <c r="AB104" s="22"/>
      <c r="AC104" s="22"/>
      <c r="AD104" s="22"/>
      <c r="AE104" s="22"/>
      <c r="AF104" s="22"/>
      <c r="AG104" s="22"/>
      <c r="AH104" s="22"/>
      <c r="AI104" s="22"/>
      <c r="AJ104" s="22"/>
      <c r="AK104" s="22"/>
      <c r="AL104" s="22"/>
      <c r="AM104" s="22"/>
      <c r="AN104" s="22"/>
      <c r="AO104" s="22"/>
      <c r="AP104" s="22"/>
      <c r="AQ104" s="22"/>
      <c r="AR104" s="22"/>
      <c r="AS104" s="22"/>
      <c r="AT104" s="22"/>
      <c r="AU104" s="22"/>
      <c r="AV104" s="22"/>
      <c r="AW104" s="22"/>
    </row>
    <row r="105" spans="2:49" x14ac:dyDescent="0.15">
      <c r="B105" s="22"/>
      <c r="C105" s="22"/>
      <c r="D105" s="22"/>
      <c r="E105" s="22"/>
      <c r="F105" s="22"/>
      <c r="G105" s="22"/>
      <c r="H105" s="22"/>
      <c r="I105" s="22"/>
      <c r="J105" s="22"/>
      <c r="K105" s="22"/>
      <c r="L105" s="22"/>
      <c r="M105" s="22"/>
      <c r="N105" s="22"/>
      <c r="O105" s="22"/>
      <c r="P105" s="22"/>
      <c r="Q105" s="22"/>
      <c r="R105" s="22"/>
      <c r="S105" s="22"/>
      <c r="T105" s="22"/>
      <c r="U105" s="22"/>
      <c r="V105" s="22"/>
      <c r="W105" s="22"/>
      <c r="X105" s="22"/>
      <c r="Y105" s="22"/>
      <c r="Z105" s="22"/>
      <c r="AA105" s="22"/>
      <c r="AB105" s="22"/>
      <c r="AC105" s="22"/>
      <c r="AD105" s="22"/>
      <c r="AE105" s="22"/>
      <c r="AF105" s="22"/>
      <c r="AG105" s="22"/>
      <c r="AH105" s="22"/>
      <c r="AI105" s="22"/>
      <c r="AJ105" s="22"/>
      <c r="AK105" s="22"/>
      <c r="AL105" s="22"/>
      <c r="AM105" s="22"/>
      <c r="AN105" s="22"/>
      <c r="AO105" s="22"/>
      <c r="AP105" s="22"/>
      <c r="AQ105" s="22"/>
      <c r="AR105" s="22"/>
      <c r="AS105" s="22"/>
      <c r="AT105" s="22"/>
      <c r="AU105" s="22"/>
      <c r="AV105" s="22"/>
      <c r="AW105" s="22"/>
    </row>
    <row r="106" spans="2:49" x14ac:dyDescent="0.15">
      <c r="B106" s="22"/>
      <c r="C106" s="22"/>
      <c r="D106" s="22"/>
      <c r="E106" s="22"/>
      <c r="F106" s="22"/>
      <c r="G106" s="22"/>
      <c r="H106" s="22"/>
      <c r="I106" s="22"/>
      <c r="J106" s="22"/>
      <c r="K106" s="22"/>
      <c r="L106" s="22"/>
      <c r="M106" s="22"/>
      <c r="N106" s="22"/>
      <c r="O106" s="22"/>
      <c r="P106" s="22"/>
      <c r="Q106" s="22"/>
      <c r="R106" s="22"/>
      <c r="S106" s="22"/>
      <c r="T106" s="22"/>
      <c r="U106" s="22"/>
      <c r="V106" s="22"/>
      <c r="W106" s="22"/>
      <c r="X106" s="22"/>
      <c r="Y106" s="22"/>
      <c r="Z106" s="22"/>
      <c r="AA106" s="22"/>
      <c r="AB106" s="22"/>
      <c r="AC106" s="22"/>
      <c r="AD106" s="22"/>
      <c r="AE106" s="22"/>
      <c r="AF106" s="22"/>
      <c r="AG106" s="22"/>
      <c r="AH106" s="22"/>
      <c r="AI106" s="22"/>
      <c r="AJ106" s="22"/>
      <c r="AK106" s="22"/>
      <c r="AL106" s="22"/>
      <c r="AM106" s="22"/>
      <c r="AN106" s="22"/>
      <c r="AO106" s="22"/>
      <c r="AP106" s="22"/>
      <c r="AQ106" s="22"/>
      <c r="AR106" s="22"/>
      <c r="AS106" s="22"/>
      <c r="AT106" s="22"/>
      <c r="AU106" s="22"/>
      <c r="AV106" s="22"/>
      <c r="AW106" s="22"/>
    </row>
    <row r="107" spans="2:49" x14ac:dyDescent="0.15">
      <c r="B107" s="22"/>
      <c r="C107" s="22"/>
      <c r="D107" s="22"/>
      <c r="E107" s="22"/>
      <c r="F107" s="22"/>
      <c r="G107" s="22"/>
      <c r="H107" s="22"/>
      <c r="I107" s="22"/>
      <c r="J107" s="22"/>
      <c r="K107" s="22"/>
      <c r="L107" s="22"/>
      <c r="M107" s="22"/>
      <c r="N107" s="22"/>
      <c r="O107" s="22"/>
      <c r="P107" s="22"/>
      <c r="Q107" s="22"/>
      <c r="R107" s="22"/>
      <c r="S107" s="22"/>
      <c r="T107" s="22"/>
      <c r="U107" s="22"/>
      <c r="V107" s="22"/>
      <c r="W107" s="22"/>
      <c r="X107" s="22"/>
      <c r="Y107" s="22"/>
      <c r="Z107" s="22"/>
      <c r="AA107" s="22"/>
      <c r="AB107" s="22"/>
      <c r="AC107" s="22"/>
      <c r="AD107" s="22"/>
      <c r="AE107" s="22"/>
      <c r="AF107" s="22"/>
      <c r="AG107" s="22"/>
      <c r="AH107" s="22"/>
      <c r="AI107" s="22"/>
      <c r="AJ107" s="22"/>
      <c r="AK107" s="22"/>
      <c r="AL107" s="22"/>
      <c r="AM107" s="22"/>
      <c r="AN107" s="22"/>
      <c r="AO107" s="22"/>
      <c r="AP107" s="22"/>
      <c r="AQ107" s="22"/>
      <c r="AR107" s="22"/>
      <c r="AS107" s="22"/>
      <c r="AT107" s="22"/>
      <c r="AU107" s="22"/>
      <c r="AV107" s="22"/>
      <c r="AW107" s="22"/>
    </row>
    <row r="108" spans="2:49" x14ac:dyDescent="0.15">
      <c r="B108" s="22"/>
      <c r="C108" s="22"/>
      <c r="D108" s="22"/>
      <c r="E108" s="22"/>
      <c r="F108" s="22"/>
      <c r="G108" s="22"/>
      <c r="H108" s="22"/>
      <c r="I108" s="22"/>
      <c r="J108" s="22"/>
      <c r="K108" s="22"/>
      <c r="L108" s="22"/>
      <c r="M108" s="22"/>
      <c r="N108" s="22"/>
      <c r="O108" s="22"/>
      <c r="P108" s="22"/>
      <c r="Q108" s="22"/>
      <c r="R108" s="22"/>
      <c r="S108" s="22"/>
      <c r="T108" s="22"/>
      <c r="U108" s="22"/>
      <c r="V108" s="22"/>
      <c r="W108" s="22"/>
      <c r="X108" s="22"/>
      <c r="Y108" s="22"/>
      <c r="Z108" s="22"/>
      <c r="AA108" s="22"/>
      <c r="AB108" s="22"/>
      <c r="AC108" s="22"/>
      <c r="AD108" s="22"/>
      <c r="AE108" s="22"/>
      <c r="AF108" s="22"/>
      <c r="AG108" s="22"/>
      <c r="AH108" s="22"/>
      <c r="AI108" s="22"/>
      <c r="AJ108" s="22"/>
      <c r="AK108" s="22"/>
      <c r="AL108" s="22"/>
      <c r="AM108" s="22"/>
      <c r="AN108" s="22"/>
      <c r="AO108" s="22"/>
      <c r="AP108" s="22"/>
      <c r="AQ108" s="22"/>
      <c r="AR108" s="22"/>
      <c r="AS108" s="22"/>
      <c r="AT108" s="22"/>
      <c r="AU108" s="22"/>
      <c r="AV108" s="22"/>
      <c r="AW108" s="22"/>
    </row>
    <row r="109" spans="2:49" x14ac:dyDescent="0.15">
      <c r="B109" s="22"/>
      <c r="C109" s="22"/>
      <c r="D109" s="22"/>
      <c r="E109" s="22"/>
      <c r="F109" s="22"/>
      <c r="G109" s="22"/>
      <c r="H109" s="22"/>
      <c r="I109" s="22"/>
      <c r="J109" s="22"/>
      <c r="K109" s="22"/>
      <c r="L109" s="22"/>
      <c r="M109" s="22"/>
      <c r="N109" s="22"/>
      <c r="O109" s="22"/>
      <c r="P109" s="22"/>
      <c r="Q109" s="22"/>
      <c r="R109" s="22"/>
      <c r="S109" s="22"/>
      <c r="T109" s="22"/>
      <c r="U109" s="22"/>
      <c r="V109" s="22"/>
      <c r="W109" s="22"/>
      <c r="X109" s="22"/>
      <c r="Y109" s="22"/>
      <c r="Z109" s="22"/>
      <c r="AA109" s="22"/>
      <c r="AB109" s="22"/>
      <c r="AC109" s="22"/>
      <c r="AD109" s="22"/>
      <c r="AE109" s="22"/>
      <c r="AF109" s="22"/>
      <c r="AG109" s="22"/>
      <c r="AH109" s="22"/>
      <c r="AI109" s="22"/>
      <c r="AJ109" s="22"/>
      <c r="AK109" s="22"/>
      <c r="AL109" s="22"/>
      <c r="AM109" s="22"/>
      <c r="AN109" s="22"/>
      <c r="AO109" s="22"/>
      <c r="AP109" s="22"/>
      <c r="AQ109" s="22"/>
      <c r="AR109" s="22"/>
      <c r="AS109" s="22"/>
      <c r="AT109" s="22"/>
      <c r="AU109" s="22"/>
      <c r="AV109" s="22"/>
      <c r="AW109" s="22"/>
    </row>
    <row r="110" spans="2:49" x14ac:dyDescent="0.15">
      <c r="B110" s="22"/>
      <c r="C110" s="22"/>
      <c r="D110" s="22"/>
      <c r="E110" s="22"/>
      <c r="F110" s="22"/>
      <c r="G110" s="22"/>
      <c r="H110" s="22"/>
      <c r="I110" s="22"/>
      <c r="J110" s="22"/>
      <c r="K110" s="22"/>
      <c r="L110" s="22"/>
      <c r="M110" s="22"/>
      <c r="N110" s="22"/>
      <c r="O110" s="22"/>
      <c r="P110" s="22"/>
      <c r="Q110" s="22"/>
      <c r="R110" s="22"/>
      <c r="S110" s="22"/>
      <c r="T110" s="22"/>
      <c r="U110" s="22"/>
      <c r="V110" s="22"/>
      <c r="W110" s="22"/>
      <c r="X110" s="22"/>
      <c r="Y110" s="22"/>
      <c r="Z110" s="22"/>
      <c r="AA110" s="22"/>
      <c r="AB110" s="22"/>
      <c r="AC110" s="22"/>
      <c r="AD110" s="22"/>
      <c r="AE110" s="22"/>
      <c r="AF110" s="22"/>
      <c r="AG110" s="22"/>
      <c r="AH110" s="22"/>
      <c r="AI110" s="22"/>
      <c r="AJ110" s="22"/>
      <c r="AK110" s="22"/>
      <c r="AL110" s="22"/>
      <c r="AM110" s="22"/>
      <c r="AN110" s="22"/>
      <c r="AO110" s="22"/>
      <c r="AP110" s="22"/>
      <c r="AQ110" s="22"/>
      <c r="AR110" s="22"/>
      <c r="AS110" s="22"/>
      <c r="AT110" s="22"/>
      <c r="AU110" s="22"/>
      <c r="AV110" s="22"/>
      <c r="AW110" s="22"/>
    </row>
    <row r="111" spans="2:49" x14ac:dyDescent="0.15">
      <c r="B111" s="22"/>
      <c r="C111" s="22"/>
      <c r="D111" s="22"/>
      <c r="E111" s="22"/>
      <c r="F111" s="22"/>
      <c r="G111" s="22"/>
      <c r="H111" s="22"/>
      <c r="I111" s="22"/>
      <c r="J111" s="22"/>
      <c r="K111" s="22"/>
      <c r="L111" s="22"/>
      <c r="M111" s="22"/>
      <c r="N111" s="22"/>
      <c r="O111" s="22"/>
      <c r="P111" s="22"/>
      <c r="Q111" s="22"/>
      <c r="R111" s="22"/>
      <c r="S111" s="22"/>
      <c r="T111" s="22"/>
      <c r="U111" s="22"/>
      <c r="V111" s="22"/>
      <c r="W111" s="22"/>
      <c r="X111" s="22"/>
      <c r="Y111" s="22"/>
      <c r="Z111" s="22"/>
      <c r="AA111" s="22"/>
      <c r="AB111" s="22"/>
      <c r="AC111" s="22"/>
      <c r="AD111" s="22"/>
      <c r="AE111" s="22"/>
      <c r="AF111" s="22"/>
      <c r="AG111" s="22"/>
      <c r="AH111" s="22"/>
      <c r="AI111" s="22"/>
      <c r="AJ111" s="22"/>
      <c r="AK111" s="22"/>
      <c r="AL111" s="22"/>
      <c r="AM111" s="22"/>
      <c r="AN111" s="22"/>
      <c r="AO111" s="22"/>
      <c r="AP111" s="22"/>
      <c r="AQ111" s="22"/>
      <c r="AR111" s="22"/>
      <c r="AS111" s="22"/>
      <c r="AT111" s="22"/>
      <c r="AU111" s="22"/>
      <c r="AV111" s="22"/>
      <c r="AW111" s="22"/>
    </row>
    <row r="112" spans="2:49" x14ac:dyDescent="0.15">
      <c r="B112" s="22"/>
      <c r="C112" s="22"/>
      <c r="D112" s="22"/>
      <c r="E112" s="22"/>
      <c r="F112" s="22"/>
      <c r="G112" s="22"/>
      <c r="H112" s="22"/>
      <c r="I112" s="22"/>
      <c r="J112" s="22"/>
      <c r="K112" s="22"/>
      <c r="L112" s="22"/>
      <c r="M112" s="22"/>
      <c r="N112" s="22"/>
      <c r="O112" s="22"/>
      <c r="P112" s="22"/>
      <c r="Q112" s="22"/>
      <c r="R112" s="22"/>
      <c r="S112" s="22"/>
      <c r="T112" s="22"/>
      <c r="U112" s="22"/>
      <c r="V112" s="22"/>
      <c r="W112" s="22"/>
      <c r="X112" s="22"/>
      <c r="Y112" s="22"/>
      <c r="Z112" s="22"/>
      <c r="AA112" s="22"/>
      <c r="AB112" s="22"/>
      <c r="AC112" s="22"/>
      <c r="AD112" s="22"/>
      <c r="AE112" s="22"/>
      <c r="AF112" s="22"/>
      <c r="AG112" s="22"/>
      <c r="AH112" s="22"/>
      <c r="AI112" s="22"/>
      <c r="AJ112" s="22"/>
      <c r="AK112" s="22"/>
      <c r="AL112" s="22"/>
      <c r="AM112" s="22"/>
      <c r="AN112" s="22"/>
      <c r="AO112" s="22"/>
      <c r="AP112" s="22"/>
      <c r="AQ112" s="22"/>
      <c r="AR112" s="22"/>
      <c r="AS112" s="22"/>
      <c r="AT112" s="22"/>
      <c r="AU112" s="22"/>
      <c r="AV112" s="22"/>
      <c r="AW112" s="22"/>
    </row>
    <row r="113" spans="2:49" x14ac:dyDescent="0.15">
      <c r="B113" s="22"/>
      <c r="C113" s="22"/>
      <c r="D113" s="22"/>
      <c r="E113" s="22"/>
      <c r="F113" s="22"/>
      <c r="G113" s="22"/>
      <c r="H113" s="22"/>
      <c r="I113" s="22"/>
      <c r="J113" s="22"/>
      <c r="K113" s="22"/>
      <c r="L113" s="22"/>
      <c r="M113" s="22"/>
      <c r="N113" s="22"/>
      <c r="O113" s="22"/>
      <c r="P113" s="22"/>
      <c r="Q113" s="22"/>
      <c r="R113" s="22"/>
      <c r="S113" s="22"/>
      <c r="T113" s="22"/>
      <c r="U113" s="22"/>
      <c r="V113" s="22"/>
      <c r="W113" s="22"/>
      <c r="X113" s="22"/>
      <c r="Y113" s="22"/>
      <c r="Z113" s="22"/>
      <c r="AA113" s="22"/>
      <c r="AB113" s="22"/>
      <c r="AC113" s="22"/>
      <c r="AD113" s="22"/>
      <c r="AE113" s="22"/>
      <c r="AF113" s="22"/>
      <c r="AG113" s="22"/>
      <c r="AH113" s="22"/>
      <c r="AI113" s="22"/>
      <c r="AJ113" s="22"/>
      <c r="AK113" s="22"/>
      <c r="AL113" s="22"/>
      <c r="AM113" s="22"/>
      <c r="AN113" s="22"/>
      <c r="AO113" s="22"/>
      <c r="AP113" s="22"/>
      <c r="AQ113" s="22"/>
      <c r="AR113" s="22"/>
      <c r="AS113" s="22"/>
      <c r="AT113" s="22"/>
      <c r="AU113" s="22"/>
      <c r="AV113" s="22"/>
      <c r="AW113" s="22"/>
    </row>
    <row r="114" spans="2:49" x14ac:dyDescent="0.15">
      <c r="B114" s="22"/>
      <c r="C114" s="22"/>
      <c r="D114" s="22"/>
      <c r="E114" s="22"/>
      <c r="F114" s="22"/>
      <c r="G114" s="22"/>
      <c r="H114" s="22"/>
      <c r="I114" s="22"/>
      <c r="J114" s="22"/>
      <c r="K114" s="22"/>
      <c r="L114" s="22"/>
      <c r="M114" s="22"/>
      <c r="N114" s="22"/>
      <c r="O114" s="22"/>
      <c r="P114" s="22"/>
      <c r="Q114" s="22"/>
      <c r="R114" s="22"/>
      <c r="S114" s="22"/>
      <c r="T114" s="22"/>
      <c r="U114" s="22"/>
      <c r="V114" s="22"/>
      <c r="W114" s="22"/>
      <c r="X114" s="22"/>
      <c r="Y114" s="22"/>
      <c r="Z114" s="22"/>
      <c r="AA114" s="22"/>
      <c r="AB114" s="22"/>
      <c r="AC114" s="22"/>
      <c r="AD114" s="22"/>
      <c r="AE114" s="22"/>
      <c r="AF114" s="22"/>
      <c r="AG114" s="22"/>
      <c r="AH114" s="22"/>
      <c r="AI114" s="22"/>
      <c r="AJ114" s="22"/>
      <c r="AK114" s="22"/>
      <c r="AL114" s="22"/>
      <c r="AM114" s="22"/>
      <c r="AN114" s="22"/>
      <c r="AO114" s="22"/>
      <c r="AP114" s="22"/>
      <c r="AQ114" s="22"/>
      <c r="AR114" s="22"/>
      <c r="AS114" s="22"/>
      <c r="AT114" s="22"/>
      <c r="AU114" s="22"/>
      <c r="AV114" s="22"/>
      <c r="AW114" s="22"/>
    </row>
    <row r="115" spans="2:49" x14ac:dyDescent="0.15">
      <c r="B115" s="22"/>
      <c r="C115" s="22"/>
      <c r="D115" s="22"/>
      <c r="E115" s="22"/>
      <c r="F115" s="22"/>
      <c r="G115" s="22"/>
      <c r="H115" s="22"/>
      <c r="I115" s="22"/>
      <c r="J115" s="22"/>
      <c r="K115" s="22"/>
      <c r="L115" s="22"/>
      <c r="M115" s="22"/>
      <c r="N115" s="22"/>
      <c r="O115" s="22"/>
      <c r="P115" s="22"/>
      <c r="Q115" s="22"/>
      <c r="R115" s="22"/>
      <c r="S115" s="22"/>
      <c r="T115" s="22"/>
      <c r="U115" s="22"/>
      <c r="V115" s="22"/>
      <c r="W115" s="22"/>
      <c r="X115" s="22"/>
      <c r="Y115" s="22"/>
      <c r="Z115" s="22"/>
      <c r="AA115" s="22"/>
      <c r="AB115" s="22"/>
      <c r="AC115" s="22"/>
      <c r="AD115" s="22"/>
      <c r="AE115" s="22"/>
      <c r="AF115" s="22"/>
      <c r="AG115" s="22"/>
      <c r="AH115" s="22"/>
      <c r="AI115" s="22"/>
      <c r="AJ115" s="22"/>
      <c r="AK115" s="22"/>
      <c r="AL115" s="22"/>
      <c r="AM115" s="22"/>
      <c r="AN115" s="22"/>
      <c r="AO115" s="22"/>
      <c r="AP115" s="22"/>
      <c r="AQ115" s="22"/>
      <c r="AR115" s="22"/>
      <c r="AS115" s="22"/>
      <c r="AT115" s="22"/>
      <c r="AU115" s="22"/>
      <c r="AV115" s="22"/>
      <c r="AW115" s="22"/>
    </row>
    <row r="116" spans="2:49" x14ac:dyDescent="0.15">
      <c r="B116" s="22"/>
      <c r="C116" s="22"/>
      <c r="D116" s="22"/>
      <c r="E116" s="22"/>
      <c r="F116" s="22"/>
      <c r="G116" s="22"/>
      <c r="H116" s="22"/>
      <c r="I116" s="22"/>
      <c r="J116" s="22"/>
      <c r="K116" s="22"/>
      <c r="L116" s="22"/>
      <c r="M116" s="22"/>
      <c r="N116" s="22"/>
      <c r="O116" s="22"/>
      <c r="P116" s="22"/>
      <c r="Q116" s="22"/>
      <c r="R116" s="22"/>
      <c r="S116" s="22"/>
      <c r="T116" s="22"/>
      <c r="U116" s="22"/>
      <c r="V116" s="22"/>
      <c r="W116" s="22"/>
      <c r="X116" s="22"/>
      <c r="Y116" s="22"/>
      <c r="Z116" s="22"/>
      <c r="AA116" s="22"/>
      <c r="AB116" s="22"/>
      <c r="AC116" s="22"/>
      <c r="AD116" s="22"/>
      <c r="AE116" s="22"/>
      <c r="AF116" s="22"/>
      <c r="AG116" s="22"/>
      <c r="AH116" s="22"/>
      <c r="AI116" s="22"/>
      <c r="AJ116" s="22"/>
      <c r="AK116" s="22"/>
      <c r="AL116" s="22"/>
      <c r="AM116" s="22"/>
      <c r="AN116" s="22"/>
      <c r="AO116" s="22"/>
      <c r="AP116" s="22"/>
      <c r="AQ116" s="22"/>
      <c r="AR116" s="22"/>
      <c r="AS116" s="22"/>
      <c r="AT116" s="22"/>
      <c r="AU116" s="22"/>
      <c r="AV116" s="22"/>
      <c r="AW116" s="22"/>
    </row>
    <row r="117" spans="2:49" x14ac:dyDescent="0.15">
      <c r="B117" s="22"/>
      <c r="C117" s="22"/>
      <c r="D117" s="22"/>
      <c r="E117" s="22"/>
      <c r="F117" s="22"/>
      <c r="G117" s="22"/>
      <c r="H117" s="22"/>
      <c r="I117" s="22"/>
      <c r="J117" s="22"/>
      <c r="K117" s="22"/>
      <c r="L117" s="22"/>
      <c r="M117" s="22"/>
      <c r="N117" s="22"/>
      <c r="O117" s="22"/>
      <c r="P117" s="22"/>
      <c r="Q117" s="22"/>
      <c r="R117" s="22"/>
      <c r="S117" s="22"/>
      <c r="T117" s="22"/>
      <c r="U117" s="22"/>
      <c r="V117" s="22"/>
      <c r="W117" s="22"/>
      <c r="X117" s="22"/>
      <c r="Y117" s="22"/>
      <c r="Z117" s="22"/>
      <c r="AA117" s="22"/>
      <c r="AB117" s="22"/>
      <c r="AC117" s="22"/>
      <c r="AD117" s="22"/>
      <c r="AE117" s="22"/>
      <c r="AF117" s="22"/>
      <c r="AG117" s="22"/>
      <c r="AH117" s="22"/>
      <c r="AI117" s="22"/>
      <c r="AJ117" s="22"/>
      <c r="AK117" s="22"/>
      <c r="AL117" s="22"/>
      <c r="AM117" s="22"/>
      <c r="AN117" s="22"/>
      <c r="AO117" s="22"/>
      <c r="AP117" s="22"/>
      <c r="AQ117" s="22"/>
      <c r="AR117" s="22"/>
      <c r="AS117" s="22"/>
      <c r="AT117" s="22"/>
      <c r="AU117" s="22"/>
      <c r="AV117" s="22"/>
      <c r="AW117" s="22"/>
    </row>
    <row r="118" spans="2:49" x14ac:dyDescent="0.15">
      <c r="B118" s="22"/>
      <c r="C118" s="22"/>
      <c r="D118" s="22"/>
      <c r="E118" s="22"/>
      <c r="F118" s="22"/>
      <c r="G118" s="22"/>
      <c r="H118" s="22"/>
      <c r="I118" s="22"/>
      <c r="J118" s="22"/>
      <c r="K118" s="22"/>
      <c r="L118" s="22"/>
      <c r="M118" s="22"/>
      <c r="N118" s="22"/>
      <c r="O118" s="22"/>
      <c r="P118" s="22"/>
      <c r="Q118" s="22"/>
      <c r="R118" s="22"/>
      <c r="S118" s="22"/>
      <c r="T118" s="22"/>
      <c r="U118" s="22"/>
      <c r="V118" s="22"/>
      <c r="W118" s="22"/>
      <c r="X118" s="22"/>
      <c r="Y118" s="22"/>
      <c r="Z118" s="22"/>
      <c r="AA118" s="22"/>
      <c r="AB118" s="22"/>
      <c r="AC118" s="22"/>
      <c r="AD118" s="22"/>
      <c r="AE118" s="22"/>
      <c r="AF118" s="22"/>
      <c r="AG118" s="22"/>
      <c r="AH118" s="22"/>
      <c r="AI118" s="22"/>
      <c r="AJ118" s="22"/>
      <c r="AK118" s="22"/>
      <c r="AL118" s="22"/>
      <c r="AM118" s="22"/>
      <c r="AN118" s="22"/>
      <c r="AO118" s="22"/>
      <c r="AP118" s="22"/>
      <c r="AQ118" s="22"/>
      <c r="AR118" s="22"/>
      <c r="AS118" s="22"/>
      <c r="AT118" s="22"/>
      <c r="AU118" s="22"/>
      <c r="AV118" s="22"/>
      <c r="AW118" s="22"/>
    </row>
    <row r="119" spans="2:49" x14ac:dyDescent="0.15">
      <c r="B119" s="22"/>
      <c r="C119" s="22"/>
      <c r="D119" s="22"/>
      <c r="E119" s="22"/>
      <c r="F119" s="22"/>
      <c r="G119" s="22"/>
      <c r="H119" s="22"/>
      <c r="I119" s="22"/>
      <c r="J119" s="22"/>
      <c r="K119" s="22"/>
      <c r="L119" s="22"/>
      <c r="M119" s="22"/>
      <c r="N119" s="22"/>
      <c r="O119" s="22"/>
      <c r="P119" s="22"/>
      <c r="Q119" s="22"/>
      <c r="R119" s="22"/>
      <c r="S119" s="22"/>
      <c r="T119" s="22"/>
      <c r="U119" s="22"/>
      <c r="V119" s="22"/>
      <c r="W119" s="22"/>
      <c r="X119" s="22"/>
      <c r="Y119" s="22"/>
      <c r="Z119" s="22"/>
      <c r="AA119" s="22"/>
      <c r="AB119" s="22"/>
      <c r="AC119" s="22"/>
      <c r="AD119" s="22"/>
      <c r="AE119" s="22"/>
      <c r="AF119" s="22"/>
      <c r="AG119" s="22"/>
      <c r="AH119" s="22"/>
      <c r="AI119" s="22"/>
      <c r="AJ119" s="22"/>
      <c r="AK119" s="22"/>
      <c r="AL119" s="22"/>
      <c r="AM119" s="22"/>
      <c r="AN119" s="22"/>
      <c r="AO119" s="22"/>
      <c r="AP119" s="22"/>
      <c r="AQ119" s="22"/>
      <c r="AR119" s="22"/>
      <c r="AS119" s="22"/>
      <c r="AT119" s="22"/>
      <c r="AU119" s="22"/>
      <c r="AV119" s="22"/>
      <c r="AW119" s="22"/>
    </row>
    <row r="120" spans="2:49" x14ac:dyDescent="0.15">
      <c r="B120" s="22"/>
      <c r="C120" s="22"/>
      <c r="D120" s="22"/>
      <c r="E120" s="22"/>
      <c r="F120" s="22"/>
      <c r="G120" s="22"/>
      <c r="H120" s="22"/>
      <c r="I120" s="22"/>
      <c r="J120" s="22"/>
      <c r="K120" s="22"/>
      <c r="L120" s="22"/>
      <c r="M120" s="22"/>
      <c r="N120" s="22"/>
      <c r="O120" s="22"/>
      <c r="P120" s="22"/>
      <c r="Q120" s="22"/>
      <c r="R120" s="22"/>
      <c r="S120" s="22"/>
      <c r="T120" s="22"/>
      <c r="U120" s="22"/>
      <c r="V120" s="22"/>
      <c r="W120" s="22"/>
      <c r="X120" s="22"/>
      <c r="Y120" s="22"/>
      <c r="Z120" s="22"/>
      <c r="AA120" s="22"/>
      <c r="AB120" s="22"/>
      <c r="AC120" s="22"/>
      <c r="AD120" s="22"/>
      <c r="AE120" s="22"/>
      <c r="AF120" s="22"/>
      <c r="AG120" s="22"/>
      <c r="AH120" s="22"/>
      <c r="AI120" s="22"/>
      <c r="AJ120" s="22"/>
      <c r="AK120" s="22"/>
      <c r="AL120" s="22"/>
      <c r="AM120" s="22"/>
      <c r="AN120" s="22"/>
      <c r="AO120" s="22"/>
      <c r="AP120" s="22"/>
      <c r="AQ120" s="22"/>
      <c r="AR120" s="22"/>
      <c r="AS120" s="22"/>
      <c r="AT120" s="22"/>
      <c r="AU120" s="22"/>
      <c r="AV120" s="22"/>
      <c r="AW120" s="22"/>
    </row>
    <row r="121" spans="2:49" x14ac:dyDescent="0.15">
      <c r="B121" s="22"/>
      <c r="C121" s="22"/>
      <c r="D121" s="22"/>
      <c r="E121" s="22"/>
      <c r="F121" s="22"/>
      <c r="G121" s="22"/>
      <c r="H121" s="22"/>
      <c r="I121" s="22"/>
      <c r="J121" s="22"/>
      <c r="K121" s="22"/>
      <c r="L121" s="22"/>
      <c r="M121" s="22"/>
      <c r="N121" s="22"/>
      <c r="O121" s="22"/>
      <c r="P121" s="22"/>
      <c r="Q121" s="22"/>
      <c r="R121" s="22"/>
      <c r="S121" s="22"/>
      <c r="T121" s="22"/>
      <c r="U121" s="22"/>
      <c r="V121" s="22"/>
      <c r="W121" s="22"/>
      <c r="X121" s="22"/>
      <c r="Y121" s="22"/>
      <c r="Z121" s="22"/>
      <c r="AA121" s="22"/>
      <c r="AB121" s="22"/>
      <c r="AC121" s="22"/>
      <c r="AD121" s="22"/>
      <c r="AE121" s="22"/>
      <c r="AF121" s="22"/>
      <c r="AG121" s="22"/>
      <c r="AH121" s="22"/>
      <c r="AI121" s="22"/>
      <c r="AJ121" s="22"/>
      <c r="AK121" s="22"/>
      <c r="AL121" s="22"/>
      <c r="AM121" s="22"/>
      <c r="AN121" s="22"/>
      <c r="AO121" s="22"/>
      <c r="AP121" s="22"/>
      <c r="AQ121" s="22"/>
      <c r="AR121" s="22"/>
      <c r="AS121" s="22"/>
      <c r="AT121" s="22"/>
      <c r="AU121" s="22"/>
      <c r="AV121" s="22"/>
      <c r="AW121" s="22"/>
    </row>
    <row r="122" spans="2:49" x14ac:dyDescent="0.15">
      <c r="B122" s="22"/>
      <c r="C122" s="22"/>
      <c r="D122" s="22"/>
      <c r="E122" s="22"/>
      <c r="F122" s="22"/>
      <c r="G122" s="22"/>
      <c r="H122" s="22"/>
      <c r="I122" s="22"/>
      <c r="J122" s="22"/>
      <c r="K122" s="22"/>
      <c r="L122" s="22"/>
      <c r="M122" s="22"/>
      <c r="N122" s="22"/>
      <c r="O122" s="22"/>
      <c r="P122" s="22"/>
      <c r="Q122" s="22"/>
      <c r="R122" s="22"/>
      <c r="S122" s="22"/>
      <c r="T122" s="22"/>
      <c r="U122" s="22"/>
      <c r="V122" s="22"/>
      <c r="W122" s="22"/>
      <c r="X122" s="22"/>
      <c r="Y122" s="22"/>
      <c r="Z122" s="22"/>
      <c r="AA122" s="22"/>
      <c r="AB122" s="22"/>
      <c r="AC122" s="22"/>
      <c r="AD122" s="22"/>
      <c r="AE122" s="22"/>
      <c r="AF122" s="22"/>
      <c r="AG122" s="22"/>
      <c r="AH122" s="22"/>
      <c r="AI122" s="22"/>
      <c r="AJ122" s="22"/>
      <c r="AK122" s="22"/>
      <c r="AL122" s="22"/>
      <c r="AM122" s="22"/>
      <c r="AN122" s="22"/>
      <c r="AO122" s="22"/>
      <c r="AP122" s="22"/>
      <c r="AQ122" s="22"/>
      <c r="AR122" s="22"/>
      <c r="AS122" s="22"/>
      <c r="AT122" s="22"/>
      <c r="AU122" s="22"/>
      <c r="AV122" s="22"/>
      <c r="AW122" s="22"/>
    </row>
    <row r="123" spans="2:49" x14ac:dyDescent="0.15">
      <c r="B123" s="22"/>
      <c r="C123" s="22"/>
      <c r="D123" s="22"/>
      <c r="E123" s="22"/>
      <c r="F123" s="22"/>
      <c r="G123" s="22"/>
      <c r="H123" s="22"/>
      <c r="I123" s="22"/>
      <c r="J123" s="22"/>
      <c r="K123" s="22"/>
      <c r="L123" s="22"/>
      <c r="M123" s="22"/>
      <c r="N123" s="22"/>
      <c r="O123" s="22"/>
      <c r="P123" s="22"/>
      <c r="Q123" s="22"/>
      <c r="R123" s="22"/>
      <c r="S123" s="22"/>
      <c r="T123" s="22"/>
      <c r="U123" s="22"/>
      <c r="V123" s="22"/>
      <c r="W123" s="22"/>
      <c r="X123" s="22"/>
      <c r="Y123" s="22"/>
      <c r="Z123" s="22"/>
      <c r="AA123" s="22"/>
      <c r="AB123" s="22"/>
      <c r="AC123" s="22"/>
      <c r="AD123" s="22"/>
      <c r="AE123" s="22"/>
      <c r="AF123" s="22"/>
      <c r="AG123" s="22"/>
      <c r="AH123" s="22"/>
      <c r="AI123" s="22"/>
      <c r="AJ123" s="22"/>
      <c r="AK123" s="22"/>
      <c r="AL123" s="22"/>
      <c r="AM123" s="22"/>
      <c r="AN123" s="22"/>
      <c r="AO123" s="22"/>
      <c r="AP123" s="22"/>
      <c r="AQ123" s="22"/>
      <c r="AR123" s="22"/>
      <c r="AS123" s="22"/>
      <c r="AT123" s="22"/>
      <c r="AU123" s="22"/>
      <c r="AV123" s="22"/>
      <c r="AW123" s="22"/>
    </row>
    <row r="124" spans="2:49" x14ac:dyDescent="0.15">
      <c r="B124" s="22"/>
      <c r="C124" s="22"/>
      <c r="D124" s="22"/>
      <c r="E124" s="22"/>
      <c r="F124" s="22"/>
      <c r="G124" s="22"/>
      <c r="H124" s="22"/>
      <c r="I124" s="22"/>
      <c r="J124" s="22"/>
      <c r="K124" s="22"/>
      <c r="L124" s="22"/>
      <c r="M124" s="22"/>
      <c r="N124" s="22"/>
      <c r="O124" s="22"/>
      <c r="P124" s="22"/>
      <c r="Q124" s="22"/>
      <c r="R124" s="22"/>
      <c r="S124" s="22"/>
      <c r="T124" s="22"/>
      <c r="U124" s="22"/>
      <c r="V124" s="22"/>
      <c r="W124" s="22"/>
      <c r="X124" s="22"/>
      <c r="Y124" s="22"/>
      <c r="Z124" s="22"/>
      <c r="AA124" s="22"/>
      <c r="AB124" s="22"/>
      <c r="AC124" s="22"/>
      <c r="AD124" s="22"/>
      <c r="AE124" s="22"/>
      <c r="AF124" s="22"/>
      <c r="AG124" s="22"/>
      <c r="AH124" s="22"/>
      <c r="AI124" s="22"/>
      <c r="AJ124" s="22"/>
      <c r="AK124" s="22"/>
      <c r="AL124" s="22"/>
      <c r="AM124" s="22"/>
      <c r="AN124" s="22"/>
      <c r="AO124" s="22"/>
      <c r="AP124" s="22"/>
      <c r="AQ124" s="22"/>
      <c r="AR124" s="22"/>
      <c r="AS124" s="22"/>
      <c r="AT124" s="22"/>
      <c r="AU124" s="22"/>
      <c r="AV124" s="22"/>
      <c r="AW124" s="22"/>
    </row>
    <row r="125" spans="2:49" x14ac:dyDescent="0.15">
      <c r="B125" s="22"/>
      <c r="C125" s="22"/>
      <c r="D125" s="22"/>
      <c r="E125" s="22"/>
      <c r="F125" s="22"/>
      <c r="G125" s="22"/>
      <c r="H125" s="22"/>
      <c r="I125" s="22"/>
      <c r="J125" s="22"/>
      <c r="K125" s="22"/>
      <c r="L125" s="22"/>
      <c r="M125" s="22"/>
      <c r="N125" s="22"/>
      <c r="O125" s="22"/>
      <c r="P125" s="22"/>
      <c r="Q125" s="22"/>
      <c r="R125" s="22"/>
      <c r="S125" s="22"/>
      <c r="T125" s="22"/>
      <c r="U125" s="22"/>
      <c r="V125" s="22"/>
      <c r="W125" s="22"/>
      <c r="X125" s="22"/>
      <c r="Y125" s="22"/>
      <c r="Z125" s="22"/>
      <c r="AA125" s="22"/>
      <c r="AB125" s="22"/>
      <c r="AC125" s="22"/>
      <c r="AD125" s="22"/>
      <c r="AE125" s="22"/>
      <c r="AF125" s="22"/>
      <c r="AG125" s="22"/>
      <c r="AH125" s="22"/>
      <c r="AI125" s="22"/>
      <c r="AJ125" s="22"/>
      <c r="AK125" s="22"/>
      <c r="AL125" s="22"/>
      <c r="AM125" s="22"/>
      <c r="AN125" s="22"/>
      <c r="AO125" s="22"/>
      <c r="AP125" s="22"/>
      <c r="AQ125" s="22"/>
      <c r="AR125" s="22"/>
      <c r="AS125" s="22"/>
      <c r="AT125" s="22"/>
      <c r="AU125" s="22"/>
      <c r="AV125" s="22"/>
      <c r="AW125" s="22"/>
    </row>
    <row r="126" spans="2:49" x14ac:dyDescent="0.15">
      <c r="B126" s="22"/>
      <c r="C126" s="22"/>
      <c r="D126" s="22"/>
      <c r="E126" s="22"/>
      <c r="F126" s="22"/>
      <c r="G126" s="22"/>
      <c r="H126" s="22"/>
      <c r="I126" s="22"/>
      <c r="J126" s="22"/>
      <c r="K126" s="22"/>
      <c r="L126" s="22"/>
      <c r="M126" s="22"/>
      <c r="N126" s="22"/>
      <c r="O126" s="22"/>
      <c r="P126" s="22"/>
      <c r="Q126" s="22"/>
      <c r="R126" s="22"/>
      <c r="S126" s="22"/>
      <c r="T126" s="22"/>
      <c r="U126" s="22"/>
      <c r="V126" s="22"/>
      <c r="W126" s="22"/>
      <c r="X126" s="22"/>
      <c r="Y126" s="22"/>
      <c r="Z126" s="22"/>
      <c r="AA126" s="22"/>
      <c r="AB126" s="22"/>
      <c r="AC126" s="22"/>
      <c r="AD126" s="22"/>
      <c r="AE126" s="22"/>
      <c r="AF126" s="22"/>
      <c r="AG126" s="22"/>
      <c r="AH126" s="22"/>
      <c r="AI126" s="22"/>
      <c r="AJ126" s="22"/>
      <c r="AK126" s="22"/>
      <c r="AL126" s="22"/>
      <c r="AM126" s="22"/>
      <c r="AN126" s="22"/>
      <c r="AO126" s="22"/>
      <c r="AP126" s="22"/>
      <c r="AQ126" s="22"/>
      <c r="AR126" s="22"/>
      <c r="AS126" s="22"/>
      <c r="AT126" s="22"/>
      <c r="AU126" s="22"/>
      <c r="AV126" s="22"/>
      <c r="AW126" s="22"/>
    </row>
    <row r="127" spans="2:49" x14ac:dyDescent="0.15">
      <c r="B127" s="22"/>
      <c r="C127" s="22"/>
      <c r="D127" s="22"/>
      <c r="E127" s="22"/>
      <c r="F127" s="22"/>
      <c r="G127" s="22"/>
      <c r="H127" s="22"/>
      <c r="I127" s="22"/>
      <c r="J127" s="22"/>
      <c r="K127" s="22"/>
      <c r="L127" s="22"/>
      <c r="M127" s="22"/>
      <c r="N127" s="22"/>
      <c r="O127" s="22"/>
      <c r="P127" s="22"/>
      <c r="Q127" s="22"/>
      <c r="R127" s="22"/>
      <c r="S127" s="22"/>
      <c r="T127" s="22"/>
      <c r="U127" s="22"/>
      <c r="V127" s="22"/>
      <c r="W127" s="22"/>
      <c r="X127" s="22"/>
      <c r="Y127" s="22"/>
      <c r="Z127" s="22"/>
      <c r="AA127" s="22"/>
      <c r="AB127" s="22"/>
      <c r="AC127" s="22"/>
      <c r="AD127" s="22"/>
      <c r="AE127" s="22"/>
      <c r="AF127" s="22"/>
      <c r="AG127" s="22"/>
      <c r="AH127" s="22"/>
      <c r="AI127" s="22"/>
      <c r="AJ127" s="22"/>
      <c r="AK127" s="22"/>
      <c r="AL127" s="22"/>
      <c r="AM127" s="22"/>
      <c r="AN127" s="22"/>
      <c r="AO127" s="22"/>
      <c r="AP127" s="22"/>
      <c r="AQ127" s="22"/>
      <c r="AR127" s="22"/>
      <c r="AS127" s="22"/>
      <c r="AT127" s="22"/>
      <c r="AU127" s="22"/>
      <c r="AV127" s="22"/>
      <c r="AW127" s="22"/>
    </row>
    <row r="128" spans="2:49" x14ac:dyDescent="0.15">
      <c r="B128" s="22"/>
      <c r="C128" s="22"/>
      <c r="D128" s="22"/>
      <c r="E128" s="22"/>
      <c r="F128" s="22"/>
      <c r="G128" s="22"/>
      <c r="H128" s="22"/>
      <c r="I128" s="22"/>
      <c r="J128" s="22"/>
      <c r="K128" s="22"/>
      <c r="L128" s="22"/>
      <c r="M128" s="22"/>
      <c r="N128" s="22"/>
      <c r="O128" s="22"/>
      <c r="P128" s="22"/>
      <c r="Q128" s="22"/>
      <c r="R128" s="22"/>
      <c r="S128" s="22"/>
      <c r="T128" s="22"/>
      <c r="U128" s="22"/>
      <c r="V128" s="22"/>
      <c r="W128" s="22"/>
      <c r="X128" s="22"/>
      <c r="Y128" s="22"/>
      <c r="Z128" s="22"/>
      <c r="AA128" s="22"/>
      <c r="AB128" s="22"/>
      <c r="AC128" s="22"/>
      <c r="AD128" s="22"/>
      <c r="AE128" s="22"/>
      <c r="AF128" s="22"/>
      <c r="AG128" s="22"/>
      <c r="AH128" s="22"/>
      <c r="AI128" s="22"/>
      <c r="AJ128" s="22"/>
      <c r="AK128" s="22"/>
      <c r="AL128" s="22"/>
      <c r="AM128" s="22"/>
      <c r="AN128" s="22"/>
      <c r="AO128" s="22"/>
      <c r="AP128" s="22"/>
      <c r="AQ128" s="22"/>
      <c r="AR128" s="22"/>
      <c r="AS128" s="22"/>
      <c r="AT128" s="22"/>
      <c r="AU128" s="22"/>
      <c r="AV128" s="22"/>
      <c r="AW128" s="22"/>
    </row>
    <row r="129" spans="2:49" x14ac:dyDescent="0.15">
      <c r="B129" s="22"/>
      <c r="C129" s="22"/>
      <c r="D129" s="22"/>
      <c r="E129" s="22"/>
      <c r="F129" s="22"/>
      <c r="G129" s="22"/>
      <c r="H129" s="22"/>
      <c r="I129" s="22"/>
      <c r="J129" s="22"/>
      <c r="K129" s="22"/>
      <c r="L129" s="22"/>
      <c r="M129" s="22"/>
      <c r="N129" s="22"/>
      <c r="O129" s="22"/>
      <c r="P129" s="22"/>
      <c r="Q129" s="22"/>
      <c r="R129" s="22"/>
      <c r="S129" s="22"/>
      <c r="T129" s="22"/>
      <c r="U129" s="22"/>
      <c r="V129" s="22"/>
      <c r="W129" s="22"/>
      <c r="X129" s="22"/>
      <c r="Y129" s="22"/>
      <c r="Z129" s="22"/>
      <c r="AA129" s="22"/>
      <c r="AB129" s="22"/>
      <c r="AC129" s="22"/>
      <c r="AD129" s="22"/>
      <c r="AE129" s="22"/>
      <c r="AF129" s="22"/>
      <c r="AG129" s="22"/>
      <c r="AH129" s="22"/>
      <c r="AI129" s="22"/>
      <c r="AJ129" s="22"/>
      <c r="AK129" s="22"/>
      <c r="AL129" s="22"/>
      <c r="AM129" s="22"/>
      <c r="AN129" s="22"/>
      <c r="AO129" s="22"/>
      <c r="AP129" s="22"/>
      <c r="AQ129" s="22"/>
      <c r="AR129" s="22"/>
      <c r="AS129" s="22"/>
      <c r="AT129" s="22"/>
      <c r="AU129" s="22"/>
      <c r="AV129" s="22"/>
      <c r="AW129" s="22"/>
    </row>
    <row r="130" spans="2:49" x14ac:dyDescent="0.15">
      <c r="B130" s="22"/>
      <c r="C130" s="22"/>
      <c r="D130" s="22"/>
      <c r="E130" s="22"/>
      <c r="F130" s="22"/>
      <c r="G130" s="22"/>
      <c r="H130" s="22"/>
      <c r="I130" s="22"/>
      <c r="J130" s="22"/>
      <c r="K130" s="22"/>
      <c r="L130" s="22"/>
      <c r="M130" s="22"/>
      <c r="N130" s="22"/>
      <c r="O130" s="22"/>
      <c r="P130" s="22"/>
      <c r="Q130" s="22"/>
      <c r="R130" s="22"/>
      <c r="S130" s="22"/>
      <c r="T130" s="22"/>
      <c r="U130" s="22"/>
      <c r="V130" s="22"/>
      <c r="W130" s="22"/>
      <c r="X130" s="22"/>
      <c r="Y130" s="22"/>
      <c r="Z130" s="22"/>
      <c r="AA130" s="22"/>
      <c r="AB130" s="22"/>
      <c r="AC130" s="22"/>
      <c r="AD130" s="22"/>
      <c r="AE130" s="22"/>
      <c r="AF130" s="22"/>
      <c r="AG130" s="22"/>
      <c r="AH130" s="22"/>
      <c r="AI130" s="22"/>
      <c r="AJ130" s="22"/>
      <c r="AK130" s="22"/>
      <c r="AL130" s="22"/>
      <c r="AM130" s="22"/>
      <c r="AN130" s="22"/>
      <c r="AO130" s="22"/>
      <c r="AP130" s="22"/>
      <c r="AQ130" s="22"/>
      <c r="AR130" s="22"/>
      <c r="AS130" s="22"/>
      <c r="AT130" s="22"/>
      <c r="AU130" s="22"/>
      <c r="AV130" s="22"/>
      <c r="AW130" s="22"/>
    </row>
    <row r="131" spans="2:49" x14ac:dyDescent="0.15">
      <c r="B131" s="22"/>
      <c r="C131" s="22"/>
      <c r="D131" s="22"/>
      <c r="E131" s="22"/>
      <c r="F131" s="22"/>
      <c r="G131" s="22"/>
      <c r="H131" s="22"/>
      <c r="I131" s="22"/>
      <c r="J131" s="22"/>
      <c r="K131" s="22"/>
      <c r="L131" s="22"/>
      <c r="M131" s="22"/>
      <c r="N131" s="22"/>
      <c r="O131" s="22"/>
      <c r="P131" s="22"/>
      <c r="Q131" s="22"/>
      <c r="R131" s="22"/>
      <c r="S131" s="22"/>
      <c r="T131" s="22"/>
      <c r="U131" s="22"/>
      <c r="V131" s="22"/>
      <c r="W131" s="22"/>
      <c r="X131" s="22"/>
      <c r="Y131" s="22"/>
      <c r="Z131" s="22"/>
      <c r="AA131" s="22"/>
      <c r="AB131" s="22"/>
      <c r="AC131" s="22"/>
      <c r="AD131" s="22"/>
      <c r="AE131" s="22"/>
      <c r="AF131" s="22"/>
      <c r="AG131" s="22"/>
      <c r="AH131" s="22"/>
      <c r="AI131" s="22"/>
      <c r="AJ131" s="22"/>
      <c r="AK131" s="22"/>
      <c r="AL131" s="22"/>
      <c r="AM131" s="22"/>
      <c r="AN131" s="22"/>
      <c r="AO131" s="22"/>
      <c r="AP131" s="22"/>
      <c r="AQ131" s="22"/>
      <c r="AR131" s="22"/>
      <c r="AS131" s="22"/>
      <c r="AT131" s="22"/>
      <c r="AU131" s="22"/>
      <c r="AV131" s="22"/>
      <c r="AW131" s="22"/>
    </row>
    <row r="132" spans="2:49" x14ac:dyDescent="0.15">
      <c r="B132" s="22"/>
      <c r="C132" s="22"/>
      <c r="D132" s="22"/>
      <c r="E132" s="22"/>
      <c r="F132" s="22"/>
      <c r="G132" s="22"/>
      <c r="H132" s="22"/>
      <c r="I132" s="22"/>
      <c r="J132" s="22"/>
      <c r="K132" s="22"/>
      <c r="L132" s="22"/>
      <c r="M132" s="22"/>
      <c r="N132" s="22"/>
      <c r="O132" s="22"/>
      <c r="P132" s="22"/>
      <c r="Q132" s="22"/>
      <c r="R132" s="22"/>
      <c r="S132" s="22"/>
      <c r="T132" s="22"/>
      <c r="U132" s="22"/>
      <c r="V132" s="22"/>
      <c r="W132" s="22"/>
      <c r="X132" s="22"/>
      <c r="Y132" s="22"/>
      <c r="Z132" s="22"/>
      <c r="AA132" s="22"/>
      <c r="AB132" s="22"/>
      <c r="AC132" s="22"/>
      <c r="AD132" s="22"/>
      <c r="AE132" s="22"/>
      <c r="AF132" s="22"/>
      <c r="AG132" s="22"/>
      <c r="AH132" s="22"/>
      <c r="AI132" s="22"/>
      <c r="AJ132" s="22"/>
      <c r="AK132" s="22"/>
      <c r="AL132" s="22"/>
      <c r="AM132" s="22"/>
      <c r="AN132" s="22"/>
      <c r="AO132" s="22"/>
      <c r="AP132" s="22"/>
      <c r="AQ132" s="22"/>
      <c r="AR132" s="22"/>
      <c r="AS132" s="22"/>
      <c r="AT132" s="22"/>
      <c r="AU132" s="22"/>
      <c r="AV132" s="22"/>
      <c r="AW132" s="22"/>
    </row>
    <row r="133" spans="2:49" x14ac:dyDescent="0.15">
      <c r="B133" s="22"/>
      <c r="C133" s="22"/>
      <c r="D133" s="22"/>
      <c r="E133" s="22"/>
      <c r="F133" s="22"/>
      <c r="G133" s="22"/>
      <c r="H133" s="22"/>
      <c r="I133" s="22"/>
      <c r="J133" s="22"/>
      <c r="K133" s="22"/>
      <c r="L133" s="22"/>
      <c r="M133" s="22"/>
      <c r="N133" s="22"/>
      <c r="O133" s="22"/>
      <c r="P133" s="22"/>
      <c r="Q133" s="22"/>
      <c r="R133" s="22"/>
      <c r="S133" s="22"/>
      <c r="T133" s="22"/>
      <c r="U133" s="22"/>
      <c r="V133" s="22"/>
      <c r="W133" s="22"/>
      <c r="X133" s="22"/>
      <c r="Y133" s="22"/>
      <c r="Z133" s="22"/>
      <c r="AA133" s="22"/>
      <c r="AB133" s="22"/>
      <c r="AC133" s="22"/>
      <c r="AD133" s="22"/>
      <c r="AE133" s="22"/>
      <c r="AF133" s="22"/>
      <c r="AG133" s="22"/>
      <c r="AH133" s="22"/>
      <c r="AI133" s="22"/>
      <c r="AJ133" s="22"/>
      <c r="AK133" s="22"/>
      <c r="AL133" s="22"/>
      <c r="AM133" s="22"/>
      <c r="AN133" s="22"/>
      <c r="AO133" s="22"/>
      <c r="AP133" s="22"/>
      <c r="AQ133" s="22"/>
      <c r="AR133" s="22"/>
      <c r="AS133" s="22"/>
      <c r="AT133" s="22"/>
      <c r="AU133" s="22"/>
      <c r="AV133" s="22"/>
      <c r="AW133" s="22"/>
    </row>
    <row r="134" spans="2:49" x14ac:dyDescent="0.15">
      <c r="B134" s="22"/>
      <c r="C134" s="22"/>
      <c r="D134" s="22"/>
      <c r="E134" s="22"/>
      <c r="F134" s="22"/>
      <c r="G134" s="22"/>
      <c r="H134" s="22"/>
      <c r="I134" s="22"/>
      <c r="J134" s="22"/>
      <c r="K134" s="22"/>
      <c r="L134" s="22"/>
      <c r="M134" s="22"/>
      <c r="N134" s="22"/>
      <c r="O134" s="22"/>
      <c r="P134" s="22"/>
      <c r="Q134" s="22"/>
      <c r="R134" s="22"/>
      <c r="S134" s="22"/>
      <c r="T134" s="22"/>
      <c r="U134" s="22"/>
      <c r="V134" s="22"/>
      <c r="W134" s="22"/>
      <c r="X134" s="22"/>
      <c r="Y134" s="22"/>
      <c r="Z134" s="22"/>
      <c r="AA134" s="22"/>
      <c r="AB134" s="22"/>
      <c r="AC134" s="22"/>
      <c r="AD134" s="22"/>
      <c r="AE134" s="22"/>
      <c r="AF134" s="22"/>
      <c r="AG134" s="22"/>
      <c r="AH134" s="22"/>
      <c r="AI134" s="22"/>
      <c r="AJ134" s="22"/>
      <c r="AK134" s="22"/>
      <c r="AL134" s="22"/>
      <c r="AM134" s="22"/>
      <c r="AN134" s="22"/>
      <c r="AO134" s="22"/>
      <c r="AP134" s="22"/>
      <c r="AQ134" s="22"/>
      <c r="AR134" s="22"/>
      <c r="AS134" s="22"/>
      <c r="AT134" s="22"/>
      <c r="AU134" s="22"/>
      <c r="AV134" s="22"/>
      <c r="AW134" s="22"/>
    </row>
    <row r="135" spans="2:49" x14ac:dyDescent="0.15">
      <c r="B135" s="22"/>
      <c r="C135" s="22"/>
      <c r="D135" s="22"/>
      <c r="E135" s="22"/>
      <c r="F135" s="22"/>
      <c r="G135" s="22"/>
      <c r="H135" s="22"/>
      <c r="I135" s="22"/>
      <c r="J135" s="22"/>
      <c r="K135" s="22"/>
      <c r="L135" s="22"/>
      <c r="M135" s="22"/>
      <c r="N135" s="22"/>
      <c r="O135" s="22"/>
      <c r="P135" s="22"/>
      <c r="Q135" s="22"/>
      <c r="R135" s="22"/>
      <c r="S135" s="22"/>
      <c r="T135" s="22"/>
      <c r="U135" s="22"/>
      <c r="V135" s="22"/>
      <c r="W135" s="22"/>
      <c r="X135" s="22"/>
      <c r="Y135" s="22"/>
      <c r="Z135" s="22"/>
      <c r="AA135" s="22"/>
      <c r="AB135" s="22"/>
      <c r="AC135" s="22"/>
      <c r="AD135" s="22"/>
      <c r="AE135" s="22"/>
      <c r="AF135" s="22"/>
      <c r="AG135" s="22"/>
      <c r="AH135" s="22"/>
      <c r="AI135" s="22"/>
      <c r="AJ135" s="22"/>
      <c r="AK135" s="22"/>
      <c r="AL135" s="22"/>
      <c r="AM135" s="22"/>
      <c r="AN135" s="22"/>
      <c r="AO135" s="22"/>
      <c r="AP135" s="22"/>
      <c r="AQ135" s="22"/>
      <c r="AR135" s="22"/>
      <c r="AS135" s="22"/>
      <c r="AT135" s="22"/>
      <c r="AU135" s="22"/>
      <c r="AV135" s="22"/>
      <c r="AW135" s="22"/>
    </row>
    <row r="136" spans="2:49" x14ac:dyDescent="0.15">
      <c r="B136" s="22"/>
      <c r="C136" s="22"/>
      <c r="D136" s="22"/>
      <c r="E136" s="22"/>
      <c r="F136" s="22"/>
      <c r="G136" s="22"/>
      <c r="H136" s="22"/>
      <c r="I136" s="22"/>
      <c r="J136" s="22"/>
      <c r="K136" s="22"/>
      <c r="L136" s="22"/>
      <c r="M136" s="22"/>
      <c r="N136" s="22"/>
      <c r="O136" s="22"/>
      <c r="P136" s="22"/>
      <c r="Q136" s="22"/>
      <c r="R136" s="22"/>
      <c r="S136" s="22"/>
      <c r="T136" s="22"/>
      <c r="U136" s="22"/>
      <c r="V136" s="22"/>
      <c r="W136" s="22"/>
      <c r="X136" s="22"/>
      <c r="Y136" s="22"/>
      <c r="Z136" s="22"/>
      <c r="AA136" s="22"/>
      <c r="AB136" s="22"/>
      <c r="AC136" s="22"/>
      <c r="AD136" s="22"/>
      <c r="AE136" s="22"/>
      <c r="AF136" s="22"/>
      <c r="AG136" s="22"/>
      <c r="AH136" s="22"/>
      <c r="AI136" s="22"/>
      <c r="AJ136" s="22"/>
      <c r="AK136" s="22"/>
      <c r="AL136" s="22"/>
      <c r="AM136" s="22"/>
      <c r="AN136" s="22"/>
      <c r="AO136" s="22"/>
      <c r="AP136" s="22"/>
      <c r="AQ136" s="22"/>
      <c r="AR136" s="22"/>
      <c r="AS136" s="22"/>
      <c r="AT136" s="22"/>
      <c r="AU136" s="22"/>
      <c r="AV136" s="22"/>
      <c r="AW136" s="22"/>
    </row>
    <row r="137" spans="2:49" x14ac:dyDescent="0.15">
      <c r="B137" s="22"/>
      <c r="C137" s="22"/>
      <c r="D137" s="22"/>
      <c r="E137" s="22"/>
      <c r="F137" s="22"/>
      <c r="G137" s="22"/>
      <c r="H137" s="22"/>
      <c r="I137" s="22"/>
      <c r="J137" s="22"/>
      <c r="K137" s="22"/>
      <c r="L137" s="22"/>
      <c r="M137" s="22"/>
      <c r="N137" s="22"/>
      <c r="O137" s="22"/>
      <c r="P137" s="22"/>
      <c r="Q137" s="22"/>
      <c r="R137" s="22"/>
      <c r="S137" s="22"/>
      <c r="T137" s="22"/>
      <c r="U137" s="22"/>
      <c r="V137" s="22"/>
      <c r="W137" s="22"/>
      <c r="X137" s="22"/>
      <c r="Y137" s="22"/>
      <c r="Z137" s="22"/>
      <c r="AA137" s="22"/>
      <c r="AB137" s="22"/>
      <c r="AC137" s="22"/>
      <c r="AD137" s="22"/>
      <c r="AE137" s="22"/>
      <c r="AF137" s="22"/>
      <c r="AG137" s="22"/>
      <c r="AH137" s="22"/>
      <c r="AI137" s="22"/>
      <c r="AJ137" s="22"/>
      <c r="AK137" s="22"/>
      <c r="AL137" s="22"/>
      <c r="AM137" s="22"/>
      <c r="AN137" s="22"/>
      <c r="AO137" s="22"/>
      <c r="AP137" s="22"/>
      <c r="AQ137" s="22"/>
      <c r="AR137" s="22"/>
      <c r="AS137" s="22"/>
      <c r="AT137" s="22"/>
      <c r="AU137" s="22"/>
      <c r="AV137" s="22"/>
      <c r="AW137" s="22"/>
    </row>
    <row r="138" spans="2:49" x14ac:dyDescent="0.15">
      <c r="B138" s="22"/>
      <c r="C138" s="22"/>
      <c r="D138" s="22"/>
      <c r="E138" s="22"/>
      <c r="F138" s="22"/>
      <c r="G138" s="22"/>
      <c r="H138" s="22"/>
      <c r="I138" s="22"/>
      <c r="J138" s="22"/>
      <c r="K138" s="22"/>
      <c r="L138" s="22"/>
      <c r="M138" s="22"/>
      <c r="N138" s="22"/>
      <c r="O138" s="22"/>
      <c r="P138" s="22"/>
      <c r="Q138" s="22"/>
      <c r="R138" s="22"/>
      <c r="S138" s="22"/>
      <c r="T138" s="22"/>
      <c r="U138" s="22"/>
      <c r="V138" s="22"/>
      <c r="W138" s="22"/>
      <c r="X138" s="22"/>
      <c r="Y138" s="22"/>
      <c r="Z138" s="22"/>
      <c r="AA138" s="22"/>
      <c r="AB138" s="22"/>
      <c r="AC138" s="22"/>
      <c r="AD138" s="22"/>
      <c r="AE138" s="22"/>
      <c r="AF138" s="22"/>
      <c r="AG138" s="22"/>
      <c r="AH138" s="22"/>
      <c r="AI138" s="22"/>
      <c r="AJ138" s="22"/>
      <c r="AK138" s="22"/>
      <c r="AL138" s="22"/>
      <c r="AM138" s="22"/>
      <c r="AN138" s="22"/>
      <c r="AO138" s="22"/>
      <c r="AP138" s="22"/>
      <c r="AQ138" s="22"/>
      <c r="AR138" s="22"/>
      <c r="AS138" s="22"/>
      <c r="AT138" s="22"/>
      <c r="AU138" s="22"/>
      <c r="AV138" s="22"/>
      <c r="AW138" s="22"/>
    </row>
    <row r="139" spans="2:49" x14ac:dyDescent="0.15">
      <c r="B139" s="22"/>
      <c r="C139" s="22"/>
      <c r="D139" s="22"/>
      <c r="E139" s="22"/>
      <c r="F139" s="22"/>
      <c r="G139" s="22"/>
      <c r="H139" s="22"/>
      <c r="I139" s="22"/>
      <c r="J139" s="22"/>
      <c r="K139" s="22"/>
      <c r="L139" s="22"/>
      <c r="M139" s="22"/>
      <c r="N139" s="22"/>
      <c r="O139" s="22"/>
      <c r="P139" s="22"/>
      <c r="Q139" s="22"/>
      <c r="R139" s="22"/>
      <c r="S139" s="22"/>
      <c r="T139" s="22"/>
      <c r="U139" s="22"/>
      <c r="V139" s="22"/>
      <c r="W139" s="22"/>
      <c r="X139" s="22"/>
      <c r="Y139" s="22"/>
      <c r="Z139" s="22"/>
      <c r="AA139" s="22"/>
      <c r="AB139" s="22"/>
      <c r="AC139" s="22"/>
      <c r="AD139" s="22"/>
      <c r="AE139" s="22"/>
      <c r="AF139" s="22"/>
      <c r="AG139" s="22"/>
      <c r="AH139" s="22"/>
      <c r="AI139" s="22"/>
      <c r="AJ139" s="22"/>
      <c r="AK139" s="22"/>
      <c r="AL139" s="22"/>
      <c r="AM139" s="22"/>
      <c r="AN139" s="22"/>
      <c r="AO139" s="22"/>
      <c r="AP139" s="22"/>
      <c r="AQ139" s="22"/>
      <c r="AR139" s="22"/>
      <c r="AS139" s="22"/>
      <c r="AT139" s="22"/>
      <c r="AU139" s="22"/>
      <c r="AV139" s="22"/>
      <c r="AW139" s="22"/>
    </row>
    <row r="140" spans="2:49" x14ac:dyDescent="0.15">
      <c r="B140" s="22"/>
      <c r="C140" s="22"/>
      <c r="D140" s="22"/>
      <c r="E140" s="22"/>
      <c r="F140" s="22"/>
      <c r="G140" s="22"/>
      <c r="H140" s="22"/>
      <c r="I140" s="22"/>
      <c r="J140" s="22"/>
      <c r="K140" s="22"/>
      <c r="L140" s="22"/>
      <c r="M140" s="22"/>
      <c r="N140" s="22"/>
      <c r="O140" s="22"/>
      <c r="P140" s="22"/>
      <c r="Q140" s="22"/>
      <c r="R140" s="22"/>
      <c r="S140" s="22"/>
      <c r="T140" s="22"/>
      <c r="U140" s="22"/>
      <c r="V140" s="22"/>
      <c r="W140" s="22"/>
      <c r="X140" s="22"/>
      <c r="Y140" s="22"/>
      <c r="Z140" s="22"/>
      <c r="AA140" s="22"/>
      <c r="AB140" s="22"/>
      <c r="AC140" s="22"/>
      <c r="AD140" s="22"/>
      <c r="AE140" s="22"/>
      <c r="AF140" s="22"/>
      <c r="AG140" s="22"/>
      <c r="AH140" s="22"/>
      <c r="AI140" s="22"/>
      <c r="AJ140" s="22"/>
      <c r="AK140" s="22"/>
      <c r="AL140" s="22"/>
      <c r="AM140" s="22"/>
      <c r="AN140" s="22"/>
      <c r="AO140" s="22"/>
      <c r="AP140" s="22"/>
      <c r="AQ140" s="22"/>
      <c r="AR140" s="22"/>
      <c r="AS140" s="22"/>
      <c r="AT140" s="22"/>
      <c r="AU140" s="22"/>
      <c r="AV140" s="22"/>
      <c r="AW140" s="22"/>
    </row>
    <row r="141" spans="2:49" x14ac:dyDescent="0.15">
      <c r="B141" s="22"/>
      <c r="C141" s="22"/>
      <c r="D141" s="22"/>
      <c r="E141" s="22"/>
      <c r="F141" s="22"/>
      <c r="G141" s="22"/>
      <c r="H141" s="22"/>
      <c r="I141" s="22"/>
      <c r="J141" s="22"/>
      <c r="K141" s="22"/>
      <c r="L141" s="22"/>
      <c r="M141" s="22"/>
      <c r="N141" s="22"/>
      <c r="O141" s="22"/>
      <c r="P141" s="22"/>
      <c r="Q141" s="22"/>
      <c r="R141" s="22"/>
      <c r="S141" s="22"/>
      <c r="T141" s="22"/>
      <c r="U141" s="22"/>
      <c r="V141" s="22"/>
      <c r="W141" s="22"/>
      <c r="X141" s="22"/>
      <c r="Y141" s="22"/>
      <c r="Z141" s="22"/>
      <c r="AA141" s="22"/>
      <c r="AB141" s="22"/>
      <c r="AC141" s="22"/>
      <c r="AD141" s="22"/>
      <c r="AE141" s="22"/>
      <c r="AF141" s="22"/>
      <c r="AG141" s="22"/>
      <c r="AH141" s="22"/>
      <c r="AI141" s="22"/>
      <c r="AJ141" s="22"/>
      <c r="AK141" s="22"/>
      <c r="AL141" s="22"/>
      <c r="AM141" s="22"/>
      <c r="AN141" s="22"/>
      <c r="AO141" s="22"/>
      <c r="AP141" s="22"/>
      <c r="AQ141" s="22"/>
      <c r="AR141" s="22"/>
      <c r="AS141" s="22"/>
      <c r="AT141" s="22"/>
      <c r="AU141" s="22"/>
      <c r="AV141" s="22"/>
      <c r="AW141" s="22"/>
    </row>
    <row r="142" spans="2:49" x14ac:dyDescent="0.15">
      <c r="B142" s="22"/>
      <c r="C142" s="22"/>
      <c r="D142" s="22"/>
      <c r="E142" s="22"/>
      <c r="F142" s="22"/>
      <c r="G142" s="22"/>
      <c r="H142" s="22"/>
      <c r="I142" s="22"/>
      <c r="J142" s="22"/>
      <c r="K142" s="22"/>
      <c r="L142" s="22"/>
      <c r="M142" s="22"/>
      <c r="N142" s="22"/>
      <c r="O142" s="22"/>
      <c r="P142" s="22"/>
      <c r="Q142" s="22"/>
      <c r="R142" s="22"/>
      <c r="S142" s="22"/>
      <c r="T142" s="22"/>
      <c r="U142" s="22"/>
      <c r="V142" s="22"/>
      <c r="W142" s="22"/>
      <c r="X142" s="22"/>
      <c r="Y142" s="22"/>
      <c r="Z142" s="22"/>
      <c r="AA142" s="22"/>
      <c r="AB142" s="22"/>
      <c r="AC142" s="22"/>
      <c r="AD142" s="22"/>
      <c r="AE142" s="22"/>
      <c r="AF142" s="22"/>
      <c r="AG142" s="22"/>
      <c r="AH142" s="22"/>
      <c r="AI142" s="22"/>
      <c r="AJ142" s="22"/>
      <c r="AK142" s="22"/>
      <c r="AL142" s="22"/>
      <c r="AM142" s="22"/>
      <c r="AN142" s="22"/>
      <c r="AO142" s="22"/>
      <c r="AP142" s="22"/>
      <c r="AQ142" s="22"/>
      <c r="AR142" s="22"/>
      <c r="AS142" s="22"/>
      <c r="AT142" s="22"/>
      <c r="AU142" s="22"/>
      <c r="AV142" s="22"/>
      <c r="AW142" s="22"/>
    </row>
    <row r="143" spans="2:49" x14ac:dyDescent="0.15">
      <c r="B143" s="22"/>
      <c r="C143" s="22"/>
      <c r="D143" s="22"/>
      <c r="E143" s="22"/>
      <c r="F143" s="22"/>
      <c r="G143" s="22"/>
      <c r="H143" s="22"/>
      <c r="I143" s="22"/>
      <c r="J143" s="22"/>
      <c r="K143" s="22"/>
      <c r="L143" s="22"/>
      <c r="M143" s="22"/>
      <c r="N143" s="22"/>
      <c r="O143" s="22"/>
      <c r="P143" s="22"/>
      <c r="Q143" s="22"/>
      <c r="R143" s="22"/>
      <c r="S143" s="22"/>
      <c r="T143" s="22"/>
      <c r="U143" s="22"/>
      <c r="V143" s="22"/>
      <c r="W143" s="22"/>
      <c r="X143" s="22"/>
      <c r="Y143" s="22"/>
      <c r="Z143" s="22"/>
      <c r="AA143" s="22"/>
      <c r="AB143" s="22"/>
      <c r="AC143" s="22"/>
      <c r="AD143" s="22"/>
      <c r="AE143" s="22"/>
      <c r="AF143" s="22"/>
      <c r="AG143" s="22"/>
      <c r="AH143" s="22"/>
      <c r="AI143" s="22"/>
      <c r="AJ143" s="22"/>
      <c r="AK143" s="22"/>
      <c r="AL143" s="22"/>
      <c r="AM143" s="22"/>
      <c r="AN143" s="22"/>
      <c r="AO143" s="22"/>
      <c r="AP143" s="22"/>
      <c r="AQ143" s="22"/>
      <c r="AR143" s="22"/>
      <c r="AS143" s="22"/>
      <c r="AT143" s="22"/>
      <c r="AU143" s="22"/>
      <c r="AV143" s="22"/>
      <c r="AW143" s="22"/>
    </row>
    <row r="144" spans="2:49" x14ac:dyDescent="0.15">
      <c r="B144" s="22"/>
      <c r="C144" s="22"/>
      <c r="D144" s="22"/>
      <c r="E144" s="22"/>
      <c r="F144" s="22"/>
      <c r="G144" s="22"/>
      <c r="H144" s="22"/>
      <c r="I144" s="22"/>
      <c r="J144" s="22"/>
      <c r="K144" s="22"/>
      <c r="L144" s="22"/>
      <c r="M144" s="22"/>
      <c r="N144" s="22"/>
      <c r="O144" s="22"/>
      <c r="P144" s="22"/>
      <c r="Q144" s="22"/>
      <c r="R144" s="22"/>
      <c r="S144" s="22"/>
      <c r="T144" s="22"/>
      <c r="U144" s="22"/>
      <c r="V144" s="22"/>
      <c r="W144" s="22"/>
      <c r="X144" s="22"/>
      <c r="Y144" s="22"/>
      <c r="Z144" s="22"/>
      <c r="AA144" s="22"/>
      <c r="AB144" s="22"/>
      <c r="AC144" s="22"/>
      <c r="AD144" s="22"/>
      <c r="AE144" s="22"/>
      <c r="AF144" s="22"/>
      <c r="AG144" s="22"/>
      <c r="AH144" s="22"/>
      <c r="AI144" s="22"/>
      <c r="AJ144" s="22"/>
      <c r="AK144" s="22"/>
      <c r="AL144" s="22"/>
      <c r="AM144" s="22"/>
      <c r="AN144" s="22"/>
      <c r="AO144" s="22"/>
      <c r="AP144" s="22"/>
      <c r="AQ144" s="22"/>
      <c r="AR144" s="22"/>
      <c r="AS144" s="22"/>
      <c r="AT144" s="22"/>
      <c r="AU144" s="22"/>
      <c r="AV144" s="22"/>
      <c r="AW144" s="22"/>
    </row>
    <row r="145" spans="2:49" x14ac:dyDescent="0.15">
      <c r="B145" s="22"/>
      <c r="C145" s="22"/>
      <c r="D145" s="22"/>
      <c r="E145" s="22"/>
      <c r="F145" s="22"/>
      <c r="G145" s="22"/>
      <c r="H145" s="22"/>
      <c r="I145" s="22"/>
      <c r="J145" s="22"/>
      <c r="K145" s="22"/>
      <c r="L145" s="22"/>
      <c r="M145" s="22"/>
      <c r="N145" s="22"/>
      <c r="O145" s="22"/>
      <c r="P145" s="22"/>
      <c r="Q145" s="22"/>
      <c r="R145" s="22"/>
      <c r="S145" s="22"/>
      <c r="T145" s="22"/>
      <c r="U145" s="22"/>
      <c r="V145" s="22"/>
      <c r="W145" s="22"/>
      <c r="X145" s="22"/>
      <c r="Y145" s="22"/>
      <c r="Z145" s="22"/>
      <c r="AA145" s="22"/>
      <c r="AB145" s="22"/>
      <c r="AC145" s="22"/>
      <c r="AD145" s="22"/>
      <c r="AE145" s="22"/>
      <c r="AF145" s="22"/>
      <c r="AG145" s="22"/>
      <c r="AH145" s="22"/>
      <c r="AI145" s="22"/>
      <c r="AJ145" s="22"/>
      <c r="AK145" s="22"/>
      <c r="AL145" s="22"/>
      <c r="AM145" s="22"/>
      <c r="AN145" s="22"/>
      <c r="AO145" s="22"/>
      <c r="AP145" s="22"/>
      <c r="AQ145" s="22"/>
      <c r="AR145" s="22"/>
      <c r="AS145" s="22"/>
      <c r="AT145" s="22"/>
      <c r="AU145" s="22"/>
      <c r="AV145" s="22"/>
      <c r="AW145" s="22"/>
    </row>
    <row r="146" spans="2:49" x14ac:dyDescent="0.15">
      <c r="B146" s="22"/>
      <c r="C146" s="22"/>
      <c r="D146" s="22"/>
      <c r="E146" s="22"/>
      <c r="F146" s="22"/>
      <c r="G146" s="22"/>
      <c r="H146" s="22"/>
      <c r="I146" s="22"/>
      <c r="J146" s="22"/>
      <c r="K146" s="22"/>
      <c r="L146" s="22"/>
      <c r="M146" s="22"/>
      <c r="N146" s="22"/>
      <c r="O146" s="22"/>
      <c r="P146" s="22"/>
      <c r="Q146" s="22"/>
      <c r="R146" s="22"/>
      <c r="S146" s="22"/>
      <c r="T146" s="22"/>
      <c r="U146" s="22"/>
      <c r="V146" s="22"/>
      <c r="W146" s="22"/>
      <c r="X146" s="22"/>
      <c r="Y146" s="22"/>
      <c r="Z146" s="22"/>
      <c r="AA146" s="22"/>
      <c r="AB146" s="22"/>
      <c r="AC146" s="22"/>
      <c r="AD146" s="22"/>
      <c r="AE146" s="22"/>
      <c r="AF146" s="22"/>
      <c r="AG146" s="22"/>
      <c r="AH146" s="22"/>
      <c r="AI146" s="22"/>
      <c r="AJ146" s="22"/>
      <c r="AK146" s="22"/>
      <c r="AL146" s="22"/>
      <c r="AM146" s="22"/>
      <c r="AN146" s="22"/>
      <c r="AO146" s="22"/>
      <c r="AP146" s="22"/>
      <c r="AQ146" s="22"/>
      <c r="AR146" s="22"/>
      <c r="AS146" s="22"/>
      <c r="AT146" s="22"/>
      <c r="AU146" s="22"/>
      <c r="AV146" s="22"/>
      <c r="AW146" s="22"/>
    </row>
    <row r="147" spans="2:49" x14ac:dyDescent="0.15">
      <c r="B147" s="22"/>
      <c r="C147" s="22"/>
      <c r="D147" s="22"/>
      <c r="E147" s="22"/>
      <c r="F147" s="22"/>
      <c r="G147" s="22"/>
      <c r="H147" s="22"/>
      <c r="I147" s="22"/>
      <c r="J147" s="22"/>
      <c r="K147" s="22"/>
      <c r="L147" s="22"/>
      <c r="M147" s="22"/>
      <c r="N147" s="22"/>
      <c r="O147" s="22"/>
      <c r="P147" s="22"/>
      <c r="Q147" s="22"/>
      <c r="R147" s="22"/>
      <c r="S147" s="22"/>
      <c r="T147" s="22"/>
      <c r="U147" s="22"/>
      <c r="V147" s="22"/>
      <c r="W147" s="22"/>
      <c r="X147" s="22"/>
      <c r="Y147" s="22"/>
      <c r="Z147" s="22"/>
      <c r="AA147" s="22"/>
      <c r="AB147" s="22"/>
      <c r="AC147" s="22"/>
      <c r="AD147" s="22"/>
      <c r="AE147" s="22"/>
      <c r="AF147" s="22"/>
      <c r="AG147" s="22"/>
      <c r="AH147" s="22"/>
      <c r="AI147" s="22"/>
      <c r="AJ147" s="22"/>
      <c r="AK147" s="22"/>
      <c r="AL147" s="22"/>
      <c r="AM147" s="22"/>
      <c r="AN147" s="22"/>
      <c r="AO147" s="22"/>
      <c r="AP147" s="22"/>
      <c r="AQ147" s="22"/>
      <c r="AR147" s="22"/>
      <c r="AS147" s="22"/>
      <c r="AT147" s="22"/>
      <c r="AU147" s="22"/>
      <c r="AV147" s="22"/>
      <c r="AW147" s="22"/>
    </row>
    <row r="148" spans="2:49" x14ac:dyDescent="0.15">
      <c r="B148" s="22"/>
      <c r="C148" s="22"/>
      <c r="D148" s="22"/>
      <c r="E148" s="22"/>
      <c r="F148" s="22"/>
      <c r="G148" s="22"/>
      <c r="H148" s="22"/>
      <c r="I148" s="22"/>
      <c r="J148" s="22"/>
      <c r="K148" s="22"/>
      <c r="L148" s="22"/>
      <c r="M148" s="22"/>
      <c r="N148" s="22"/>
      <c r="O148" s="22"/>
      <c r="P148" s="22"/>
      <c r="Q148" s="22"/>
      <c r="R148" s="22"/>
      <c r="S148" s="22"/>
      <c r="T148" s="22"/>
      <c r="U148" s="22"/>
      <c r="V148" s="22"/>
      <c r="W148" s="22"/>
      <c r="X148" s="22"/>
      <c r="Y148" s="22"/>
      <c r="Z148" s="22"/>
      <c r="AA148" s="22"/>
      <c r="AB148" s="22"/>
      <c r="AC148" s="22"/>
      <c r="AD148" s="22"/>
      <c r="AE148" s="22"/>
      <c r="AF148" s="22"/>
      <c r="AG148" s="22"/>
      <c r="AH148" s="22"/>
      <c r="AI148" s="22"/>
      <c r="AJ148" s="22"/>
      <c r="AK148" s="22"/>
      <c r="AL148" s="22"/>
      <c r="AM148" s="22"/>
      <c r="AN148" s="22"/>
      <c r="AO148" s="22"/>
      <c r="AP148" s="22"/>
      <c r="AQ148" s="22"/>
      <c r="AR148" s="22"/>
      <c r="AS148" s="22"/>
      <c r="AT148" s="22"/>
      <c r="AU148" s="22"/>
      <c r="AV148" s="22"/>
      <c r="AW148" s="22"/>
    </row>
    <row r="149" spans="2:49" x14ac:dyDescent="0.15">
      <c r="B149" s="22"/>
      <c r="C149" s="22"/>
      <c r="D149" s="22"/>
      <c r="E149" s="22"/>
      <c r="F149" s="22"/>
      <c r="G149" s="22"/>
      <c r="H149" s="22"/>
      <c r="I149" s="22"/>
      <c r="J149" s="22"/>
      <c r="K149" s="22"/>
      <c r="L149" s="22"/>
      <c r="M149" s="22"/>
      <c r="N149" s="22"/>
      <c r="O149" s="22"/>
      <c r="P149" s="22"/>
      <c r="Q149" s="22"/>
      <c r="R149" s="22"/>
      <c r="S149" s="22"/>
      <c r="T149" s="22"/>
      <c r="U149" s="22"/>
      <c r="V149" s="22"/>
      <c r="W149" s="22"/>
      <c r="X149" s="22"/>
      <c r="Y149" s="22"/>
      <c r="Z149" s="22"/>
      <c r="AA149" s="22"/>
      <c r="AB149" s="22"/>
      <c r="AC149" s="22"/>
      <c r="AD149" s="22"/>
      <c r="AE149" s="22"/>
      <c r="AF149" s="22"/>
      <c r="AG149" s="22"/>
      <c r="AH149" s="22"/>
      <c r="AI149" s="22"/>
      <c r="AJ149" s="22"/>
      <c r="AK149" s="22"/>
      <c r="AL149" s="22"/>
      <c r="AM149" s="22"/>
      <c r="AN149" s="22"/>
      <c r="AO149" s="22"/>
      <c r="AP149" s="22"/>
      <c r="AQ149" s="22"/>
      <c r="AR149" s="22"/>
      <c r="AS149" s="22"/>
      <c r="AT149" s="22"/>
      <c r="AU149" s="22"/>
      <c r="AV149" s="22"/>
      <c r="AW149" s="22"/>
    </row>
    <row r="150" spans="2:49" x14ac:dyDescent="0.15">
      <c r="B150" s="22"/>
      <c r="C150" s="22"/>
      <c r="D150" s="22"/>
      <c r="E150" s="22"/>
      <c r="F150" s="22"/>
      <c r="G150" s="22"/>
      <c r="H150" s="22"/>
      <c r="I150" s="22"/>
      <c r="J150" s="22"/>
      <c r="K150" s="22"/>
      <c r="L150" s="22"/>
      <c r="M150" s="22"/>
      <c r="N150" s="22"/>
      <c r="O150" s="22"/>
      <c r="P150" s="22"/>
      <c r="Q150" s="22"/>
      <c r="R150" s="22"/>
      <c r="S150" s="22"/>
      <c r="T150" s="22"/>
      <c r="U150" s="22"/>
      <c r="V150" s="22"/>
      <c r="W150" s="22"/>
      <c r="X150" s="22"/>
      <c r="Y150" s="22"/>
      <c r="Z150" s="22"/>
      <c r="AA150" s="22"/>
      <c r="AB150" s="22"/>
      <c r="AC150" s="22"/>
      <c r="AD150" s="22"/>
      <c r="AE150" s="22"/>
      <c r="AF150" s="22"/>
      <c r="AG150" s="22"/>
      <c r="AH150" s="22"/>
      <c r="AI150" s="22"/>
      <c r="AJ150" s="22"/>
      <c r="AK150" s="22"/>
      <c r="AL150" s="22"/>
      <c r="AM150" s="22"/>
      <c r="AN150" s="22"/>
      <c r="AO150" s="22"/>
      <c r="AP150" s="22"/>
      <c r="AQ150" s="22"/>
      <c r="AR150" s="22"/>
      <c r="AS150" s="22"/>
      <c r="AT150" s="22"/>
      <c r="AU150" s="22"/>
      <c r="AV150" s="22"/>
      <c r="AW150" s="22"/>
    </row>
    <row r="151" spans="2:49" x14ac:dyDescent="0.15">
      <c r="B151" s="22"/>
      <c r="C151" s="22"/>
      <c r="D151" s="22"/>
      <c r="E151" s="22"/>
      <c r="F151" s="22"/>
      <c r="G151" s="22"/>
      <c r="H151" s="22"/>
      <c r="I151" s="22"/>
      <c r="J151" s="22"/>
      <c r="K151" s="22"/>
      <c r="L151" s="22"/>
      <c r="M151" s="22"/>
      <c r="N151" s="22"/>
      <c r="O151" s="22"/>
      <c r="P151" s="22"/>
      <c r="Q151" s="22"/>
      <c r="R151" s="22"/>
      <c r="S151" s="22"/>
      <c r="T151" s="22"/>
      <c r="U151" s="22"/>
      <c r="V151" s="22"/>
      <c r="W151" s="22"/>
      <c r="X151" s="22"/>
      <c r="Y151" s="22"/>
      <c r="Z151" s="22"/>
      <c r="AA151" s="22"/>
      <c r="AB151" s="22"/>
      <c r="AC151" s="22"/>
      <c r="AD151" s="22"/>
      <c r="AE151" s="22"/>
      <c r="AF151" s="22"/>
      <c r="AG151" s="22"/>
      <c r="AH151" s="22"/>
      <c r="AI151" s="22"/>
      <c r="AJ151" s="22"/>
      <c r="AK151" s="22"/>
      <c r="AL151" s="22"/>
      <c r="AM151" s="22"/>
      <c r="AN151" s="22"/>
      <c r="AO151" s="22"/>
      <c r="AP151" s="22"/>
      <c r="AQ151" s="22"/>
      <c r="AR151" s="22"/>
      <c r="AS151" s="22"/>
      <c r="AT151" s="22"/>
      <c r="AU151" s="22"/>
      <c r="AV151" s="22"/>
      <c r="AW151" s="22"/>
    </row>
    <row r="152" spans="2:49" x14ac:dyDescent="0.15">
      <c r="B152" s="22"/>
      <c r="C152" s="22"/>
      <c r="D152" s="22"/>
      <c r="E152" s="22"/>
      <c r="F152" s="22"/>
      <c r="G152" s="22"/>
      <c r="H152" s="22"/>
      <c r="I152" s="22"/>
      <c r="J152" s="22"/>
      <c r="K152" s="22"/>
      <c r="L152" s="22"/>
      <c r="M152" s="22"/>
      <c r="N152" s="22"/>
      <c r="O152" s="22"/>
      <c r="P152" s="22"/>
      <c r="Q152" s="22"/>
      <c r="R152" s="22"/>
      <c r="S152" s="22"/>
      <c r="T152" s="22"/>
      <c r="U152" s="22"/>
      <c r="V152" s="22"/>
      <c r="W152" s="22"/>
      <c r="X152" s="22"/>
      <c r="Y152" s="22"/>
      <c r="Z152" s="22"/>
      <c r="AA152" s="22"/>
      <c r="AB152" s="22"/>
      <c r="AC152" s="22"/>
      <c r="AD152" s="22"/>
      <c r="AE152" s="22"/>
      <c r="AF152" s="22"/>
      <c r="AG152" s="22"/>
      <c r="AH152" s="22"/>
      <c r="AI152" s="22"/>
      <c r="AJ152" s="22"/>
      <c r="AK152" s="22"/>
      <c r="AL152" s="22"/>
      <c r="AM152" s="22"/>
      <c r="AN152" s="22"/>
      <c r="AO152" s="22"/>
      <c r="AP152" s="22"/>
      <c r="AQ152" s="22"/>
      <c r="AR152" s="22"/>
      <c r="AS152" s="22"/>
      <c r="AT152" s="22"/>
      <c r="AU152" s="22"/>
      <c r="AV152" s="22"/>
      <c r="AW152" s="22"/>
    </row>
    <row r="153" spans="2:49" x14ac:dyDescent="0.15">
      <c r="B153" s="22"/>
      <c r="C153" s="22"/>
      <c r="D153" s="22"/>
      <c r="E153" s="22"/>
      <c r="F153" s="22"/>
      <c r="G153" s="22"/>
      <c r="H153" s="22"/>
      <c r="I153" s="22"/>
      <c r="J153" s="22"/>
      <c r="K153" s="22"/>
      <c r="L153" s="22"/>
      <c r="M153" s="22"/>
      <c r="N153" s="22"/>
      <c r="O153" s="22"/>
      <c r="P153" s="22"/>
      <c r="Q153" s="22"/>
      <c r="R153" s="22"/>
      <c r="S153" s="22"/>
      <c r="T153" s="22"/>
      <c r="U153" s="22"/>
      <c r="V153" s="22"/>
      <c r="W153" s="22"/>
      <c r="X153" s="22"/>
      <c r="Y153" s="22"/>
      <c r="Z153" s="22"/>
      <c r="AA153" s="22"/>
      <c r="AB153" s="22"/>
      <c r="AC153" s="22"/>
      <c r="AD153" s="22"/>
      <c r="AE153" s="22"/>
      <c r="AF153" s="22"/>
      <c r="AG153" s="22"/>
      <c r="AH153" s="22"/>
      <c r="AI153" s="22"/>
      <c r="AJ153" s="22"/>
      <c r="AK153" s="22"/>
      <c r="AL153" s="22"/>
      <c r="AM153" s="22"/>
      <c r="AN153" s="22"/>
      <c r="AO153" s="22"/>
      <c r="AP153" s="22"/>
      <c r="AQ153" s="22"/>
      <c r="AR153" s="22"/>
      <c r="AS153" s="22"/>
      <c r="AT153" s="22"/>
      <c r="AU153" s="22"/>
      <c r="AV153" s="22"/>
      <c r="AW153" s="22"/>
    </row>
    <row r="154" spans="2:49" x14ac:dyDescent="0.15">
      <c r="B154" s="22"/>
      <c r="C154" s="22"/>
      <c r="D154" s="22"/>
      <c r="E154" s="22"/>
      <c r="F154" s="22"/>
      <c r="G154" s="22"/>
      <c r="H154" s="22"/>
      <c r="I154" s="22"/>
      <c r="J154" s="22"/>
      <c r="K154" s="22"/>
      <c r="L154" s="22"/>
      <c r="M154" s="22"/>
      <c r="N154" s="22"/>
      <c r="O154" s="22"/>
      <c r="P154" s="22"/>
      <c r="Q154" s="22"/>
      <c r="R154" s="22"/>
      <c r="S154" s="22"/>
      <c r="T154" s="22"/>
      <c r="U154" s="22"/>
      <c r="V154" s="22"/>
      <c r="W154" s="22"/>
      <c r="X154" s="22"/>
      <c r="Y154" s="22"/>
      <c r="Z154" s="22"/>
      <c r="AA154" s="22"/>
      <c r="AB154" s="22"/>
      <c r="AC154" s="22"/>
      <c r="AD154" s="22"/>
      <c r="AE154" s="22"/>
      <c r="AF154" s="22"/>
      <c r="AG154" s="22"/>
      <c r="AH154" s="22"/>
      <c r="AI154" s="22"/>
      <c r="AJ154" s="22"/>
      <c r="AK154" s="22"/>
      <c r="AL154" s="22"/>
      <c r="AM154" s="22"/>
      <c r="AN154" s="22"/>
      <c r="AO154" s="22"/>
      <c r="AP154" s="22"/>
      <c r="AQ154" s="22"/>
      <c r="AR154" s="22"/>
      <c r="AS154" s="22"/>
      <c r="AT154" s="22"/>
      <c r="AU154" s="22"/>
      <c r="AV154" s="22"/>
      <c r="AW154" s="22"/>
    </row>
    <row r="155" spans="2:49" x14ac:dyDescent="0.15">
      <c r="B155" s="22"/>
      <c r="C155" s="22"/>
      <c r="D155" s="22"/>
      <c r="E155" s="22"/>
      <c r="F155" s="22"/>
      <c r="G155" s="22"/>
      <c r="H155" s="22"/>
      <c r="I155" s="22"/>
      <c r="J155" s="22"/>
      <c r="K155" s="22"/>
      <c r="L155" s="22"/>
      <c r="M155" s="22"/>
      <c r="N155" s="22"/>
      <c r="O155" s="22"/>
      <c r="P155" s="22"/>
      <c r="Q155" s="22"/>
      <c r="R155" s="22"/>
      <c r="S155" s="22"/>
      <c r="T155" s="22"/>
      <c r="U155" s="22"/>
      <c r="V155" s="22"/>
      <c r="W155" s="22"/>
      <c r="X155" s="22"/>
      <c r="Y155" s="22"/>
      <c r="Z155" s="22"/>
      <c r="AA155" s="22"/>
      <c r="AB155" s="22"/>
      <c r="AC155" s="22"/>
      <c r="AD155" s="22"/>
      <c r="AE155" s="22"/>
      <c r="AF155" s="22"/>
      <c r="AG155" s="22"/>
      <c r="AH155" s="22"/>
      <c r="AI155" s="22"/>
      <c r="AJ155" s="22"/>
      <c r="AK155" s="22"/>
      <c r="AL155" s="22"/>
      <c r="AM155" s="22"/>
      <c r="AN155" s="22"/>
      <c r="AO155" s="22"/>
      <c r="AP155" s="22"/>
      <c r="AQ155" s="22"/>
      <c r="AR155" s="22"/>
      <c r="AS155" s="22"/>
      <c r="AT155" s="22"/>
      <c r="AU155" s="22"/>
      <c r="AV155" s="22"/>
      <c r="AW155" s="22"/>
    </row>
    <row r="156" spans="2:49" x14ac:dyDescent="0.15">
      <c r="B156" s="22"/>
      <c r="C156" s="22"/>
      <c r="D156" s="22"/>
      <c r="E156" s="22"/>
      <c r="F156" s="22"/>
      <c r="G156" s="22"/>
      <c r="H156" s="22"/>
      <c r="I156" s="22"/>
      <c r="J156" s="22"/>
      <c r="K156" s="22"/>
      <c r="L156" s="22"/>
      <c r="M156" s="22"/>
      <c r="N156" s="22"/>
      <c r="O156" s="22"/>
      <c r="P156" s="22"/>
      <c r="Q156" s="22"/>
      <c r="R156" s="22"/>
      <c r="S156" s="22"/>
      <c r="T156" s="22"/>
      <c r="U156" s="22"/>
      <c r="V156" s="22"/>
      <c r="W156" s="22"/>
      <c r="X156" s="22"/>
      <c r="Y156" s="22"/>
      <c r="Z156" s="22"/>
      <c r="AA156" s="22"/>
      <c r="AB156" s="22"/>
      <c r="AC156" s="22"/>
      <c r="AD156" s="22"/>
      <c r="AE156" s="22"/>
      <c r="AF156" s="22"/>
      <c r="AG156" s="22"/>
      <c r="AH156" s="22"/>
      <c r="AI156" s="22"/>
      <c r="AJ156" s="22"/>
      <c r="AK156" s="22"/>
      <c r="AL156" s="22"/>
      <c r="AM156" s="22"/>
      <c r="AN156" s="22"/>
      <c r="AO156" s="22"/>
      <c r="AP156" s="22"/>
      <c r="AQ156" s="22"/>
      <c r="AR156" s="22"/>
      <c r="AS156" s="22"/>
      <c r="AT156" s="22"/>
      <c r="AU156" s="22"/>
      <c r="AV156" s="22"/>
      <c r="AW156" s="22"/>
    </row>
    <row r="157" spans="2:49" x14ac:dyDescent="0.15">
      <c r="B157" s="22"/>
      <c r="C157" s="22"/>
      <c r="D157" s="22"/>
      <c r="E157" s="22"/>
      <c r="F157" s="22"/>
      <c r="G157" s="22"/>
      <c r="H157" s="22"/>
      <c r="I157" s="22"/>
      <c r="J157" s="22"/>
      <c r="K157" s="22"/>
      <c r="L157" s="22"/>
      <c r="M157" s="22"/>
      <c r="N157" s="22"/>
      <c r="O157" s="22"/>
      <c r="P157" s="22"/>
      <c r="Q157" s="22"/>
      <c r="R157" s="22"/>
      <c r="S157" s="22"/>
      <c r="T157" s="22"/>
      <c r="U157" s="22"/>
      <c r="V157" s="22"/>
      <c r="W157" s="22"/>
      <c r="X157" s="22"/>
      <c r="Y157" s="22"/>
      <c r="Z157" s="22"/>
      <c r="AA157" s="22"/>
      <c r="AB157" s="22"/>
      <c r="AC157" s="22"/>
      <c r="AD157" s="22"/>
      <c r="AE157" s="22"/>
      <c r="AF157" s="22"/>
      <c r="AG157" s="22"/>
      <c r="AH157" s="22"/>
      <c r="AI157" s="22"/>
      <c r="AJ157" s="22"/>
      <c r="AK157" s="22"/>
      <c r="AL157" s="22"/>
      <c r="AM157" s="22"/>
      <c r="AN157" s="22"/>
      <c r="AO157" s="22"/>
      <c r="AP157" s="22"/>
      <c r="AQ157" s="22"/>
      <c r="AR157" s="22"/>
      <c r="AS157" s="22"/>
      <c r="AT157" s="22"/>
      <c r="AU157" s="22"/>
      <c r="AV157" s="22"/>
      <c r="AW157" s="22"/>
    </row>
    <row r="158" spans="2:49" x14ac:dyDescent="0.15">
      <c r="B158" s="22"/>
      <c r="C158" s="22"/>
      <c r="D158" s="22"/>
      <c r="E158" s="22"/>
      <c r="F158" s="22"/>
      <c r="G158" s="22"/>
      <c r="H158" s="22"/>
      <c r="I158" s="22"/>
      <c r="J158" s="22"/>
      <c r="K158" s="22"/>
      <c r="L158" s="22"/>
      <c r="M158" s="22"/>
      <c r="N158" s="22"/>
      <c r="O158" s="22"/>
      <c r="P158" s="22"/>
      <c r="Q158" s="22"/>
      <c r="R158" s="22"/>
      <c r="S158" s="22"/>
      <c r="T158" s="22"/>
      <c r="U158" s="22"/>
      <c r="V158" s="22"/>
      <c r="W158" s="22"/>
      <c r="X158" s="22"/>
      <c r="Y158" s="22"/>
      <c r="Z158" s="22"/>
      <c r="AA158" s="22"/>
      <c r="AB158" s="22"/>
      <c r="AC158" s="22"/>
      <c r="AD158" s="22"/>
      <c r="AE158" s="22"/>
      <c r="AF158" s="22"/>
      <c r="AG158" s="22"/>
      <c r="AH158" s="22"/>
      <c r="AI158" s="22"/>
      <c r="AJ158" s="22"/>
      <c r="AK158" s="22"/>
      <c r="AL158" s="22"/>
      <c r="AM158" s="22"/>
      <c r="AN158" s="22"/>
      <c r="AO158" s="22"/>
      <c r="AP158" s="22"/>
      <c r="AQ158" s="22"/>
      <c r="AR158" s="22"/>
      <c r="AS158" s="22"/>
      <c r="AT158" s="22"/>
      <c r="AU158" s="22"/>
      <c r="AV158" s="22"/>
      <c r="AW158" s="22"/>
    </row>
    <row r="159" spans="2:49" x14ac:dyDescent="0.15">
      <c r="B159" s="22"/>
      <c r="C159" s="22"/>
      <c r="D159" s="22"/>
      <c r="E159" s="22"/>
      <c r="F159" s="22"/>
      <c r="G159" s="22"/>
      <c r="H159" s="22"/>
      <c r="I159" s="22"/>
      <c r="J159" s="22"/>
      <c r="K159" s="22"/>
      <c r="L159" s="22"/>
      <c r="M159" s="22"/>
      <c r="N159" s="22"/>
      <c r="O159" s="22"/>
      <c r="P159" s="22"/>
      <c r="Q159" s="22"/>
      <c r="R159" s="22"/>
      <c r="S159" s="22"/>
      <c r="T159" s="22"/>
      <c r="U159" s="22"/>
      <c r="V159" s="22"/>
      <c r="W159" s="22"/>
      <c r="X159" s="22"/>
      <c r="Y159" s="22"/>
      <c r="Z159" s="22"/>
      <c r="AA159" s="22"/>
      <c r="AB159" s="22"/>
      <c r="AC159" s="22"/>
      <c r="AD159" s="22"/>
      <c r="AE159" s="22"/>
      <c r="AF159" s="22"/>
      <c r="AG159" s="22"/>
      <c r="AH159" s="22"/>
      <c r="AI159" s="22"/>
      <c r="AJ159" s="22"/>
      <c r="AK159" s="22"/>
      <c r="AL159" s="22"/>
      <c r="AM159" s="22"/>
      <c r="AN159" s="22"/>
      <c r="AO159" s="22"/>
      <c r="AP159" s="22"/>
      <c r="AQ159" s="22"/>
      <c r="AR159" s="22"/>
      <c r="AS159" s="22"/>
      <c r="AT159" s="22"/>
      <c r="AU159" s="22"/>
      <c r="AV159" s="22"/>
      <c r="AW159" s="22"/>
    </row>
    <row r="160" spans="2:49" x14ac:dyDescent="0.15">
      <c r="B160" s="22"/>
      <c r="C160" s="22"/>
      <c r="D160" s="22"/>
      <c r="E160" s="22"/>
      <c r="F160" s="22"/>
      <c r="G160" s="22"/>
      <c r="H160" s="22"/>
      <c r="I160" s="22"/>
      <c r="J160" s="22"/>
      <c r="K160" s="22"/>
      <c r="L160" s="22"/>
      <c r="M160" s="22"/>
      <c r="N160" s="22"/>
      <c r="O160" s="22"/>
      <c r="P160" s="22"/>
      <c r="Q160" s="22"/>
      <c r="R160" s="22"/>
      <c r="S160" s="22"/>
      <c r="T160" s="22"/>
      <c r="U160" s="22"/>
      <c r="V160" s="22"/>
      <c r="W160" s="22"/>
      <c r="X160" s="22"/>
      <c r="Y160" s="22"/>
      <c r="Z160" s="22"/>
      <c r="AA160" s="22"/>
      <c r="AB160" s="22"/>
      <c r="AC160" s="22"/>
      <c r="AD160" s="22"/>
      <c r="AE160" s="22"/>
      <c r="AF160" s="22"/>
      <c r="AG160" s="22"/>
      <c r="AH160" s="22"/>
      <c r="AI160" s="22"/>
      <c r="AJ160" s="22"/>
      <c r="AK160" s="22"/>
      <c r="AL160" s="22"/>
      <c r="AM160" s="22"/>
      <c r="AN160" s="22"/>
      <c r="AO160" s="22"/>
      <c r="AP160" s="22"/>
      <c r="AQ160" s="22"/>
      <c r="AR160" s="22"/>
      <c r="AS160" s="22"/>
      <c r="AT160" s="22"/>
      <c r="AU160" s="22"/>
      <c r="AV160" s="22"/>
      <c r="AW160" s="22"/>
    </row>
    <row r="161" spans="2:49" x14ac:dyDescent="0.15">
      <c r="B161" s="22"/>
      <c r="C161" s="22"/>
      <c r="D161" s="22"/>
      <c r="E161" s="22"/>
      <c r="F161" s="22"/>
      <c r="G161" s="22"/>
      <c r="H161" s="22"/>
      <c r="I161" s="22"/>
      <c r="J161" s="22"/>
      <c r="K161" s="22"/>
      <c r="L161" s="22"/>
      <c r="M161" s="22"/>
      <c r="N161" s="22"/>
      <c r="O161" s="22"/>
      <c r="P161" s="22"/>
      <c r="Q161" s="22"/>
      <c r="R161" s="22"/>
      <c r="S161" s="22"/>
      <c r="T161" s="22"/>
      <c r="U161" s="22"/>
      <c r="V161" s="22"/>
      <c r="W161" s="22"/>
      <c r="X161" s="22"/>
      <c r="Y161" s="22"/>
      <c r="Z161" s="22"/>
      <c r="AA161" s="22"/>
      <c r="AB161" s="22"/>
      <c r="AC161" s="22"/>
      <c r="AD161" s="22"/>
      <c r="AE161" s="22"/>
      <c r="AF161" s="22"/>
      <c r="AG161" s="22"/>
      <c r="AH161" s="22"/>
      <c r="AI161" s="22"/>
      <c r="AJ161" s="22"/>
      <c r="AK161" s="22"/>
      <c r="AL161" s="22"/>
      <c r="AM161" s="22"/>
      <c r="AN161" s="22"/>
      <c r="AO161" s="22"/>
      <c r="AP161" s="22"/>
      <c r="AQ161" s="22"/>
      <c r="AR161" s="22"/>
      <c r="AS161" s="22"/>
      <c r="AT161" s="22"/>
      <c r="AU161" s="22"/>
      <c r="AV161" s="22"/>
      <c r="AW161" s="22"/>
    </row>
    <row r="162" spans="2:49" x14ac:dyDescent="0.15">
      <c r="B162" s="22"/>
      <c r="C162" s="22"/>
      <c r="D162" s="22"/>
      <c r="E162" s="22"/>
      <c r="F162" s="22"/>
      <c r="G162" s="22"/>
      <c r="H162" s="22"/>
      <c r="I162" s="22"/>
      <c r="J162" s="22"/>
      <c r="K162" s="22"/>
      <c r="L162" s="22"/>
      <c r="M162" s="22"/>
      <c r="N162" s="22"/>
      <c r="O162" s="22"/>
      <c r="P162" s="22"/>
      <c r="Q162" s="22"/>
      <c r="R162" s="22"/>
      <c r="S162" s="22"/>
      <c r="T162" s="22"/>
      <c r="U162" s="22"/>
      <c r="V162" s="22"/>
      <c r="W162" s="22"/>
      <c r="X162" s="22"/>
      <c r="Y162" s="22"/>
      <c r="Z162" s="22"/>
      <c r="AA162" s="22"/>
      <c r="AB162" s="22"/>
      <c r="AC162" s="22"/>
      <c r="AD162" s="22"/>
      <c r="AE162" s="22"/>
      <c r="AF162" s="22"/>
      <c r="AG162" s="22"/>
      <c r="AH162" s="22"/>
      <c r="AI162" s="22"/>
      <c r="AJ162" s="22"/>
      <c r="AK162" s="22"/>
      <c r="AL162" s="22"/>
      <c r="AM162" s="22"/>
      <c r="AN162" s="22"/>
      <c r="AO162" s="22"/>
      <c r="AP162" s="22"/>
      <c r="AQ162" s="22"/>
      <c r="AR162" s="22"/>
      <c r="AS162" s="22"/>
      <c r="AT162" s="22"/>
      <c r="AU162" s="22"/>
      <c r="AV162" s="22"/>
      <c r="AW162" s="22"/>
    </row>
    <row r="163" spans="2:49" x14ac:dyDescent="0.15">
      <c r="B163" s="22"/>
      <c r="C163" s="22"/>
      <c r="D163" s="22"/>
      <c r="E163" s="22"/>
      <c r="F163" s="22"/>
      <c r="G163" s="22"/>
      <c r="H163" s="22"/>
      <c r="I163" s="22"/>
      <c r="J163" s="22"/>
      <c r="K163" s="22"/>
      <c r="L163" s="22"/>
      <c r="M163" s="22"/>
      <c r="N163" s="22"/>
      <c r="O163" s="22"/>
      <c r="P163" s="22"/>
      <c r="Q163" s="22"/>
      <c r="R163" s="22"/>
      <c r="S163" s="22"/>
      <c r="T163" s="22"/>
      <c r="U163" s="22"/>
      <c r="V163" s="22"/>
      <c r="W163" s="22"/>
      <c r="X163" s="22"/>
      <c r="Y163" s="22"/>
      <c r="Z163" s="22"/>
      <c r="AA163" s="22"/>
      <c r="AB163" s="22"/>
      <c r="AC163" s="22"/>
      <c r="AD163" s="22"/>
      <c r="AE163" s="22"/>
      <c r="AF163" s="22"/>
      <c r="AG163" s="22"/>
      <c r="AH163" s="22"/>
      <c r="AI163" s="22"/>
      <c r="AJ163" s="22"/>
      <c r="AK163" s="22"/>
      <c r="AL163" s="22"/>
      <c r="AM163" s="22"/>
      <c r="AN163" s="22"/>
      <c r="AO163" s="22"/>
      <c r="AP163" s="22"/>
      <c r="AQ163" s="22"/>
      <c r="AR163" s="22"/>
      <c r="AS163" s="22"/>
      <c r="AT163" s="22"/>
      <c r="AU163" s="22"/>
      <c r="AV163" s="22"/>
      <c r="AW163" s="22"/>
    </row>
    <row r="164" spans="2:49" x14ac:dyDescent="0.15">
      <c r="B164" s="22"/>
      <c r="C164" s="22"/>
      <c r="D164" s="22"/>
      <c r="E164" s="22"/>
      <c r="F164" s="22"/>
      <c r="G164" s="22"/>
      <c r="H164" s="22"/>
      <c r="I164" s="22"/>
      <c r="J164" s="22"/>
      <c r="K164" s="22"/>
      <c r="L164" s="22"/>
      <c r="M164" s="22"/>
      <c r="N164" s="22"/>
      <c r="O164" s="22"/>
      <c r="P164" s="22"/>
      <c r="Q164" s="22"/>
      <c r="R164" s="22"/>
      <c r="S164" s="22"/>
      <c r="T164" s="22"/>
      <c r="U164" s="22"/>
      <c r="V164" s="22"/>
      <c r="W164" s="22"/>
      <c r="X164" s="22"/>
      <c r="Y164" s="22"/>
      <c r="Z164" s="22"/>
      <c r="AA164" s="22"/>
      <c r="AB164" s="22"/>
      <c r="AC164" s="22"/>
      <c r="AD164" s="22"/>
      <c r="AE164" s="22"/>
      <c r="AF164" s="22"/>
      <c r="AG164" s="22"/>
      <c r="AH164" s="22"/>
      <c r="AI164" s="22"/>
      <c r="AJ164" s="22"/>
      <c r="AK164" s="22"/>
      <c r="AL164" s="22"/>
      <c r="AM164" s="22"/>
      <c r="AN164" s="22"/>
      <c r="AO164" s="22"/>
      <c r="AP164" s="22"/>
      <c r="AQ164" s="22"/>
      <c r="AR164" s="22"/>
      <c r="AS164" s="22"/>
      <c r="AT164" s="22"/>
      <c r="AU164" s="22"/>
      <c r="AV164" s="22"/>
      <c r="AW164" s="22"/>
    </row>
    <row r="165" spans="2:49" x14ac:dyDescent="0.15">
      <c r="B165" s="22"/>
      <c r="C165" s="22"/>
      <c r="D165" s="22"/>
      <c r="E165" s="22"/>
      <c r="F165" s="22"/>
      <c r="G165" s="22"/>
      <c r="H165" s="22"/>
      <c r="I165" s="22"/>
      <c r="J165" s="22"/>
      <c r="K165" s="22"/>
      <c r="L165" s="22"/>
      <c r="M165" s="22"/>
      <c r="N165" s="22"/>
      <c r="O165" s="22"/>
      <c r="P165" s="22"/>
      <c r="Q165" s="22"/>
      <c r="R165" s="22"/>
      <c r="S165" s="22"/>
      <c r="T165" s="22"/>
      <c r="U165" s="22"/>
      <c r="V165" s="22"/>
      <c r="W165" s="22"/>
      <c r="X165" s="22"/>
      <c r="Y165" s="22"/>
      <c r="Z165" s="22"/>
      <c r="AA165" s="22"/>
      <c r="AB165" s="22"/>
      <c r="AC165" s="22"/>
      <c r="AD165" s="22"/>
      <c r="AE165" s="22"/>
      <c r="AF165" s="22"/>
      <c r="AG165" s="22"/>
      <c r="AH165" s="22"/>
      <c r="AI165" s="22"/>
      <c r="AJ165" s="22"/>
      <c r="AK165" s="22"/>
      <c r="AL165" s="22"/>
      <c r="AM165" s="22"/>
      <c r="AN165" s="22"/>
      <c r="AO165" s="22"/>
      <c r="AP165" s="22"/>
      <c r="AQ165" s="22"/>
      <c r="AR165" s="22"/>
      <c r="AS165" s="22"/>
      <c r="AT165" s="22"/>
      <c r="AU165" s="22"/>
      <c r="AV165" s="22"/>
      <c r="AW165" s="22"/>
    </row>
    <row r="166" spans="2:49" x14ac:dyDescent="0.15">
      <c r="B166" s="22"/>
      <c r="C166" s="22"/>
      <c r="D166" s="22"/>
      <c r="E166" s="22"/>
      <c r="F166" s="22"/>
      <c r="G166" s="22"/>
      <c r="H166" s="22"/>
      <c r="I166" s="22"/>
      <c r="J166" s="22"/>
      <c r="K166" s="22"/>
      <c r="L166" s="22"/>
      <c r="M166" s="22"/>
      <c r="N166" s="22"/>
      <c r="O166" s="22"/>
      <c r="P166" s="22"/>
      <c r="Q166" s="22"/>
      <c r="R166" s="22"/>
      <c r="S166" s="22"/>
      <c r="T166" s="22"/>
      <c r="U166" s="22"/>
      <c r="V166" s="22"/>
      <c r="W166" s="22"/>
      <c r="X166" s="22"/>
      <c r="Y166" s="22"/>
      <c r="Z166" s="22"/>
      <c r="AA166" s="22"/>
      <c r="AB166" s="22"/>
      <c r="AC166" s="22"/>
      <c r="AD166" s="22"/>
      <c r="AE166" s="22"/>
      <c r="AF166" s="22"/>
      <c r="AG166" s="22"/>
      <c r="AH166" s="22"/>
      <c r="AI166" s="22"/>
      <c r="AJ166" s="22"/>
      <c r="AK166" s="22"/>
      <c r="AL166" s="22"/>
      <c r="AM166" s="22"/>
      <c r="AN166" s="22"/>
      <c r="AO166" s="22"/>
      <c r="AP166" s="22"/>
      <c r="AQ166" s="22"/>
      <c r="AR166" s="22"/>
      <c r="AS166" s="22"/>
      <c r="AT166" s="22"/>
      <c r="AU166" s="22"/>
      <c r="AV166" s="22"/>
      <c r="AW166" s="22"/>
    </row>
    <row r="167" spans="2:49" x14ac:dyDescent="0.15">
      <c r="B167" s="22"/>
      <c r="C167" s="22"/>
      <c r="D167" s="22"/>
      <c r="E167" s="22"/>
      <c r="F167" s="22"/>
      <c r="G167" s="22"/>
      <c r="H167" s="22"/>
      <c r="I167" s="22"/>
      <c r="J167" s="22"/>
      <c r="K167" s="22"/>
      <c r="L167" s="22"/>
      <c r="M167" s="22"/>
      <c r="N167" s="22"/>
      <c r="O167" s="22"/>
      <c r="P167" s="22"/>
      <c r="Q167" s="22"/>
      <c r="R167" s="22"/>
      <c r="S167" s="22"/>
      <c r="T167" s="22"/>
      <c r="U167" s="22"/>
      <c r="V167" s="22"/>
      <c r="W167" s="22"/>
      <c r="X167" s="22"/>
      <c r="Y167" s="22"/>
      <c r="Z167" s="22"/>
      <c r="AA167" s="22"/>
      <c r="AB167" s="22"/>
      <c r="AC167" s="22"/>
      <c r="AD167" s="22"/>
      <c r="AE167" s="22"/>
      <c r="AF167" s="22"/>
      <c r="AG167" s="22"/>
      <c r="AH167" s="22"/>
      <c r="AI167" s="22"/>
      <c r="AJ167" s="22"/>
      <c r="AK167" s="22"/>
      <c r="AL167" s="22"/>
      <c r="AM167" s="22"/>
      <c r="AN167" s="22"/>
      <c r="AO167" s="22"/>
      <c r="AP167" s="22"/>
      <c r="AQ167" s="22"/>
      <c r="AR167" s="22"/>
      <c r="AS167" s="22"/>
      <c r="AT167" s="22"/>
      <c r="AU167" s="22"/>
      <c r="AV167" s="22"/>
      <c r="AW167" s="22"/>
    </row>
    <row r="168" spans="2:49" x14ac:dyDescent="0.15">
      <c r="B168" s="22"/>
      <c r="C168" s="22"/>
      <c r="D168" s="22"/>
      <c r="E168" s="22"/>
      <c r="F168" s="22"/>
      <c r="G168" s="22"/>
      <c r="H168" s="22"/>
      <c r="I168" s="22"/>
      <c r="J168" s="22"/>
      <c r="K168" s="22"/>
      <c r="L168" s="22"/>
      <c r="M168" s="22"/>
      <c r="N168" s="22"/>
      <c r="O168" s="22"/>
      <c r="P168" s="22"/>
      <c r="Q168" s="22"/>
      <c r="R168" s="22"/>
      <c r="S168" s="22"/>
      <c r="T168" s="22"/>
      <c r="U168" s="22"/>
      <c r="V168" s="22"/>
      <c r="W168" s="22"/>
      <c r="X168" s="22"/>
      <c r="Y168" s="22"/>
      <c r="Z168" s="22"/>
      <c r="AA168" s="22"/>
      <c r="AB168" s="22"/>
      <c r="AC168" s="22"/>
      <c r="AD168" s="22"/>
      <c r="AE168" s="22"/>
      <c r="AF168" s="22"/>
      <c r="AG168" s="22"/>
      <c r="AH168" s="22"/>
      <c r="AI168" s="22"/>
      <c r="AJ168" s="22"/>
      <c r="AK168" s="22"/>
      <c r="AL168" s="22"/>
      <c r="AM168" s="22"/>
      <c r="AN168" s="22"/>
      <c r="AO168" s="22"/>
      <c r="AP168" s="22"/>
      <c r="AQ168" s="22"/>
      <c r="AR168" s="22"/>
      <c r="AS168" s="22"/>
      <c r="AT168" s="22"/>
      <c r="AU168" s="22"/>
      <c r="AV168" s="22"/>
      <c r="AW168" s="22"/>
    </row>
    <row r="169" spans="2:49" x14ac:dyDescent="0.15">
      <c r="B169" s="22"/>
      <c r="C169" s="22"/>
      <c r="D169" s="22"/>
      <c r="E169" s="22"/>
      <c r="F169" s="22"/>
      <c r="G169" s="22"/>
      <c r="H169" s="22"/>
      <c r="I169" s="22"/>
      <c r="J169" s="22"/>
      <c r="K169" s="22"/>
      <c r="L169" s="22"/>
      <c r="M169" s="22"/>
      <c r="N169" s="22"/>
      <c r="O169" s="22"/>
      <c r="P169" s="22"/>
      <c r="Q169" s="22"/>
      <c r="R169" s="22"/>
      <c r="S169" s="22"/>
      <c r="T169" s="22"/>
      <c r="U169" s="22"/>
      <c r="V169" s="22"/>
      <c r="W169" s="22"/>
      <c r="X169" s="22"/>
      <c r="Y169" s="22"/>
      <c r="Z169" s="22"/>
      <c r="AA169" s="22"/>
      <c r="AB169" s="22"/>
      <c r="AC169" s="22"/>
      <c r="AD169" s="22"/>
      <c r="AE169" s="22"/>
      <c r="AF169" s="22"/>
      <c r="AG169" s="22"/>
      <c r="AH169" s="22"/>
      <c r="AI169" s="22"/>
      <c r="AJ169" s="22"/>
      <c r="AK169" s="22"/>
      <c r="AL169" s="22"/>
      <c r="AM169" s="22"/>
      <c r="AN169" s="22"/>
      <c r="AO169" s="22"/>
      <c r="AP169" s="22"/>
      <c r="AQ169" s="22"/>
      <c r="AR169" s="22"/>
      <c r="AS169" s="22"/>
      <c r="AT169" s="22"/>
      <c r="AU169" s="22"/>
      <c r="AV169" s="22"/>
      <c r="AW169" s="22"/>
    </row>
    <row r="170" spans="2:49" x14ac:dyDescent="0.15">
      <c r="B170" s="22"/>
      <c r="C170" s="22"/>
      <c r="D170" s="22"/>
      <c r="E170" s="22"/>
      <c r="F170" s="22"/>
      <c r="G170" s="22"/>
      <c r="H170" s="22"/>
      <c r="I170" s="22"/>
      <c r="J170" s="22"/>
      <c r="K170" s="22"/>
      <c r="L170" s="22"/>
      <c r="M170" s="22"/>
      <c r="N170" s="22"/>
      <c r="O170" s="22"/>
      <c r="P170" s="22"/>
      <c r="Q170" s="22"/>
      <c r="R170" s="22"/>
      <c r="S170" s="22"/>
      <c r="T170" s="22"/>
      <c r="U170" s="22"/>
      <c r="V170" s="22"/>
      <c r="W170" s="22"/>
      <c r="X170" s="22"/>
      <c r="Y170" s="22"/>
      <c r="Z170" s="22"/>
      <c r="AA170" s="22"/>
      <c r="AB170" s="22"/>
      <c r="AC170" s="22"/>
      <c r="AD170" s="22"/>
      <c r="AE170" s="22"/>
      <c r="AF170" s="22"/>
      <c r="AG170" s="22"/>
      <c r="AH170" s="22"/>
      <c r="AI170" s="22"/>
      <c r="AJ170" s="22"/>
      <c r="AK170" s="22"/>
      <c r="AL170" s="22"/>
      <c r="AM170" s="22"/>
      <c r="AN170" s="22"/>
      <c r="AO170" s="22"/>
      <c r="AP170" s="22"/>
      <c r="AQ170" s="22"/>
      <c r="AR170" s="22"/>
      <c r="AS170" s="22"/>
      <c r="AT170" s="22"/>
      <c r="AU170" s="22"/>
      <c r="AV170" s="22"/>
      <c r="AW170" s="22"/>
    </row>
    <row r="171" spans="2:49" x14ac:dyDescent="0.15">
      <c r="B171" s="22"/>
      <c r="C171" s="22"/>
      <c r="D171" s="22"/>
      <c r="E171" s="22"/>
      <c r="F171" s="22"/>
      <c r="G171" s="22"/>
      <c r="H171" s="22"/>
      <c r="I171" s="22"/>
      <c r="J171" s="22"/>
      <c r="K171" s="22"/>
      <c r="L171" s="22"/>
      <c r="M171" s="22"/>
      <c r="N171" s="22"/>
      <c r="O171" s="22"/>
      <c r="P171" s="22"/>
      <c r="Q171" s="22"/>
      <c r="R171" s="22"/>
      <c r="S171" s="22"/>
      <c r="T171" s="22"/>
      <c r="U171" s="22"/>
      <c r="V171" s="22"/>
      <c r="W171" s="22"/>
      <c r="X171" s="22"/>
      <c r="Y171" s="22"/>
      <c r="Z171" s="22"/>
      <c r="AA171" s="22"/>
      <c r="AB171" s="22"/>
      <c r="AC171" s="22"/>
      <c r="AD171" s="22"/>
      <c r="AE171" s="22"/>
      <c r="AF171" s="22"/>
      <c r="AG171" s="22"/>
      <c r="AH171" s="22"/>
      <c r="AI171" s="22"/>
      <c r="AJ171" s="22"/>
      <c r="AK171" s="22"/>
      <c r="AL171" s="22"/>
      <c r="AM171" s="22"/>
      <c r="AN171" s="22"/>
      <c r="AO171" s="22"/>
      <c r="AP171" s="22"/>
      <c r="AQ171" s="22"/>
      <c r="AR171" s="22"/>
      <c r="AS171" s="22"/>
      <c r="AT171" s="22"/>
      <c r="AU171" s="22"/>
      <c r="AV171" s="22"/>
      <c r="AW171" s="22"/>
    </row>
    <row r="172" spans="2:49" x14ac:dyDescent="0.15">
      <c r="B172" s="22"/>
      <c r="C172" s="22"/>
      <c r="D172" s="22"/>
      <c r="E172" s="22"/>
      <c r="F172" s="22"/>
      <c r="G172" s="22"/>
      <c r="H172" s="22"/>
      <c r="I172" s="22"/>
      <c r="J172" s="22"/>
      <c r="K172" s="22"/>
      <c r="L172" s="22"/>
      <c r="M172" s="22"/>
      <c r="N172" s="22"/>
      <c r="O172" s="22"/>
      <c r="P172" s="22"/>
      <c r="Q172" s="22"/>
      <c r="R172" s="22"/>
      <c r="S172" s="22"/>
      <c r="T172" s="22"/>
      <c r="U172" s="22"/>
      <c r="V172" s="22"/>
      <c r="W172" s="22"/>
      <c r="X172" s="22"/>
      <c r="Y172" s="22"/>
      <c r="Z172" s="22"/>
      <c r="AA172" s="22"/>
      <c r="AB172" s="22"/>
      <c r="AC172" s="22"/>
      <c r="AD172" s="22"/>
      <c r="AE172" s="22"/>
      <c r="AF172" s="22"/>
      <c r="AG172" s="22"/>
      <c r="AH172" s="22"/>
      <c r="AI172" s="22"/>
      <c r="AJ172" s="22"/>
      <c r="AK172" s="22"/>
      <c r="AL172" s="22"/>
      <c r="AM172" s="22"/>
      <c r="AN172" s="22"/>
      <c r="AO172" s="22"/>
      <c r="AP172" s="22"/>
      <c r="AQ172" s="22"/>
      <c r="AR172" s="22"/>
      <c r="AS172" s="22"/>
      <c r="AT172" s="22"/>
      <c r="AU172" s="22"/>
      <c r="AV172" s="22"/>
      <c r="AW172" s="22"/>
    </row>
    <row r="173" spans="2:49" x14ac:dyDescent="0.15">
      <c r="B173" s="22"/>
      <c r="C173" s="22"/>
      <c r="D173" s="22"/>
      <c r="E173" s="22"/>
      <c r="F173" s="22"/>
      <c r="G173" s="22"/>
      <c r="H173" s="22"/>
      <c r="I173" s="22"/>
      <c r="J173" s="22"/>
      <c r="K173" s="22"/>
      <c r="L173" s="22"/>
      <c r="M173" s="22"/>
      <c r="N173" s="22"/>
      <c r="O173" s="22"/>
      <c r="P173" s="22"/>
      <c r="Q173" s="22"/>
      <c r="R173" s="22"/>
      <c r="S173" s="22"/>
      <c r="T173" s="22"/>
      <c r="U173" s="22"/>
      <c r="V173" s="22"/>
      <c r="W173" s="22"/>
      <c r="X173" s="22"/>
      <c r="Y173" s="22"/>
      <c r="Z173" s="22"/>
      <c r="AA173" s="22"/>
      <c r="AB173" s="22"/>
      <c r="AC173" s="22"/>
      <c r="AD173" s="22"/>
      <c r="AE173" s="22"/>
      <c r="AF173" s="22"/>
      <c r="AG173" s="22"/>
      <c r="AH173" s="22"/>
      <c r="AI173" s="22"/>
      <c r="AJ173" s="22"/>
      <c r="AK173" s="22"/>
      <c r="AL173" s="22"/>
      <c r="AM173" s="22"/>
      <c r="AN173" s="22"/>
      <c r="AO173" s="22"/>
      <c r="AP173" s="22"/>
      <c r="AQ173" s="22"/>
      <c r="AR173" s="22"/>
      <c r="AS173" s="22"/>
      <c r="AT173" s="22"/>
      <c r="AU173" s="22"/>
      <c r="AV173" s="22"/>
      <c r="AW173" s="22"/>
    </row>
    <row r="174" spans="2:49" x14ac:dyDescent="0.15">
      <c r="B174" s="22"/>
      <c r="C174" s="22"/>
      <c r="D174" s="22"/>
      <c r="E174" s="22"/>
      <c r="F174" s="22"/>
      <c r="G174" s="22"/>
      <c r="H174" s="22"/>
      <c r="I174" s="22"/>
      <c r="J174" s="22"/>
      <c r="K174" s="22"/>
      <c r="L174" s="22"/>
      <c r="M174" s="22"/>
      <c r="N174" s="22"/>
      <c r="O174" s="22"/>
      <c r="P174" s="22"/>
      <c r="Q174" s="22"/>
      <c r="R174" s="22"/>
      <c r="S174" s="22"/>
      <c r="T174" s="22"/>
      <c r="U174" s="22"/>
      <c r="V174" s="22"/>
      <c r="W174" s="22"/>
      <c r="X174" s="22"/>
      <c r="Y174" s="22"/>
      <c r="Z174" s="22"/>
      <c r="AA174" s="22"/>
      <c r="AB174" s="22"/>
      <c r="AC174" s="22"/>
      <c r="AD174" s="22"/>
      <c r="AE174" s="22"/>
      <c r="AF174" s="22"/>
      <c r="AG174" s="22"/>
      <c r="AH174" s="22"/>
      <c r="AI174" s="22"/>
      <c r="AJ174" s="22"/>
      <c r="AK174" s="22"/>
      <c r="AL174" s="22"/>
      <c r="AM174" s="22"/>
      <c r="AN174" s="22"/>
      <c r="AO174" s="22"/>
      <c r="AP174" s="22"/>
      <c r="AQ174" s="22"/>
      <c r="AR174" s="22"/>
      <c r="AS174" s="22"/>
      <c r="AT174" s="22"/>
      <c r="AU174" s="22"/>
      <c r="AV174" s="22"/>
      <c r="AW174" s="22"/>
    </row>
    <row r="175" spans="2:49" x14ac:dyDescent="0.15">
      <c r="B175" s="22"/>
      <c r="C175" s="22"/>
      <c r="D175" s="22"/>
      <c r="E175" s="22"/>
      <c r="F175" s="22"/>
      <c r="G175" s="22"/>
      <c r="H175" s="22"/>
      <c r="I175" s="22"/>
      <c r="J175" s="22"/>
      <c r="K175" s="22"/>
      <c r="L175" s="22"/>
      <c r="M175" s="22"/>
      <c r="N175" s="22"/>
      <c r="O175" s="22"/>
      <c r="P175" s="22"/>
      <c r="Q175" s="22"/>
      <c r="R175" s="22"/>
      <c r="S175" s="22"/>
      <c r="T175" s="22"/>
      <c r="U175" s="22"/>
      <c r="V175" s="22"/>
      <c r="W175" s="22"/>
      <c r="X175" s="22"/>
      <c r="Y175" s="22"/>
      <c r="Z175" s="22"/>
      <c r="AA175" s="22"/>
      <c r="AB175" s="22"/>
      <c r="AC175" s="22"/>
      <c r="AD175" s="22"/>
      <c r="AE175" s="22"/>
      <c r="AF175" s="22"/>
      <c r="AG175" s="22"/>
      <c r="AH175" s="22"/>
      <c r="AI175" s="22"/>
      <c r="AJ175" s="22"/>
      <c r="AK175" s="22"/>
      <c r="AL175" s="22"/>
      <c r="AM175" s="22"/>
      <c r="AN175" s="22"/>
      <c r="AO175" s="22"/>
      <c r="AP175" s="22"/>
      <c r="AQ175" s="22"/>
      <c r="AR175" s="22"/>
      <c r="AS175" s="22"/>
      <c r="AT175" s="22"/>
      <c r="AU175" s="22"/>
      <c r="AV175" s="22"/>
      <c r="AW175" s="22"/>
    </row>
    <row r="176" spans="2:49" x14ac:dyDescent="0.15">
      <c r="B176" s="22"/>
      <c r="C176" s="22"/>
      <c r="D176" s="22"/>
      <c r="E176" s="22"/>
      <c r="F176" s="22"/>
      <c r="G176" s="22"/>
      <c r="H176" s="22"/>
      <c r="I176" s="22"/>
      <c r="J176" s="22"/>
      <c r="K176" s="22"/>
      <c r="L176" s="22"/>
      <c r="M176" s="22"/>
      <c r="N176" s="22"/>
      <c r="O176" s="22"/>
      <c r="P176" s="22"/>
      <c r="Q176" s="22"/>
      <c r="R176" s="22"/>
      <c r="S176" s="22"/>
      <c r="T176" s="22"/>
      <c r="U176" s="22"/>
      <c r="V176" s="22"/>
      <c r="W176" s="22"/>
      <c r="X176" s="22"/>
      <c r="Y176" s="22"/>
      <c r="Z176" s="22"/>
      <c r="AA176" s="22"/>
      <c r="AB176" s="22"/>
      <c r="AC176" s="22"/>
      <c r="AD176" s="22"/>
      <c r="AE176" s="22"/>
      <c r="AF176" s="22"/>
      <c r="AG176" s="22"/>
      <c r="AH176" s="22"/>
      <c r="AI176" s="22"/>
      <c r="AJ176" s="22"/>
      <c r="AK176" s="22"/>
      <c r="AL176" s="22"/>
      <c r="AM176" s="22"/>
      <c r="AN176" s="22"/>
      <c r="AO176" s="22"/>
      <c r="AP176" s="22"/>
      <c r="AQ176" s="22"/>
      <c r="AR176" s="22"/>
      <c r="AS176" s="22"/>
      <c r="AT176" s="22"/>
      <c r="AU176" s="22"/>
      <c r="AV176" s="22"/>
      <c r="AW176" s="22"/>
    </row>
    <row r="177" spans="2:49" x14ac:dyDescent="0.15">
      <c r="B177" s="22"/>
      <c r="C177" s="22"/>
      <c r="D177" s="22"/>
      <c r="E177" s="22"/>
      <c r="F177" s="22"/>
      <c r="G177" s="22"/>
      <c r="H177" s="22"/>
      <c r="I177" s="22"/>
      <c r="J177" s="22"/>
      <c r="K177" s="22"/>
      <c r="L177" s="22"/>
      <c r="M177" s="22"/>
      <c r="N177" s="22"/>
      <c r="O177" s="22"/>
      <c r="P177" s="22"/>
      <c r="Q177" s="22"/>
      <c r="R177" s="22"/>
      <c r="S177" s="22"/>
      <c r="T177" s="22"/>
      <c r="U177" s="22"/>
      <c r="V177" s="22"/>
      <c r="W177" s="22"/>
      <c r="X177" s="22"/>
      <c r="Y177" s="22"/>
      <c r="Z177" s="22"/>
      <c r="AA177" s="22"/>
      <c r="AB177" s="22"/>
      <c r="AC177" s="22"/>
      <c r="AD177" s="22"/>
      <c r="AE177" s="22"/>
      <c r="AF177" s="22"/>
      <c r="AG177" s="22"/>
      <c r="AH177" s="22"/>
      <c r="AI177" s="22"/>
      <c r="AJ177" s="22"/>
      <c r="AK177" s="22"/>
      <c r="AL177" s="22"/>
      <c r="AM177" s="22"/>
      <c r="AN177" s="22"/>
      <c r="AO177" s="22"/>
      <c r="AP177" s="22"/>
      <c r="AQ177" s="22"/>
      <c r="AR177" s="22"/>
      <c r="AS177" s="22"/>
      <c r="AT177" s="22"/>
      <c r="AU177" s="22"/>
      <c r="AV177" s="22"/>
      <c r="AW177" s="22"/>
    </row>
    <row r="178" spans="2:49" x14ac:dyDescent="0.15">
      <c r="B178" s="22"/>
      <c r="C178" s="22"/>
      <c r="D178" s="22"/>
      <c r="E178" s="22"/>
      <c r="F178" s="22"/>
      <c r="G178" s="22"/>
      <c r="H178" s="22"/>
      <c r="I178" s="22"/>
      <c r="J178" s="22"/>
      <c r="K178" s="22"/>
      <c r="L178" s="22"/>
      <c r="M178" s="22"/>
      <c r="N178" s="22"/>
      <c r="O178" s="22"/>
      <c r="P178" s="22"/>
      <c r="Q178" s="22"/>
      <c r="R178" s="22"/>
      <c r="S178" s="22"/>
      <c r="T178" s="22"/>
      <c r="U178" s="22"/>
      <c r="V178" s="22"/>
      <c r="W178" s="22"/>
      <c r="X178" s="22"/>
      <c r="Y178" s="22"/>
      <c r="Z178" s="22"/>
      <c r="AA178" s="22"/>
      <c r="AB178" s="22"/>
      <c r="AC178" s="22"/>
      <c r="AD178" s="22"/>
      <c r="AE178" s="22"/>
      <c r="AF178" s="22"/>
      <c r="AG178" s="22"/>
      <c r="AH178" s="22"/>
      <c r="AI178" s="22"/>
      <c r="AJ178" s="22"/>
      <c r="AK178" s="22"/>
      <c r="AL178" s="22"/>
      <c r="AM178" s="22"/>
      <c r="AN178" s="22"/>
      <c r="AO178" s="22"/>
      <c r="AP178" s="22"/>
      <c r="AQ178" s="22"/>
      <c r="AR178" s="22"/>
      <c r="AS178" s="22"/>
      <c r="AT178" s="22"/>
      <c r="AU178" s="22"/>
      <c r="AV178" s="22"/>
      <c r="AW178" s="22"/>
    </row>
    <row r="179" spans="2:49" x14ac:dyDescent="0.15">
      <c r="B179" s="22"/>
      <c r="C179" s="22"/>
      <c r="D179" s="22"/>
      <c r="E179" s="22"/>
      <c r="F179" s="22"/>
      <c r="G179" s="22"/>
      <c r="H179" s="22"/>
      <c r="I179" s="22"/>
      <c r="J179" s="22"/>
      <c r="K179" s="22"/>
      <c r="L179" s="22"/>
      <c r="M179" s="22"/>
      <c r="N179" s="22"/>
      <c r="O179" s="22"/>
      <c r="P179" s="22"/>
      <c r="Q179" s="22"/>
      <c r="R179" s="22"/>
      <c r="S179" s="22"/>
      <c r="T179" s="22"/>
      <c r="U179" s="22"/>
      <c r="V179" s="22"/>
      <c r="W179" s="22"/>
      <c r="X179" s="22"/>
      <c r="Y179" s="22"/>
      <c r="Z179" s="22"/>
      <c r="AA179" s="22"/>
      <c r="AB179" s="22"/>
      <c r="AC179" s="22"/>
      <c r="AD179" s="22"/>
      <c r="AE179" s="22"/>
      <c r="AF179" s="22"/>
      <c r="AG179" s="22"/>
      <c r="AH179" s="22"/>
      <c r="AI179" s="22"/>
      <c r="AJ179" s="22"/>
      <c r="AK179" s="22"/>
      <c r="AL179" s="22"/>
      <c r="AM179" s="22"/>
      <c r="AN179" s="22"/>
      <c r="AO179" s="22"/>
      <c r="AP179" s="22"/>
      <c r="AQ179" s="22"/>
      <c r="AR179" s="22"/>
      <c r="AS179" s="22"/>
      <c r="AT179" s="22"/>
      <c r="AU179" s="22"/>
      <c r="AV179" s="22"/>
      <c r="AW179" s="22"/>
    </row>
    <row r="180" spans="2:49" x14ac:dyDescent="0.15">
      <c r="B180" s="22"/>
      <c r="C180" s="22"/>
      <c r="D180" s="22"/>
      <c r="E180" s="22"/>
      <c r="F180" s="22"/>
      <c r="G180" s="22"/>
      <c r="H180" s="22"/>
      <c r="I180" s="22"/>
      <c r="J180" s="22"/>
      <c r="K180" s="22"/>
      <c r="L180" s="22"/>
      <c r="M180" s="22"/>
      <c r="N180" s="22"/>
      <c r="O180" s="22"/>
      <c r="P180" s="22"/>
      <c r="Q180" s="22"/>
      <c r="R180" s="22"/>
      <c r="S180" s="22"/>
      <c r="T180" s="22"/>
      <c r="U180" s="22"/>
      <c r="V180" s="22"/>
      <c r="W180" s="22"/>
      <c r="X180" s="22"/>
      <c r="Y180" s="22"/>
      <c r="Z180" s="22"/>
      <c r="AA180" s="22"/>
      <c r="AB180" s="22"/>
      <c r="AC180" s="22"/>
      <c r="AD180" s="22"/>
      <c r="AE180" s="22"/>
      <c r="AF180" s="22"/>
      <c r="AG180" s="22"/>
      <c r="AH180" s="22"/>
      <c r="AI180" s="22"/>
      <c r="AJ180" s="22"/>
      <c r="AK180" s="22"/>
      <c r="AL180" s="22"/>
      <c r="AM180" s="22"/>
      <c r="AN180" s="22"/>
      <c r="AO180" s="22"/>
      <c r="AP180" s="22"/>
      <c r="AQ180" s="22"/>
      <c r="AR180" s="22"/>
      <c r="AS180" s="22"/>
      <c r="AT180" s="22"/>
      <c r="AU180" s="22"/>
      <c r="AV180" s="22"/>
      <c r="AW180" s="22"/>
    </row>
    <row r="181" spans="2:49" x14ac:dyDescent="0.15">
      <c r="B181" s="22"/>
      <c r="C181" s="22"/>
      <c r="D181" s="22"/>
      <c r="E181" s="22"/>
      <c r="F181" s="22"/>
      <c r="G181" s="22"/>
      <c r="H181" s="22"/>
      <c r="I181" s="22"/>
      <c r="J181" s="22"/>
      <c r="K181" s="22"/>
      <c r="L181" s="22"/>
      <c r="M181" s="22"/>
      <c r="N181" s="22"/>
      <c r="O181" s="22"/>
      <c r="P181" s="22"/>
      <c r="Q181" s="22"/>
      <c r="R181" s="22"/>
      <c r="S181" s="22"/>
      <c r="T181" s="22"/>
      <c r="U181" s="22"/>
      <c r="V181" s="22"/>
      <c r="W181" s="22"/>
      <c r="X181" s="22"/>
      <c r="Y181" s="22"/>
      <c r="Z181" s="22"/>
      <c r="AA181" s="22"/>
      <c r="AB181" s="22"/>
      <c r="AC181" s="22"/>
      <c r="AD181" s="22"/>
      <c r="AE181" s="22"/>
      <c r="AF181" s="22"/>
      <c r="AG181" s="22"/>
      <c r="AH181" s="22"/>
      <c r="AI181" s="22"/>
      <c r="AJ181" s="22"/>
      <c r="AK181" s="22"/>
      <c r="AL181" s="22"/>
      <c r="AM181" s="22"/>
      <c r="AN181" s="22"/>
      <c r="AO181" s="22"/>
      <c r="AP181" s="22"/>
      <c r="AQ181" s="22"/>
      <c r="AR181" s="22"/>
      <c r="AS181" s="22"/>
      <c r="AT181" s="22"/>
      <c r="AU181" s="22"/>
      <c r="AV181" s="22"/>
      <c r="AW181" s="22"/>
    </row>
    <row r="182" spans="2:49" x14ac:dyDescent="0.15">
      <c r="B182" s="22"/>
      <c r="C182" s="22"/>
      <c r="D182" s="22"/>
      <c r="E182" s="22"/>
      <c r="F182" s="22"/>
      <c r="G182" s="22"/>
      <c r="H182" s="22"/>
      <c r="I182" s="22"/>
      <c r="J182" s="22"/>
      <c r="K182" s="22"/>
      <c r="L182" s="22"/>
      <c r="M182" s="22"/>
      <c r="N182" s="22"/>
      <c r="O182" s="22"/>
      <c r="P182" s="22"/>
      <c r="Q182" s="22"/>
      <c r="R182" s="22"/>
      <c r="S182" s="22"/>
      <c r="T182" s="22"/>
      <c r="U182" s="22"/>
      <c r="V182" s="22"/>
      <c r="W182" s="22"/>
      <c r="X182" s="22"/>
      <c r="Y182" s="22"/>
      <c r="Z182" s="22"/>
      <c r="AA182" s="22"/>
      <c r="AB182" s="22"/>
      <c r="AC182" s="22"/>
      <c r="AD182" s="22"/>
      <c r="AE182" s="22"/>
      <c r="AF182" s="22"/>
      <c r="AG182" s="22"/>
      <c r="AH182" s="22"/>
      <c r="AI182" s="22"/>
      <c r="AJ182" s="22"/>
      <c r="AK182" s="22"/>
      <c r="AL182" s="22"/>
      <c r="AM182" s="22"/>
      <c r="AN182" s="22"/>
      <c r="AO182" s="22"/>
      <c r="AP182" s="22"/>
      <c r="AQ182" s="22"/>
      <c r="AR182" s="22"/>
      <c r="AS182" s="22"/>
      <c r="AT182" s="22"/>
      <c r="AU182" s="22"/>
      <c r="AV182" s="22"/>
      <c r="AW182" s="22"/>
    </row>
    <row r="183" spans="2:49" x14ac:dyDescent="0.15">
      <c r="B183" s="22"/>
      <c r="C183" s="22"/>
      <c r="D183" s="22"/>
      <c r="E183" s="22"/>
      <c r="F183" s="22"/>
      <c r="G183" s="22"/>
      <c r="H183" s="22"/>
      <c r="I183" s="22"/>
      <c r="J183" s="22"/>
      <c r="K183" s="22"/>
      <c r="L183" s="22"/>
      <c r="M183" s="22"/>
      <c r="N183" s="22"/>
      <c r="O183" s="22"/>
      <c r="P183" s="22"/>
      <c r="Q183" s="22"/>
      <c r="R183" s="22"/>
      <c r="S183" s="22"/>
      <c r="T183" s="22"/>
      <c r="U183" s="22"/>
      <c r="V183" s="22"/>
      <c r="W183" s="22"/>
      <c r="X183" s="22"/>
      <c r="Y183" s="22"/>
      <c r="Z183" s="22"/>
      <c r="AA183" s="22"/>
      <c r="AB183" s="22"/>
      <c r="AC183" s="22"/>
      <c r="AD183" s="22"/>
      <c r="AE183" s="22"/>
      <c r="AF183" s="22"/>
      <c r="AG183" s="22"/>
      <c r="AH183" s="22"/>
      <c r="AI183" s="22"/>
      <c r="AJ183" s="22"/>
      <c r="AK183" s="22"/>
      <c r="AL183" s="22"/>
      <c r="AM183" s="22"/>
      <c r="AN183" s="22"/>
      <c r="AO183" s="22"/>
      <c r="AP183" s="22"/>
      <c r="AQ183" s="22"/>
      <c r="AR183" s="22"/>
      <c r="AS183" s="22"/>
      <c r="AT183" s="22"/>
      <c r="AU183" s="22"/>
      <c r="AV183" s="22"/>
      <c r="AW183" s="22"/>
    </row>
    <row r="184" spans="2:49" x14ac:dyDescent="0.15">
      <c r="B184" s="22"/>
      <c r="C184" s="22"/>
      <c r="D184" s="22"/>
      <c r="E184" s="22"/>
      <c r="F184" s="22"/>
      <c r="G184" s="22"/>
      <c r="H184" s="22"/>
      <c r="I184" s="22"/>
      <c r="J184" s="22"/>
      <c r="K184" s="22"/>
      <c r="L184" s="22"/>
      <c r="M184" s="22"/>
      <c r="N184" s="22"/>
      <c r="O184" s="22"/>
      <c r="P184" s="22"/>
      <c r="Q184" s="22"/>
      <c r="R184" s="22"/>
      <c r="S184" s="22"/>
      <c r="T184" s="22"/>
      <c r="U184" s="22"/>
      <c r="V184" s="22"/>
      <c r="W184" s="22"/>
      <c r="X184" s="22"/>
      <c r="Y184" s="22"/>
      <c r="Z184" s="22"/>
      <c r="AA184" s="22"/>
      <c r="AB184" s="22"/>
      <c r="AC184" s="22"/>
      <c r="AD184" s="22"/>
      <c r="AE184" s="22"/>
      <c r="AF184" s="22"/>
      <c r="AG184" s="22"/>
      <c r="AH184" s="22"/>
      <c r="AI184" s="22"/>
      <c r="AJ184" s="22"/>
      <c r="AK184" s="22"/>
      <c r="AL184" s="22"/>
      <c r="AM184" s="22"/>
      <c r="AN184" s="22"/>
      <c r="AO184" s="22"/>
      <c r="AP184" s="22"/>
      <c r="AQ184" s="22"/>
      <c r="AR184" s="22"/>
      <c r="AS184" s="22"/>
      <c r="AT184" s="22"/>
      <c r="AU184" s="22"/>
      <c r="AV184" s="22"/>
      <c r="AW184" s="22"/>
    </row>
    <row r="185" spans="2:49" x14ac:dyDescent="0.15">
      <c r="B185" s="22"/>
      <c r="C185" s="22"/>
      <c r="D185" s="22"/>
      <c r="E185" s="22"/>
      <c r="F185" s="22"/>
      <c r="G185" s="22"/>
      <c r="H185" s="22"/>
      <c r="I185" s="22"/>
      <c r="J185" s="22"/>
      <c r="K185" s="22"/>
      <c r="L185" s="22"/>
      <c r="M185" s="22"/>
      <c r="N185" s="22"/>
      <c r="O185" s="22"/>
      <c r="P185" s="22"/>
      <c r="Q185" s="22"/>
      <c r="R185" s="22"/>
      <c r="S185" s="22"/>
      <c r="T185" s="22"/>
      <c r="U185" s="22"/>
      <c r="V185" s="22"/>
      <c r="W185" s="22"/>
      <c r="X185" s="22"/>
      <c r="Y185" s="22"/>
      <c r="Z185" s="22"/>
      <c r="AA185" s="22"/>
      <c r="AB185" s="22"/>
      <c r="AC185" s="22"/>
      <c r="AD185" s="22"/>
      <c r="AE185" s="22"/>
      <c r="AF185" s="22"/>
      <c r="AG185" s="22"/>
      <c r="AH185" s="22"/>
      <c r="AI185" s="22"/>
      <c r="AJ185" s="22"/>
      <c r="AK185" s="22"/>
      <c r="AL185" s="22"/>
      <c r="AM185" s="22"/>
      <c r="AN185" s="22"/>
      <c r="AO185" s="22"/>
      <c r="AP185" s="22"/>
      <c r="AQ185" s="22"/>
      <c r="AR185" s="22"/>
      <c r="AS185" s="22"/>
      <c r="AT185" s="22"/>
      <c r="AU185" s="22"/>
      <c r="AV185" s="22"/>
      <c r="AW185" s="22"/>
    </row>
    <row r="186" spans="2:49" x14ac:dyDescent="0.15">
      <c r="B186" s="22"/>
      <c r="C186" s="22"/>
      <c r="D186" s="22"/>
      <c r="E186" s="22"/>
      <c r="F186" s="22"/>
      <c r="G186" s="22"/>
      <c r="H186" s="22"/>
      <c r="I186" s="22"/>
      <c r="J186" s="22"/>
      <c r="K186" s="22"/>
      <c r="L186" s="22"/>
      <c r="M186" s="22"/>
      <c r="N186" s="22"/>
      <c r="O186" s="22"/>
      <c r="P186" s="22"/>
      <c r="Q186" s="22"/>
      <c r="R186" s="22"/>
      <c r="S186" s="22"/>
      <c r="T186" s="22"/>
      <c r="U186" s="22"/>
      <c r="V186" s="22"/>
      <c r="W186" s="22"/>
      <c r="X186" s="22"/>
      <c r="Y186" s="22"/>
      <c r="Z186" s="22"/>
      <c r="AA186" s="22"/>
      <c r="AB186" s="22"/>
      <c r="AC186" s="22"/>
      <c r="AD186" s="22"/>
      <c r="AE186" s="22"/>
      <c r="AF186" s="22"/>
      <c r="AG186" s="22"/>
      <c r="AH186" s="22"/>
      <c r="AI186" s="22"/>
      <c r="AJ186" s="22"/>
      <c r="AK186" s="22"/>
      <c r="AL186" s="22"/>
      <c r="AM186" s="22"/>
      <c r="AN186" s="22"/>
      <c r="AO186" s="22"/>
      <c r="AP186" s="22"/>
      <c r="AQ186" s="22"/>
      <c r="AR186" s="22"/>
      <c r="AS186" s="22"/>
      <c r="AT186" s="22"/>
      <c r="AU186" s="22"/>
      <c r="AV186" s="22"/>
      <c r="AW186" s="22"/>
    </row>
    <row r="187" spans="2:49" x14ac:dyDescent="0.15">
      <c r="B187" s="22"/>
      <c r="C187" s="22"/>
      <c r="D187" s="22"/>
      <c r="E187" s="22"/>
      <c r="F187" s="22"/>
      <c r="G187" s="22"/>
      <c r="H187" s="22"/>
      <c r="I187" s="22"/>
      <c r="J187" s="22"/>
      <c r="K187" s="22"/>
      <c r="L187" s="22"/>
      <c r="M187" s="22"/>
      <c r="N187" s="22"/>
      <c r="O187" s="22"/>
      <c r="P187" s="22"/>
      <c r="Q187" s="22"/>
      <c r="R187" s="22"/>
      <c r="S187" s="22"/>
      <c r="T187" s="22"/>
      <c r="U187" s="22"/>
      <c r="V187" s="22"/>
      <c r="W187" s="22"/>
      <c r="X187" s="22"/>
      <c r="Y187" s="22"/>
      <c r="Z187" s="22"/>
      <c r="AA187" s="22"/>
      <c r="AB187" s="22"/>
      <c r="AC187" s="22"/>
      <c r="AD187" s="22"/>
      <c r="AE187" s="22"/>
      <c r="AF187" s="22"/>
      <c r="AG187" s="22"/>
      <c r="AH187" s="22"/>
      <c r="AI187" s="22"/>
      <c r="AJ187" s="22"/>
      <c r="AK187" s="22"/>
      <c r="AL187" s="22"/>
      <c r="AM187" s="22"/>
      <c r="AN187" s="22"/>
      <c r="AO187" s="22"/>
      <c r="AP187" s="22"/>
      <c r="AQ187" s="22"/>
      <c r="AR187" s="22"/>
      <c r="AS187" s="22"/>
      <c r="AT187" s="22"/>
      <c r="AU187" s="22"/>
      <c r="AV187" s="22"/>
      <c r="AW187" s="22"/>
    </row>
    <row r="188" spans="2:49" x14ac:dyDescent="0.15">
      <c r="B188" s="22"/>
      <c r="C188" s="22"/>
      <c r="D188" s="22"/>
      <c r="E188" s="22"/>
      <c r="F188" s="22"/>
      <c r="G188" s="22"/>
      <c r="H188" s="22"/>
      <c r="I188" s="22"/>
      <c r="J188" s="22"/>
      <c r="K188" s="22"/>
      <c r="L188" s="22"/>
      <c r="M188" s="22"/>
      <c r="N188" s="22"/>
      <c r="O188" s="22"/>
      <c r="P188" s="22"/>
      <c r="Q188" s="22"/>
      <c r="R188" s="22"/>
      <c r="S188" s="22"/>
      <c r="T188" s="22"/>
      <c r="U188" s="22"/>
      <c r="V188" s="22"/>
      <c r="W188" s="22"/>
      <c r="X188" s="22"/>
      <c r="Y188" s="22"/>
      <c r="Z188" s="22"/>
      <c r="AA188" s="22"/>
      <c r="AB188" s="22"/>
      <c r="AC188" s="22"/>
      <c r="AD188" s="22"/>
      <c r="AE188" s="22"/>
      <c r="AF188" s="22"/>
      <c r="AG188" s="22"/>
      <c r="AH188" s="22"/>
      <c r="AI188" s="22"/>
      <c r="AJ188" s="22"/>
      <c r="AK188" s="22"/>
      <c r="AL188" s="22"/>
      <c r="AM188" s="22"/>
      <c r="AN188" s="22"/>
      <c r="AO188" s="22"/>
      <c r="AP188" s="22"/>
      <c r="AQ188" s="22"/>
      <c r="AR188" s="22"/>
      <c r="AS188" s="22"/>
      <c r="AT188" s="22"/>
      <c r="AU188" s="22"/>
      <c r="AV188" s="22"/>
      <c r="AW188" s="22"/>
    </row>
    <row r="189" spans="2:49" x14ac:dyDescent="0.15">
      <c r="B189" s="22"/>
      <c r="C189" s="22"/>
      <c r="D189" s="22"/>
      <c r="E189" s="22"/>
      <c r="F189" s="22"/>
      <c r="G189" s="22"/>
      <c r="H189" s="22"/>
      <c r="I189" s="22"/>
      <c r="J189" s="22"/>
      <c r="K189" s="22"/>
      <c r="L189" s="22"/>
      <c r="M189" s="22"/>
      <c r="N189" s="22"/>
      <c r="O189" s="22"/>
      <c r="P189" s="22"/>
      <c r="Q189" s="22"/>
      <c r="R189" s="22"/>
      <c r="S189" s="22"/>
      <c r="T189" s="22"/>
      <c r="U189" s="22"/>
      <c r="V189" s="22"/>
      <c r="W189" s="22"/>
      <c r="X189" s="22"/>
      <c r="Y189" s="22"/>
      <c r="Z189" s="22"/>
      <c r="AA189" s="22"/>
      <c r="AB189" s="22"/>
      <c r="AC189" s="22"/>
      <c r="AD189" s="22"/>
      <c r="AE189" s="22"/>
      <c r="AF189" s="22"/>
      <c r="AG189" s="22"/>
      <c r="AH189" s="22"/>
      <c r="AI189" s="22"/>
      <c r="AJ189" s="22"/>
      <c r="AK189" s="22"/>
      <c r="AL189" s="22"/>
      <c r="AM189" s="22"/>
      <c r="AN189" s="22"/>
      <c r="AO189" s="22"/>
      <c r="AP189" s="22"/>
      <c r="AQ189" s="22"/>
      <c r="AR189" s="22"/>
      <c r="AS189" s="22"/>
      <c r="AT189" s="22"/>
      <c r="AU189" s="22"/>
      <c r="AV189" s="22"/>
      <c r="AW189" s="22"/>
    </row>
    <row r="190" spans="2:49" x14ac:dyDescent="0.15">
      <c r="B190" s="22"/>
      <c r="C190" s="22"/>
      <c r="D190" s="22"/>
      <c r="E190" s="22"/>
      <c r="F190" s="22"/>
      <c r="G190" s="22"/>
      <c r="H190" s="22"/>
      <c r="I190" s="22"/>
      <c r="J190" s="22"/>
      <c r="K190" s="22"/>
      <c r="L190" s="22"/>
      <c r="M190" s="22"/>
      <c r="N190" s="22"/>
      <c r="O190" s="22"/>
      <c r="P190" s="22"/>
      <c r="Q190" s="22"/>
      <c r="R190" s="22"/>
      <c r="S190" s="22"/>
      <c r="T190" s="22"/>
      <c r="U190" s="22"/>
      <c r="V190" s="22"/>
      <c r="W190" s="22"/>
      <c r="X190" s="22"/>
      <c r="Y190" s="22"/>
      <c r="Z190" s="22"/>
      <c r="AA190" s="22"/>
      <c r="AB190" s="22"/>
      <c r="AC190" s="22"/>
      <c r="AD190" s="22"/>
      <c r="AE190" s="22"/>
      <c r="AF190" s="22"/>
      <c r="AG190" s="22"/>
      <c r="AH190" s="22"/>
      <c r="AI190" s="22"/>
      <c r="AJ190" s="22"/>
      <c r="AK190" s="22"/>
      <c r="AL190" s="22"/>
      <c r="AM190" s="22"/>
      <c r="AN190" s="22"/>
      <c r="AO190" s="22"/>
      <c r="AP190" s="22"/>
      <c r="AQ190" s="22"/>
      <c r="AR190" s="22"/>
      <c r="AS190" s="22"/>
      <c r="AT190" s="22"/>
      <c r="AU190" s="22"/>
      <c r="AV190" s="22"/>
      <c r="AW190" s="22"/>
    </row>
    <row r="191" spans="2:49" x14ac:dyDescent="0.15">
      <c r="B191" s="22"/>
      <c r="C191" s="22"/>
      <c r="D191" s="22"/>
      <c r="E191" s="22"/>
      <c r="F191" s="22"/>
      <c r="G191" s="22"/>
      <c r="H191" s="22"/>
      <c r="I191" s="22"/>
      <c r="J191" s="22"/>
      <c r="K191" s="22"/>
      <c r="L191" s="22"/>
      <c r="M191" s="22"/>
      <c r="N191" s="22"/>
      <c r="O191" s="22"/>
      <c r="P191" s="22"/>
      <c r="Q191" s="22"/>
      <c r="R191" s="22"/>
      <c r="S191" s="22"/>
      <c r="T191" s="22"/>
      <c r="U191" s="22"/>
      <c r="V191" s="22"/>
      <c r="W191" s="22"/>
      <c r="X191" s="22"/>
      <c r="Y191" s="22"/>
      <c r="Z191" s="22"/>
      <c r="AA191" s="22"/>
      <c r="AB191" s="22"/>
      <c r="AC191" s="22"/>
      <c r="AD191" s="22"/>
      <c r="AE191" s="22"/>
      <c r="AF191" s="22"/>
      <c r="AG191" s="22"/>
      <c r="AH191" s="22"/>
      <c r="AI191" s="22"/>
      <c r="AJ191" s="22"/>
      <c r="AK191" s="22"/>
      <c r="AL191" s="22"/>
      <c r="AM191" s="22"/>
      <c r="AN191" s="22"/>
      <c r="AO191" s="22"/>
      <c r="AP191" s="22"/>
      <c r="AQ191" s="22"/>
      <c r="AR191" s="22"/>
      <c r="AS191" s="22"/>
      <c r="AT191" s="22"/>
      <c r="AU191" s="22"/>
      <c r="AV191" s="22"/>
      <c r="AW191" s="22"/>
    </row>
    <row r="192" spans="2:49" x14ac:dyDescent="0.15">
      <c r="B192" s="22"/>
      <c r="C192" s="22"/>
      <c r="D192" s="22"/>
      <c r="E192" s="22"/>
      <c r="F192" s="22"/>
      <c r="G192" s="22"/>
      <c r="H192" s="22"/>
      <c r="I192" s="22"/>
      <c r="J192" s="22"/>
      <c r="K192" s="22"/>
      <c r="L192" s="22"/>
      <c r="M192" s="22"/>
      <c r="N192" s="22"/>
      <c r="O192" s="22"/>
      <c r="P192" s="22"/>
      <c r="Q192" s="22"/>
      <c r="R192" s="22"/>
      <c r="S192" s="22"/>
      <c r="T192" s="22"/>
      <c r="U192" s="22"/>
      <c r="V192" s="22"/>
      <c r="W192" s="22"/>
      <c r="X192" s="22"/>
      <c r="Y192" s="22"/>
      <c r="Z192" s="22"/>
      <c r="AA192" s="22"/>
      <c r="AB192" s="22"/>
      <c r="AC192" s="22"/>
      <c r="AD192" s="22"/>
      <c r="AE192" s="22"/>
      <c r="AF192" s="22"/>
      <c r="AG192" s="22"/>
      <c r="AH192" s="22"/>
      <c r="AI192" s="22"/>
      <c r="AJ192" s="22"/>
      <c r="AK192" s="22"/>
      <c r="AL192" s="22"/>
      <c r="AM192" s="22"/>
      <c r="AN192" s="22"/>
      <c r="AO192" s="22"/>
      <c r="AP192" s="22"/>
      <c r="AQ192" s="22"/>
      <c r="AR192" s="22"/>
      <c r="AS192" s="22"/>
      <c r="AT192" s="22"/>
      <c r="AU192" s="22"/>
      <c r="AV192" s="22"/>
      <c r="AW192" s="22"/>
    </row>
    <row r="193" spans="2:49" x14ac:dyDescent="0.15">
      <c r="B193" s="22"/>
      <c r="C193" s="22"/>
      <c r="D193" s="22"/>
      <c r="E193" s="22"/>
      <c r="F193" s="22"/>
      <c r="G193" s="22"/>
      <c r="H193" s="22"/>
      <c r="I193" s="22"/>
      <c r="J193" s="22"/>
      <c r="K193" s="22"/>
      <c r="L193" s="22"/>
      <c r="M193" s="22"/>
      <c r="N193" s="22"/>
      <c r="O193" s="22"/>
      <c r="P193" s="22"/>
      <c r="Q193" s="22"/>
      <c r="R193" s="22"/>
      <c r="S193" s="22"/>
      <c r="T193" s="22"/>
      <c r="U193" s="22"/>
      <c r="V193" s="22"/>
      <c r="W193" s="22"/>
      <c r="X193" s="22"/>
      <c r="Y193" s="22"/>
      <c r="Z193" s="22"/>
      <c r="AA193" s="22"/>
      <c r="AB193" s="22"/>
      <c r="AC193" s="22"/>
      <c r="AD193" s="22"/>
      <c r="AE193" s="22"/>
      <c r="AF193" s="22"/>
      <c r="AG193" s="22"/>
      <c r="AH193" s="22"/>
      <c r="AI193" s="22"/>
      <c r="AJ193" s="22"/>
      <c r="AK193" s="22"/>
      <c r="AL193" s="22"/>
      <c r="AM193" s="22"/>
      <c r="AN193" s="22"/>
      <c r="AO193" s="22"/>
      <c r="AP193" s="22"/>
      <c r="AQ193" s="22"/>
      <c r="AR193" s="22"/>
      <c r="AS193" s="22"/>
      <c r="AT193" s="22"/>
      <c r="AU193" s="22"/>
      <c r="AV193" s="22"/>
      <c r="AW193" s="22"/>
    </row>
    <row r="194" spans="2:49" x14ac:dyDescent="0.15">
      <c r="B194" s="22"/>
      <c r="C194" s="22"/>
      <c r="D194" s="22"/>
      <c r="E194" s="22"/>
      <c r="F194" s="22"/>
      <c r="G194" s="22"/>
      <c r="H194" s="22"/>
      <c r="I194" s="22"/>
      <c r="J194" s="22"/>
      <c r="K194" s="22"/>
      <c r="L194" s="22"/>
      <c r="M194" s="22"/>
      <c r="N194" s="22"/>
      <c r="O194" s="22"/>
      <c r="P194" s="22"/>
      <c r="Q194" s="22"/>
      <c r="R194" s="22"/>
      <c r="S194" s="22"/>
      <c r="T194" s="22"/>
      <c r="U194" s="22"/>
      <c r="V194" s="22"/>
      <c r="W194" s="22"/>
      <c r="X194" s="22"/>
      <c r="Y194" s="22"/>
      <c r="Z194" s="22"/>
      <c r="AA194" s="22"/>
      <c r="AB194" s="22"/>
      <c r="AC194" s="22"/>
      <c r="AD194" s="22"/>
      <c r="AE194" s="22"/>
      <c r="AF194" s="22"/>
      <c r="AG194" s="22"/>
      <c r="AH194" s="22"/>
      <c r="AI194" s="22"/>
      <c r="AJ194" s="22"/>
      <c r="AK194" s="22"/>
      <c r="AL194" s="22"/>
      <c r="AM194" s="22"/>
      <c r="AN194" s="22"/>
      <c r="AO194" s="22"/>
      <c r="AP194" s="22"/>
      <c r="AQ194" s="22"/>
      <c r="AR194" s="22"/>
      <c r="AS194" s="22"/>
      <c r="AT194" s="22"/>
      <c r="AU194" s="22"/>
      <c r="AV194" s="22"/>
      <c r="AW194" s="22"/>
    </row>
    <row r="195" spans="2:49" x14ac:dyDescent="0.15">
      <c r="B195" s="22"/>
      <c r="C195" s="22"/>
      <c r="D195" s="22"/>
      <c r="E195" s="22"/>
      <c r="F195" s="22"/>
      <c r="G195" s="22"/>
      <c r="H195" s="22"/>
      <c r="I195" s="22"/>
      <c r="J195" s="22"/>
      <c r="K195" s="22"/>
      <c r="L195" s="22"/>
      <c r="M195" s="22"/>
      <c r="N195" s="22"/>
      <c r="O195" s="22"/>
      <c r="P195" s="22"/>
      <c r="Q195" s="22"/>
      <c r="R195" s="22"/>
      <c r="S195" s="22"/>
      <c r="T195" s="22"/>
      <c r="U195" s="22"/>
      <c r="V195" s="22"/>
      <c r="W195" s="22"/>
      <c r="X195" s="22"/>
      <c r="Y195" s="22"/>
      <c r="Z195" s="22"/>
      <c r="AA195" s="22"/>
      <c r="AB195" s="22"/>
      <c r="AC195" s="22"/>
      <c r="AD195" s="22"/>
      <c r="AE195" s="22"/>
      <c r="AF195" s="22"/>
      <c r="AG195" s="22"/>
      <c r="AH195" s="22"/>
      <c r="AI195" s="22"/>
      <c r="AJ195" s="22"/>
      <c r="AK195" s="22"/>
      <c r="AL195" s="22"/>
      <c r="AM195" s="22"/>
      <c r="AN195" s="22"/>
      <c r="AO195" s="22"/>
      <c r="AP195" s="22"/>
      <c r="AQ195" s="22"/>
      <c r="AR195" s="22"/>
      <c r="AS195" s="22"/>
      <c r="AT195" s="22"/>
      <c r="AU195" s="22"/>
      <c r="AV195" s="22"/>
      <c r="AW195" s="22"/>
    </row>
    <row r="196" spans="2:49" x14ac:dyDescent="0.15">
      <c r="B196" s="22"/>
      <c r="C196" s="22"/>
      <c r="D196" s="22"/>
      <c r="E196" s="22"/>
      <c r="F196" s="22"/>
      <c r="G196" s="22"/>
      <c r="H196" s="22"/>
      <c r="I196" s="22"/>
      <c r="J196" s="22"/>
      <c r="K196" s="22"/>
      <c r="L196" s="22"/>
      <c r="M196" s="22"/>
      <c r="N196" s="22"/>
      <c r="O196" s="22"/>
      <c r="P196" s="22"/>
      <c r="Q196" s="22"/>
      <c r="R196" s="22"/>
      <c r="S196" s="22"/>
      <c r="T196" s="22"/>
      <c r="U196" s="22"/>
      <c r="V196" s="22"/>
      <c r="W196" s="22"/>
      <c r="X196" s="22"/>
      <c r="Y196" s="22"/>
      <c r="Z196" s="22"/>
      <c r="AA196" s="22"/>
      <c r="AB196" s="22"/>
      <c r="AC196" s="22"/>
      <c r="AD196" s="22"/>
      <c r="AE196" s="22"/>
      <c r="AF196" s="22"/>
      <c r="AG196" s="22"/>
      <c r="AH196" s="22"/>
      <c r="AI196" s="22"/>
      <c r="AJ196" s="22"/>
      <c r="AK196" s="22"/>
      <c r="AL196" s="22"/>
      <c r="AM196" s="22"/>
      <c r="AN196" s="22"/>
      <c r="AO196" s="22"/>
      <c r="AP196" s="22"/>
      <c r="AQ196" s="22"/>
      <c r="AR196" s="22"/>
      <c r="AS196" s="22"/>
      <c r="AT196" s="22"/>
      <c r="AU196" s="22"/>
      <c r="AV196" s="22"/>
      <c r="AW196" s="22"/>
    </row>
    <row r="197" spans="2:49" x14ac:dyDescent="0.15">
      <c r="B197" s="22"/>
      <c r="C197" s="22"/>
      <c r="D197" s="22"/>
      <c r="E197" s="22"/>
      <c r="F197" s="22"/>
      <c r="G197" s="22"/>
      <c r="H197" s="22"/>
      <c r="I197" s="22"/>
      <c r="J197" s="22"/>
      <c r="K197" s="22"/>
      <c r="L197" s="22"/>
      <c r="M197" s="22"/>
      <c r="N197" s="22"/>
      <c r="O197" s="22"/>
      <c r="P197" s="22"/>
      <c r="Q197" s="22"/>
      <c r="R197" s="22"/>
      <c r="S197" s="22"/>
      <c r="T197" s="22"/>
      <c r="U197" s="22"/>
      <c r="V197" s="22"/>
      <c r="W197" s="22"/>
      <c r="X197" s="22"/>
      <c r="Y197" s="22"/>
      <c r="Z197" s="22"/>
      <c r="AA197" s="22"/>
      <c r="AB197" s="22"/>
      <c r="AC197" s="22"/>
      <c r="AD197" s="22"/>
      <c r="AE197" s="22"/>
      <c r="AF197" s="22"/>
      <c r="AG197" s="22"/>
      <c r="AH197" s="22"/>
      <c r="AI197" s="22"/>
      <c r="AJ197" s="22"/>
      <c r="AK197" s="22"/>
      <c r="AL197" s="22"/>
      <c r="AM197" s="22"/>
      <c r="AN197" s="22"/>
      <c r="AO197" s="22"/>
      <c r="AP197" s="22"/>
      <c r="AQ197" s="22"/>
      <c r="AR197" s="22"/>
      <c r="AS197" s="22"/>
      <c r="AT197" s="22"/>
      <c r="AU197" s="22"/>
      <c r="AV197" s="22"/>
      <c r="AW197" s="22"/>
    </row>
    <row r="198" spans="2:49" x14ac:dyDescent="0.15">
      <c r="B198" s="22"/>
      <c r="C198" s="22"/>
      <c r="D198" s="22"/>
      <c r="E198" s="22"/>
      <c r="F198" s="22"/>
      <c r="G198" s="22"/>
      <c r="H198" s="22"/>
      <c r="I198" s="22"/>
      <c r="J198" s="22"/>
      <c r="K198" s="22"/>
      <c r="L198" s="22"/>
      <c r="M198" s="22"/>
      <c r="N198" s="22"/>
      <c r="O198" s="22"/>
      <c r="P198" s="22"/>
      <c r="Q198" s="22"/>
      <c r="R198" s="22"/>
      <c r="S198" s="22"/>
      <c r="T198" s="22"/>
      <c r="U198" s="22"/>
      <c r="V198" s="22"/>
      <c r="W198" s="22"/>
      <c r="X198" s="22"/>
      <c r="Y198" s="22"/>
      <c r="Z198" s="22"/>
      <c r="AA198" s="22"/>
      <c r="AB198" s="22"/>
      <c r="AC198" s="22"/>
      <c r="AD198" s="22"/>
      <c r="AE198" s="22"/>
      <c r="AF198" s="22"/>
      <c r="AG198" s="22"/>
      <c r="AH198" s="22"/>
      <c r="AI198" s="22"/>
      <c r="AJ198" s="22"/>
      <c r="AK198" s="22"/>
      <c r="AL198" s="22"/>
      <c r="AM198" s="22"/>
      <c r="AN198" s="22"/>
      <c r="AO198" s="22"/>
      <c r="AP198" s="22"/>
      <c r="AQ198" s="22"/>
      <c r="AR198" s="22"/>
      <c r="AS198" s="22"/>
      <c r="AT198" s="22"/>
      <c r="AU198" s="22"/>
      <c r="AV198" s="22"/>
      <c r="AW198" s="22"/>
    </row>
    <row r="199" spans="2:49" x14ac:dyDescent="0.15">
      <c r="B199" s="22"/>
      <c r="C199" s="22"/>
      <c r="D199" s="22"/>
      <c r="E199" s="22"/>
      <c r="F199" s="22"/>
      <c r="G199" s="22"/>
      <c r="H199" s="22"/>
      <c r="I199" s="22"/>
      <c r="J199" s="22"/>
      <c r="K199" s="22"/>
      <c r="L199" s="22"/>
      <c r="M199" s="22"/>
      <c r="N199" s="22"/>
      <c r="O199" s="22"/>
      <c r="P199" s="22"/>
      <c r="Q199" s="22"/>
      <c r="R199" s="22"/>
      <c r="S199" s="22"/>
      <c r="T199" s="22"/>
      <c r="U199" s="22"/>
      <c r="V199" s="22"/>
      <c r="W199" s="22"/>
      <c r="X199" s="22"/>
      <c r="Y199" s="22"/>
      <c r="Z199" s="22"/>
      <c r="AA199" s="22"/>
      <c r="AB199" s="22"/>
      <c r="AC199" s="22"/>
      <c r="AD199" s="22"/>
      <c r="AE199" s="22"/>
      <c r="AF199" s="22"/>
      <c r="AG199" s="22"/>
      <c r="AH199" s="22"/>
      <c r="AI199" s="22"/>
      <c r="AJ199" s="22"/>
      <c r="AK199" s="22"/>
      <c r="AL199" s="22"/>
      <c r="AM199" s="22"/>
      <c r="AN199" s="22"/>
      <c r="AO199" s="22"/>
      <c r="AP199" s="22"/>
      <c r="AQ199" s="22"/>
      <c r="AR199" s="22"/>
      <c r="AS199" s="22"/>
      <c r="AT199" s="22"/>
      <c r="AU199" s="22"/>
      <c r="AV199" s="22"/>
      <c r="AW199" s="22"/>
    </row>
    <row r="200" spans="2:49" x14ac:dyDescent="0.15">
      <c r="B200" s="22"/>
      <c r="C200" s="22"/>
      <c r="D200" s="22"/>
      <c r="E200" s="22"/>
      <c r="F200" s="22"/>
      <c r="G200" s="22"/>
      <c r="H200" s="22"/>
      <c r="I200" s="22"/>
      <c r="J200" s="22"/>
      <c r="K200" s="22"/>
      <c r="L200" s="22"/>
      <c r="M200" s="22"/>
      <c r="N200" s="22"/>
      <c r="O200" s="22"/>
      <c r="P200" s="22"/>
      <c r="Q200" s="22"/>
      <c r="R200" s="22"/>
      <c r="S200" s="22"/>
      <c r="T200" s="22"/>
      <c r="U200" s="22"/>
      <c r="V200" s="22"/>
      <c r="W200" s="22"/>
      <c r="X200" s="22"/>
      <c r="Y200" s="22"/>
      <c r="Z200" s="22"/>
      <c r="AA200" s="22"/>
      <c r="AB200" s="22"/>
      <c r="AC200" s="22"/>
      <c r="AD200" s="22"/>
      <c r="AE200" s="22"/>
      <c r="AF200" s="22"/>
      <c r="AG200" s="22"/>
      <c r="AH200" s="22"/>
      <c r="AI200" s="22"/>
      <c r="AJ200" s="22"/>
      <c r="AK200" s="22"/>
      <c r="AL200" s="22"/>
      <c r="AM200" s="22"/>
      <c r="AN200" s="22"/>
      <c r="AO200" s="22"/>
      <c r="AP200" s="22"/>
      <c r="AQ200" s="22"/>
      <c r="AR200" s="22"/>
      <c r="AS200" s="22"/>
      <c r="AT200" s="22"/>
      <c r="AU200" s="22"/>
      <c r="AV200" s="22"/>
      <c r="AW200" s="22"/>
    </row>
    <row r="201" spans="2:49" x14ac:dyDescent="0.15">
      <c r="B201" s="22"/>
      <c r="C201" s="22"/>
      <c r="D201" s="22"/>
      <c r="E201" s="22"/>
      <c r="F201" s="22"/>
      <c r="G201" s="22"/>
      <c r="H201" s="22"/>
      <c r="I201" s="22"/>
      <c r="J201" s="22"/>
      <c r="K201" s="22"/>
      <c r="L201" s="22"/>
      <c r="M201" s="22"/>
      <c r="N201" s="22"/>
      <c r="O201" s="22"/>
      <c r="P201" s="22"/>
      <c r="Q201" s="22"/>
      <c r="R201" s="22"/>
      <c r="S201" s="22"/>
      <c r="T201" s="22"/>
      <c r="U201" s="22"/>
      <c r="V201" s="22"/>
      <c r="W201" s="22"/>
      <c r="X201" s="22"/>
      <c r="Y201" s="22"/>
      <c r="Z201" s="22"/>
      <c r="AA201" s="22"/>
      <c r="AB201" s="22"/>
      <c r="AC201" s="22"/>
      <c r="AD201" s="22"/>
      <c r="AE201" s="22"/>
      <c r="AF201" s="22"/>
      <c r="AG201" s="22"/>
      <c r="AH201" s="22"/>
      <c r="AI201" s="22"/>
      <c r="AJ201" s="22"/>
      <c r="AK201" s="22"/>
      <c r="AL201" s="22"/>
      <c r="AM201" s="22"/>
      <c r="AN201" s="22"/>
      <c r="AO201" s="22"/>
      <c r="AP201" s="22"/>
      <c r="AQ201" s="22"/>
      <c r="AR201" s="22"/>
      <c r="AS201" s="22"/>
      <c r="AT201" s="22"/>
      <c r="AU201" s="22"/>
      <c r="AV201" s="22"/>
      <c r="AW201" s="22"/>
    </row>
    <row r="202" spans="2:49" x14ac:dyDescent="0.15">
      <c r="B202" s="22"/>
      <c r="C202" s="22"/>
      <c r="D202" s="22"/>
      <c r="E202" s="22"/>
      <c r="F202" s="22"/>
      <c r="G202" s="22"/>
      <c r="H202" s="22"/>
      <c r="I202" s="22"/>
      <c r="J202" s="22"/>
      <c r="K202" s="22"/>
      <c r="L202" s="22"/>
      <c r="M202" s="22"/>
      <c r="N202" s="22"/>
      <c r="O202" s="22"/>
      <c r="P202" s="22"/>
      <c r="Q202" s="22"/>
      <c r="R202" s="22"/>
      <c r="S202" s="22"/>
      <c r="T202" s="22"/>
      <c r="U202" s="22"/>
      <c r="V202" s="22"/>
      <c r="W202" s="22"/>
      <c r="X202" s="22"/>
      <c r="Y202" s="22"/>
      <c r="Z202" s="22"/>
      <c r="AA202" s="22"/>
      <c r="AB202" s="22"/>
      <c r="AC202" s="22"/>
      <c r="AD202" s="22"/>
      <c r="AE202" s="22"/>
      <c r="AF202" s="22"/>
      <c r="AG202" s="22"/>
      <c r="AH202" s="22"/>
      <c r="AI202" s="22"/>
      <c r="AJ202" s="22"/>
      <c r="AK202" s="22"/>
      <c r="AL202" s="22"/>
      <c r="AM202" s="22"/>
      <c r="AN202" s="22"/>
      <c r="AO202" s="22"/>
      <c r="AP202" s="22"/>
      <c r="AQ202" s="22"/>
      <c r="AR202" s="22"/>
      <c r="AS202" s="22"/>
      <c r="AT202" s="22"/>
      <c r="AU202" s="22"/>
      <c r="AV202" s="22"/>
      <c r="AW202" s="22"/>
    </row>
    <row r="203" spans="2:49" x14ac:dyDescent="0.15">
      <c r="B203" s="22"/>
      <c r="C203" s="22"/>
      <c r="D203" s="22"/>
      <c r="E203" s="22"/>
      <c r="F203" s="22"/>
      <c r="G203" s="22"/>
      <c r="H203" s="22"/>
      <c r="I203" s="22"/>
      <c r="J203" s="22"/>
      <c r="K203" s="22"/>
      <c r="L203" s="22"/>
      <c r="M203" s="22"/>
      <c r="N203" s="22"/>
      <c r="O203" s="22"/>
      <c r="P203" s="22"/>
      <c r="Q203" s="22"/>
      <c r="R203" s="22"/>
      <c r="S203" s="22"/>
      <c r="T203" s="22"/>
      <c r="U203" s="22"/>
      <c r="V203" s="22"/>
      <c r="W203" s="22"/>
      <c r="X203" s="22"/>
      <c r="Y203" s="22"/>
      <c r="Z203" s="22"/>
      <c r="AA203" s="22"/>
      <c r="AB203" s="22"/>
      <c r="AC203" s="22"/>
      <c r="AD203" s="22"/>
      <c r="AE203" s="22"/>
      <c r="AF203" s="22"/>
      <c r="AG203" s="22"/>
      <c r="AH203" s="22"/>
      <c r="AI203" s="22"/>
      <c r="AJ203" s="22"/>
      <c r="AK203" s="22"/>
      <c r="AL203" s="22"/>
      <c r="AM203" s="22"/>
      <c r="AN203" s="22"/>
      <c r="AO203" s="22"/>
      <c r="AP203" s="22"/>
      <c r="AQ203" s="22"/>
      <c r="AR203" s="22"/>
      <c r="AS203" s="22"/>
      <c r="AT203" s="22"/>
      <c r="AU203" s="22"/>
      <c r="AV203" s="22"/>
      <c r="AW203" s="22"/>
    </row>
    <row r="204" spans="2:49" x14ac:dyDescent="0.15">
      <c r="B204" s="22"/>
      <c r="C204" s="22"/>
      <c r="D204" s="22"/>
      <c r="E204" s="22"/>
      <c r="F204" s="22"/>
      <c r="G204" s="22"/>
      <c r="H204" s="22"/>
      <c r="I204" s="22"/>
      <c r="J204" s="22"/>
      <c r="K204" s="22"/>
      <c r="L204" s="22"/>
      <c r="M204" s="22"/>
      <c r="N204" s="22"/>
      <c r="O204" s="22"/>
      <c r="P204" s="22"/>
      <c r="Q204" s="22"/>
      <c r="R204" s="22"/>
      <c r="S204" s="22"/>
      <c r="T204" s="22"/>
      <c r="U204" s="22"/>
      <c r="V204" s="22"/>
      <c r="W204" s="22"/>
      <c r="X204" s="22"/>
      <c r="Y204" s="22"/>
      <c r="Z204" s="22"/>
      <c r="AA204" s="22"/>
      <c r="AB204" s="22"/>
      <c r="AC204" s="22"/>
      <c r="AD204" s="22"/>
      <c r="AE204" s="22"/>
      <c r="AF204" s="22"/>
      <c r="AG204" s="22"/>
      <c r="AH204" s="22"/>
      <c r="AI204" s="22"/>
      <c r="AJ204" s="22"/>
      <c r="AK204" s="22"/>
      <c r="AL204" s="22"/>
      <c r="AM204" s="22"/>
      <c r="AN204" s="22"/>
      <c r="AO204" s="22"/>
      <c r="AP204" s="22"/>
      <c r="AQ204" s="22"/>
      <c r="AR204" s="22"/>
      <c r="AS204" s="22"/>
      <c r="AT204" s="22"/>
      <c r="AU204" s="22"/>
      <c r="AV204" s="22"/>
      <c r="AW204" s="22"/>
    </row>
    <row r="205" spans="2:49" x14ac:dyDescent="0.15">
      <c r="B205" s="22"/>
      <c r="C205" s="22"/>
      <c r="D205" s="22"/>
      <c r="E205" s="22"/>
      <c r="F205" s="22"/>
      <c r="G205" s="22"/>
      <c r="H205" s="22"/>
      <c r="I205" s="22"/>
      <c r="J205" s="22"/>
      <c r="K205" s="22"/>
      <c r="L205" s="22"/>
      <c r="M205" s="22"/>
      <c r="N205" s="22"/>
      <c r="O205" s="22"/>
      <c r="P205" s="22"/>
      <c r="Q205" s="22"/>
      <c r="R205" s="22"/>
      <c r="S205" s="22"/>
      <c r="T205" s="22"/>
      <c r="U205" s="22"/>
      <c r="V205" s="22"/>
      <c r="W205" s="22"/>
      <c r="X205" s="22"/>
      <c r="Y205" s="22"/>
      <c r="Z205" s="22"/>
      <c r="AA205" s="22"/>
      <c r="AB205" s="22"/>
      <c r="AC205" s="22"/>
      <c r="AD205" s="22"/>
      <c r="AE205" s="22"/>
      <c r="AF205" s="22"/>
      <c r="AG205" s="22"/>
      <c r="AH205" s="22"/>
      <c r="AI205" s="22"/>
      <c r="AJ205" s="22"/>
      <c r="AK205" s="22"/>
      <c r="AL205" s="22"/>
      <c r="AM205" s="22"/>
      <c r="AN205" s="22"/>
      <c r="AO205" s="22"/>
      <c r="AP205" s="22"/>
      <c r="AQ205" s="22"/>
      <c r="AR205" s="22"/>
      <c r="AS205" s="22"/>
      <c r="AT205" s="22"/>
      <c r="AU205" s="22"/>
      <c r="AV205" s="22"/>
      <c r="AW205" s="22"/>
    </row>
    <row r="206" spans="2:49" x14ac:dyDescent="0.15">
      <c r="B206" s="22"/>
      <c r="C206" s="22"/>
      <c r="D206" s="22"/>
      <c r="E206" s="22"/>
      <c r="F206" s="22"/>
      <c r="G206" s="22"/>
      <c r="H206" s="22"/>
      <c r="I206" s="22"/>
      <c r="J206" s="22"/>
      <c r="K206" s="22"/>
      <c r="L206" s="22"/>
      <c r="M206" s="22"/>
      <c r="N206" s="22"/>
      <c r="O206" s="22"/>
      <c r="P206" s="22"/>
      <c r="Q206" s="22"/>
      <c r="R206" s="22"/>
      <c r="S206" s="22"/>
      <c r="T206" s="22"/>
      <c r="U206" s="22"/>
      <c r="V206" s="22"/>
      <c r="W206" s="22"/>
      <c r="X206" s="22"/>
      <c r="Y206" s="22"/>
      <c r="Z206" s="22"/>
      <c r="AA206" s="22"/>
      <c r="AB206" s="22"/>
      <c r="AC206" s="22"/>
      <c r="AD206" s="22"/>
      <c r="AE206" s="22"/>
      <c r="AF206" s="22"/>
      <c r="AG206" s="22"/>
      <c r="AH206" s="22"/>
      <c r="AI206" s="22"/>
      <c r="AJ206" s="22"/>
      <c r="AK206" s="22"/>
      <c r="AL206" s="22"/>
      <c r="AM206" s="22"/>
      <c r="AN206" s="22"/>
      <c r="AO206" s="22"/>
      <c r="AP206" s="22"/>
      <c r="AQ206" s="22"/>
      <c r="AR206" s="22"/>
      <c r="AS206" s="22"/>
      <c r="AT206" s="22"/>
      <c r="AU206" s="22"/>
      <c r="AV206" s="22"/>
      <c r="AW206" s="22"/>
    </row>
    <row r="207" spans="2:49" x14ac:dyDescent="0.15">
      <c r="B207" s="22"/>
      <c r="C207" s="22"/>
      <c r="D207" s="22"/>
      <c r="E207" s="22"/>
      <c r="F207" s="22"/>
      <c r="G207" s="22"/>
      <c r="H207" s="22"/>
      <c r="I207" s="22"/>
      <c r="J207" s="22"/>
      <c r="K207" s="22"/>
      <c r="L207" s="22"/>
      <c r="M207" s="22"/>
      <c r="N207" s="22"/>
      <c r="O207" s="22"/>
      <c r="P207" s="22"/>
      <c r="Q207" s="22"/>
      <c r="R207" s="22"/>
      <c r="S207" s="22"/>
      <c r="T207" s="22"/>
      <c r="U207" s="22"/>
      <c r="V207" s="22"/>
      <c r="W207" s="22"/>
      <c r="X207" s="22"/>
      <c r="Y207" s="22"/>
      <c r="Z207" s="22"/>
      <c r="AA207" s="22"/>
      <c r="AB207" s="22"/>
      <c r="AC207" s="22"/>
      <c r="AD207" s="22"/>
      <c r="AE207" s="22"/>
      <c r="AF207" s="22"/>
      <c r="AG207" s="22"/>
      <c r="AH207" s="22"/>
      <c r="AI207" s="22"/>
      <c r="AJ207" s="22"/>
      <c r="AK207" s="22"/>
      <c r="AL207" s="22"/>
      <c r="AM207" s="22"/>
      <c r="AN207" s="22"/>
      <c r="AO207" s="22"/>
      <c r="AP207" s="22"/>
      <c r="AQ207" s="22"/>
      <c r="AR207" s="22"/>
      <c r="AS207" s="22"/>
      <c r="AT207" s="22"/>
      <c r="AU207" s="22"/>
      <c r="AV207" s="22"/>
      <c r="AW207" s="22"/>
    </row>
    <row r="208" spans="2:49" x14ac:dyDescent="0.15">
      <c r="B208" s="22"/>
      <c r="C208" s="22"/>
      <c r="D208" s="22"/>
      <c r="E208" s="22"/>
      <c r="F208" s="22"/>
      <c r="G208" s="22"/>
      <c r="H208" s="22"/>
      <c r="I208" s="22"/>
      <c r="J208" s="22"/>
      <c r="K208" s="22"/>
      <c r="L208" s="22"/>
      <c r="M208" s="22"/>
      <c r="N208" s="22"/>
      <c r="O208" s="22"/>
      <c r="P208" s="22"/>
      <c r="Q208" s="22"/>
      <c r="R208" s="22"/>
      <c r="S208" s="22"/>
      <c r="T208" s="22"/>
      <c r="U208" s="22"/>
      <c r="V208" s="22"/>
      <c r="W208" s="22"/>
      <c r="X208" s="22"/>
      <c r="Y208" s="22"/>
      <c r="Z208" s="22"/>
      <c r="AA208" s="22"/>
      <c r="AB208" s="22"/>
      <c r="AC208" s="22"/>
      <c r="AD208" s="22"/>
      <c r="AE208" s="22"/>
      <c r="AF208" s="22"/>
      <c r="AG208" s="22"/>
      <c r="AH208" s="22"/>
      <c r="AI208" s="22"/>
      <c r="AJ208" s="22"/>
      <c r="AK208" s="22"/>
      <c r="AL208" s="22"/>
      <c r="AM208" s="22"/>
      <c r="AN208" s="22"/>
      <c r="AO208" s="22"/>
      <c r="AP208" s="22"/>
      <c r="AQ208" s="22"/>
      <c r="AR208" s="22"/>
      <c r="AS208" s="22"/>
      <c r="AT208" s="22"/>
      <c r="AU208" s="22"/>
      <c r="AV208" s="22"/>
      <c r="AW208" s="22"/>
    </row>
    <row r="209" spans="2:49" x14ac:dyDescent="0.15">
      <c r="B209" s="22"/>
      <c r="C209" s="22"/>
      <c r="D209" s="22"/>
      <c r="E209" s="22"/>
      <c r="F209" s="22"/>
      <c r="G209" s="22"/>
      <c r="H209" s="22"/>
      <c r="I209" s="22"/>
      <c r="J209" s="22"/>
      <c r="K209" s="22"/>
      <c r="L209" s="22"/>
      <c r="M209" s="22"/>
      <c r="N209" s="22"/>
      <c r="O209" s="22"/>
      <c r="P209" s="22"/>
      <c r="Q209" s="22"/>
      <c r="R209" s="22"/>
      <c r="S209" s="22"/>
      <c r="T209" s="22"/>
      <c r="U209" s="22"/>
      <c r="V209" s="22"/>
      <c r="W209" s="22"/>
      <c r="X209" s="22"/>
      <c r="Y209" s="22"/>
      <c r="Z209" s="22"/>
      <c r="AA209" s="22"/>
      <c r="AB209" s="22"/>
      <c r="AC209" s="22"/>
      <c r="AD209" s="22"/>
      <c r="AE209" s="22"/>
      <c r="AF209" s="22"/>
      <c r="AG209" s="22"/>
      <c r="AH209" s="22"/>
      <c r="AI209" s="22"/>
      <c r="AJ209" s="22"/>
      <c r="AK209" s="22"/>
      <c r="AL209" s="22"/>
      <c r="AM209" s="22"/>
      <c r="AN209" s="22"/>
      <c r="AO209" s="22"/>
      <c r="AP209" s="22"/>
      <c r="AQ209" s="22"/>
      <c r="AR209" s="22"/>
      <c r="AS209" s="22"/>
      <c r="AT209" s="22"/>
      <c r="AU209" s="22"/>
      <c r="AV209" s="22"/>
      <c r="AW209" s="22"/>
    </row>
    <row r="210" spans="2:49" x14ac:dyDescent="0.15">
      <c r="B210" s="22"/>
      <c r="C210" s="22"/>
      <c r="D210" s="22"/>
      <c r="E210" s="22"/>
      <c r="F210" s="22"/>
      <c r="G210" s="22"/>
      <c r="H210" s="22"/>
      <c r="I210" s="22"/>
      <c r="J210" s="22"/>
      <c r="K210" s="22"/>
      <c r="L210" s="22"/>
      <c r="M210" s="22"/>
      <c r="N210" s="22"/>
      <c r="O210" s="22"/>
      <c r="P210" s="22"/>
      <c r="Q210" s="22"/>
      <c r="R210" s="22"/>
      <c r="S210" s="22"/>
      <c r="T210" s="22"/>
      <c r="U210" s="22"/>
      <c r="V210" s="22"/>
      <c r="W210" s="22"/>
      <c r="X210" s="22"/>
      <c r="Y210" s="22"/>
      <c r="Z210" s="22"/>
      <c r="AA210" s="22"/>
      <c r="AB210" s="22"/>
      <c r="AC210" s="22"/>
      <c r="AD210" s="22"/>
      <c r="AE210" s="22"/>
      <c r="AF210" s="22"/>
      <c r="AG210" s="22"/>
      <c r="AH210" s="22"/>
      <c r="AI210" s="22"/>
      <c r="AJ210" s="22"/>
      <c r="AK210" s="22"/>
      <c r="AL210" s="22"/>
      <c r="AM210" s="22"/>
      <c r="AN210" s="22"/>
      <c r="AO210" s="22"/>
      <c r="AP210" s="22"/>
      <c r="AQ210" s="22"/>
      <c r="AR210" s="22"/>
      <c r="AS210" s="22"/>
      <c r="AT210" s="22"/>
      <c r="AU210" s="22"/>
      <c r="AV210" s="22"/>
      <c r="AW210" s="22"/>
    </row>
    <row r="211" spans="2:49" x14ac:dyDescent="0.15">
      <c r="B211" s="22"/>
      <c r="C211" s="22"/>
      <c r="D211" s="22"/>
      <c r="E211" s="22"/>
      <c r="F211" s="22"/>
      <c r="G211" s="22"/>
      <c r="H211" s="22"/>
      <c r="I211" s="22"/>
      <c r="J211" s="22"/>
      <c r="K211" s="22"/>
      <c r="L211" s="22"/>
      <c r="M211" s="22"/>
      <c r="N211" s="22"/>
      <c r="O211" s="22"/>
      <c r="P211" s="22"/>
      <c r="Q211" s="22"/>
      <c r="R211" s="22"/>
      <c r="S211" s="22"/>
      <c r="T211" s="22"/>
      <c r="U211" s="22"/>
      <c r="V211" s="22"/>
      <c r="W211" s="22"/>
      <c r="X211" s="22"/>
      <c r="Y211" s="22"/>
      <c r="Z211" s="22"/>
      <c r="AA211" s="22"/>
      <c r="AB211" s="22"/>
      <c r="AC211" s="22"/>
      <c r="AD211" s="22"/>
      <c r="AE211" s="22"/>
      <c r="AF211" s="22"/>
      <c r="AG211" s="22"/>
      <c r="AH211" s="22"/>
      <c r="AI211" s="22"/>
      <c r="AJ211" s="22"/>
      <c r="AK211" s="22"/>
      <c r="AL211" s="22"/>
      <c r="AM211" s="22"/>
      <c r="AN211" s="22"/>
      <c r="AO211" s="22"/>
      <c r="AP211" s="22"/>
      <c r="AQ211" s="22"/>
      <c r="AR211" s="22"/>
      <c r="AS211" s="22"/>
      <c r="AT211" s="22"/>
      <c r="AU211" s="22"/>
      <c r="AV211" s="22"/>
      <c r="AW211" s="22"/>
    </row>
    <row r="212" spans="2:49" x14ac:dyDescent="0.15">
      <c r="B212" s="22"/>
      <c r="C212" s="22"/>
      <c r="D212" s="22"/>
      <c r="E212" s="22"/>
      <c r="F212" s="22"/>
      <c r="G212" s="22"/>
      <c r="H212" s="22"/>
      <c r="I212" s="22"/>
      <c r="J212" s="22"/>
      <c r="K212" s="22"/>
      <c r="L212" s="22"/>
      <c r="M212" s="22"/>
      <c r="N212" s="22"/>
      <c r="O212" s="22"/>
      <c r="P212" s="22"/>
      <c r="Q212" s="22"/>
      <c r="R212" s="22"/>
      <c r="S212" s="22"/>
      <c r="T212" s="22"/>
      <c r="U212" s="22"/>
      <c r="V212" s="22"/>
      <c r="W212" s="22"/>
      <c r="X212" s="22"/>
      <c r="Y212" s="22"/>
      <c r="Z212" s="22"/>
      <c r="AA212" s="22"/>
      <c r="AB212" s="22"/>
      <c r="AC212" s="22"/>
      <c r="AD212" s="22"/>
      <c r="AE212" s="22"/>
      <c r="AF212" s="22"/>
      <c r="AG212" s="22"/>
      <c r="AH212" s="22"/>
      <c r="AI212" s="22"/>
      <c r="AJ212" s="22"/>
      <c r="AK212" s="22"/>
      <c r="AL212" s="22"/>
      <c r="AM212" s="22"/>
      <c r="AN212" s="22"/>
      <c r="AO212" s="22"/>
      <c r="AP212" s="22"/>
      <c r="AQ212" s="22"/>
      <c r="AR212" s="22"/>
      <c r="AS212" s="22"/>
      <c r="AT212" s="22"/>
      <c r="AU212" s="22"/>
      <c r="AV212" s="22"/>
      <c r="AW212" s="22"/>
    </row>
    <row r="213" spans="2:49" x14ac:dyDescent="0.15">
      <c r="B213" s="22"/>
      <c r="C213" s="22"/>
      <c r="D213" s="22"/>
      <c r="E213" s="22"/>
      <c r="F213" s="22"/>
      <c r="G213" s="22"/>
      <c r="H213" s="22"/>
      <c r="I213" s="22"/>
      <c r="J213" s="22"/>
      <c r="K213" s="22"/>
      <c r="L213" s="22"/>
      <c r="M213" s="22"/>
      <c r="N213" s="22"/>
      <c r="O213" s="22"/>
      <c r="P213" s="22"/>
      <c r="Q213" s="22"/>
      <c r="R213" s="22"/>
      <c r="S213" s="22"/>
      <c r="T213" s="22"/>
      <c r="U213" s="22"/>
      <c r="V213" s="22"/>
      <c r="W213" s="22"/>
      <c r="X213" s="22"/>
      <c r="Y213" s="22"/>
      <c r="Z213" s="22"/>
      <c r="AA213" s="22"/>
      <c r="AB213" s="22"/>
      <c r="AC213" s="22"/>
      <c r="AD213" s="22"/>
      <c r="AE213" s="22"/>
      <c r="AF213" s="22"/>
      <c r="AG213" s="22"/>
      <c r="AH213" s="22"/>
      <c r="AI213" s="22"/>
      <c r="AJ213" s="22"/>
      <c r="AK213" s="22"/>
      <c r="AL213" s="22"/>
      <c r="AM213" s="22"/>
      <c r="AN213" s="22"/>
      <c r="AO213" s="22"/>
      <c r="AP213" s="22"/>
      <c r="AQ213" s="22"/>
      <c r="AR213" s="22"/>
      <c r="AS213" s="22"/>
      <c r="AT213" s="22"/>
      <c r="AU213" s="22"/>
      <c r="AV213" s="22"/>
      <c r="AW213" s="22"/>
    </row>
    <row r="214" spans="2:49" x14ac:dyDescent="0.15">
      <c r="B214" s="22"/>
      <c r="C214" s="22"/>
      <c r="D214" s="22"/>
      <c r="E214" s="22"/>
      <c r="F214" s="22"/>
      <c r="G214" s="22"/>
      <c r="H214" s="22"/>
      <c r="I214" s="22"/>
      <c r="J214" s="22"/>
      <c r="K214" s="22"/>
      <c r="L214" s="22"/>
      <c r="M214" s="22"/>
      <c r="N214" s="22"/>
      <c r="O214" s="22"/>
      <c r="P214" s="22"/>
      <c r="Q214" s="22"/>
      <c r="R214" s="22"/>
      <c r="S214" s="22"/>
      <c r="T214" s="22"/>
      <c r="U214" s="22"/>
      <c r="V214" s="22"/>
      <c r="W214" s="22"/>
      <c r="X214" s="22"/>
      <c r="Y214" s="22"/>
      <c r="Z214" s="22"/>
      <c r="AA214" s="22"/>
      <c r="AB214" s="22"/>
      <c r="AC214" s="22"/>
      <c r="AD214" s="22"/>
      <c r="AE214" s="22"/>
      <c r="AF214" s="22"/>
      <c r="AG214" s="22"/>
      <c r="AH214" s="22"/>
      <c r="AI214" s="22"/>
      <c r="AJ214" s="22"/>
      <c r="AK214" s="22"/>
      <c r="AL214" s="22"/>
      <c r="AM214" s="22"/>
      <c r="AN214" s="22"/>
      <c r="AO214" s="22"/>
      <c r="AP214" s="22"/>
      <c r="AQ214" s="22"/>
      <c r="AR214" s="22"/>
      <c r="AS214" s="22"/>
      <c r="AT214" s="22"/>
      <c r="AU214" s="22"/>
      <c r="AV214" s="22"/>
      <c r="AW214" s="22"/>
    </row>
    <row r="215" spans="2:49" x14ac:dyDescent="0.15">
      <c r="B215" s="22"/>
      <c r="C215" s="22"/>
      <c r="D215" s="22"/>
      <c r="E215" s="22"/>
      <c r="F215" s="22"/>
      <c r="G215" s="22"/>
      <c r="H215" s="22"/>
      <c r="I215" s="22"/>
      <c r="J215" s="22"/>
      <c r="K215" s="22"/>
      <c r="L215" s="22"/>
      <c r="M215" s="22"/>
      <c r="N215" s="22"/>
      <c r="O215" s="22"/>
      <c r="P215" s="22"/>
      <c r="Q215" s="22"/>
      <c r="R215" s="22"/>
      <c r="S215" s="22"/>
      <c r="T215" s="22"/>
      <c r="U215" s="22"/>
      <c r="V215" s="22"/>
      <c r="W215" s="22"/>
      <c r="X215" s="22"/>
      <c r="Y215" s="22"/>
      <c r="Z215" s="22"/>
      <c r="AA215" s="22"/>
      <c r="AB215" s="22"/>
      <c r="AC215" s="22"/>
      <c r="AD215" s="22"/>
      <c r="AE215" s="22"/>
      <c r="AF215" s="22"/>
      <c r="AG215" s="22"/>
      <c r="AH215" s="22"/>
      <c r="AI215" s="22"/>
      <c r="AJ215" s="22"/>
      <c r="AK215" s="22"/>
      <c r="AL215" s="22"/>
      <c r="AM215" s="22"/>
      <c r="AN215" s="22"/>
      <c r="AO215" s="22"/>
      <c r="AP215" s="22"/>
      <c r="AQ215" s="22"/>
      <c r="AR215" s="22"/>
      <c r="AS215" s="22"/>
      <c r="AT215" s="22"/>
      <c r="AU215" s="22"/>
      <c r="AV215" s="22"/>
      <c r="AW215" s="22"/>
    </row>
    <row r="216" spans="2:49" x14ac:dyDescent="0.15">
      <c r="B216" s="22"/>
      <c r="C216" s="22"/>
      <c r="D216" s="22"/>
      <c r="E216" s="22"/>
      <c r="F216" s="22"/>
      <c r="G216" s="22"/>
      <c r="H216" s="22"/>
      <c r="I216" s="22"/>
      <c r="J216" s="22"/>
      <c r="K216" s="22"/>
      <c r="L216" s="22"/>
      <c r="M216" s="22"/>
      <c r="N216" s="22"/>
      <c r="O216" s="22"/>
      <c r="P216" s="22"/>
      <c r="Q216" s="22"/>
      <c r="R216" s="22"/>
      <c r="S216" s="22"/>
      <c r="T216" s="22"/>
      <c r="U216" s="22"/>
      <c r="V216" s="22"/>
      <c r="W216" s="22"/>
      <c r="X216" s="22"/>
      <c r="Y216" s="22"/>
      <c r="Z216" s="22"/>
      <c r="AA216" s="22"/>
      <c r="AB216" s="22"/>
      <c r="AC216" s="22"/>
      <c r="AD216" s="22"/>
      <c r="AE216" s="22"/>
      <c r="AF216" s="22"/>
      <c r="AG216" s="22"/>
      <c r="AH216" s="22"/>
      <c r="AI216" s="22"/>
      <c r="AJ216" s="22"/>
      <c r="AK216" s="22"/>
      <c r="AL216" s="22"/>
      <c r="AM216" s="22"/>
      <c r="AN216" s="22"/>
      <c r="AO216" s="22"/>
      <c r="AP216" s="22"/>
      <c r="AQ216" s="22"/>
      <c r="AR216" s="22"/>
      <c r="AS216" s="22"/>
      <c r="AT216" s="22"/>
      <c r="AU216" s="22"/>
      <c r="AV216" s="22"/>
      <c r="AW216" s="22"/>
    </row>
    <row r="217" spans="2:49" x14ac:dyDescent="0.15">
      <c r="B217" s="22"/>
      <c r="C217" s="22"/>
      <c r="D217" s="22"/>
      <c r="E217" s="22"/>
      <c r="F217" s="22"/>
      <c r="G217" s="22"/>
      <c r="H217" s="22"/>
      <c r="I217" s="22"/>
      <c r="J217" s="22"/>
      <c r="K217" s="22"/>
      <c r="L217" s="22"/>
      <c r="M217" s="22"/>
      <c r="N217" s="22"/>
      <c r="O217" s="22"/>
      <c r="P217" s="22"/>
      <c r="Q217" s="22"/>
      <c r="R217" s="22"/>
      <c r="S217" s="22"/>
      <c r="T217" s="22"/>
      <c r="U217" s="22"/>
      <c r="V217" s="22"/>
      <c r="W217" s="22"/>
      <c r="X217" s="22"/>
      <c r="Y217" s="22"/>
      <c r="Z217" s="22"/>
      <c r="AA217" s="22"/>
      <c r="AB217" s="22"/>
      <c r="AC217" s="22"/>
      <c r="AD217" s="22"/>
      <c r="AE217" s="22"/>
      <c r="AF217" s="22"/>
      <c r="AG217" s="22"/>
      <c r="AH217" s="22"/>
      <c r="AI217" s="22"/>
      <c r="AJ217" s="22"/>
      <c r="AK217" s="22"/>
      <c r="AL217" s="22"/>
      <c r="AM217" s="22"/>
      <c r="AN217" s="22"/>
      <c r="AO217" s="22"/>
      <c r="AP217" s="22"/>
      <c r="AQ217" s="22"/>
      <c r="AR217" s="22"/>
      <c r="AS217" s="22"/>
      <c r="AT217" s="22"/>
      <c r="AU217" s="22"/>
      <c r="AV217" s="22"/>
      <c r="AW217" s="22"/>
    </row>
    <row r="218" spans="2:49" x14ac:dyDescent="0.15">
      <c r="B218" s="22"/>
      <c r="C218" s="22"/>
      <c r="D218" s="22"/>
      <c r="E218" s="22"/>
      <c r="F218" s="22"/>
      <c r="G218" s="22"/>
      <c r="H218" s="22"/>
      <c r="I218" s="22"/>
      <c r="J218" s="22"/>
      <c r="K218" s="22"/>
      <c r="L218" s="22"/>
      <c r="M218" s="22"/>
      <c r="N218" s="22"/>
      <c r="O218" s="22"/>
      <c r="P218" s="22"/>
      <c r="Q218" s="22"/>
      <c r="R218" s="22"/>
      <c r="S218" s="22"/>
      <c r="T218" s="22"/>
      <c r="U218" s="22"/>
      <c r="V218" s="22"/>
      <c r="W218" s="22"/>
      <c r="X218" s="22"/>
      <c r="Y218" s="22"/>
      <c r="Z218" s="22"/>
      <c r="AA218" s="22"/>
      <c r="AB218" s="22"/>
      <c r="AC218" s="22"/>
      <c r="AD218" s="22"/>
      <c r="AE218" s="22"/>
      <c r="AF218" s="22"/>
      <c r="AG218" s="22"/>
      <c r="AH218" s="22"/>
      <c r="AI218" s="22"/>
      <c r="AJ218" s="22"/>
      <c r="AK218" s="22"/>
      <c r="AL218" s="22"/>
      <c r="AM218" s="22"/>
      <c r="AN218" s="22"/>
      <c r="AO218" s="22"/>
      <c r="AP218" s="22"/>
      <c r="AQ218" s="22"/>
      <c r="AR218" s="22"/>
      <c r="AS218" s="22"/>
      <c r="AT218" s="22"/>
      <c r="AU218" s="22"/>
      <c r="AV218" s="22"/>
      <c r="AW218" s="22"/>
    </row>
    <row r="219" spans="2:49" x14ac:dyDescent="0.15">
      <c r="B219" s="22"/>
      <c r="C219" s="22"/>
      <c r="D219" s="22"/>
      <c r="E219" s="22"/>
      <c r="F219" s="22"/>
      <c r="G219" s="22"/>
      <c r="H219" s="22"/>
      <c r="I219" s="22"/>
      <c r="J219" s="22"/>
      <c r="K219" s="22"/>
      <c r="L219" s="22"/>
      <c r="M219" s="22"/>
      <c r="N219" s="22"/>
      <c r="O219" s="22"/>
      <c r="P219" s="22"/>
      <c r="Q219" s="22"/>
      <c r="R219" s="22"/>
      <c r="S219" s="22"/>
      <c r="T219" s="22"/>
      <c r="U219" s="22"/>
      <c r="V219" s="22"/>
      <c r="W219" s="22"/>
      <c r="X219" s="22"/>
      <c r="Y219" s="22"/>
      <c r="Z219" s="22"/>
      <c r="AA219" s="22"/>
      <c r="AB219" s="22"/>
      <c r="AC219" s="22"/>
      <c r="AD219" s="22"/>
      <c r="AE219" s="22"/>
      <c r="AF219" s="22"/>
      <c r="AG219" s="22"/>
      <c r="AH219" s="22"/>
      <c r="AI219" s="22"/>
      <c r="AJ219" s="22"/>
      <c r="AK219" s="22"/>
      <c r="AL219" s="22"/>
      <c r="AM219" s="22"/>
      <c r="AN219" s="22"/>
      <c r="AO219" s="22"/>
      <c r="AP219" s="22"/>
      <c r="AQ219" s="22"/>
      <c r="AR219" s="22"/>
      <c r="AS219" s="22"/>
      <c r="AT219" s="22"/>
      <c r="AU219" s="22"/>
      <c r="AV219" s="22"/>
      <c r="AW219" s="22"/>
    </row>
    <row r="220" spans="2:49" x14ac:dyDescent="0.15">
      <c r="B220" s="22"/>
      <c r="C220" s="22"/>
      <c r="D220" s="22"/>
      <c r="E220" s="22"/>
      <c r="F220" s="22"/>
      <c r="G220" s="22"/>
      <c r="H220" s="22"/>
      <c r="I220" s="22"/>
      <c r="J220" s="22"/>
      <c r="K220" s="22"/>
      <c r="L220" s="22"/>
      <c r="M220" s="22"/>
      <c r="N220" s="22"/>
      <c r="O220" s="22"/>
      <c r="P220" s="22"/>
      <c r="Q220" s="22"/>
      <c r="R220" s="22"/>
      <c r="S220" s="22"/>
      <c r="T220" s="22"/>
      <c r="U220" s="22"/>
      <c r="V220" s="22"/>
      <c r="W220" s="22"/>
      <c r="X220" s="22"/>
      <c r="Y220" s="22"/>
      <c r="Z220" s="22"/>
      <c r="AA220" s="22"/>
      <c r="AB220" s="22"/>
      <c r="AC220" s="22"/>
      <c r="AD220" s="22"/>
      <c r="AE220" s="22"/>
      <c r="AF220" s="22"/>
      <c r="AG220" s="22"/>
      <c r="AH220" s="22"/>
      <c r="AI220" s="22"/>
      <c r="AJ220" s="22"/>
      <c r="AK220" s="22"/>
      <c r="AL220" s="22"/>
      <c r="AM220" s="22"/>
      <c r="AN220" s="22"/>
      <c r="AO220" s="22"/>
      <c r="AP220" s="22"/>
      <c r="AQ220" s="22"/>
      <c r="AR220" s="22"/>
      <c r="AS220" s="22"/>
      <c r="AT220" s="22"/>
      <c r="AU220" s="22"/>
      <c r="AV220" s="22"/>
      <c r="AW220" s="22"/>
    </row>
    <row r="221" spans="2:49" x14ac:dyDescent="0.15">
      <c r="B221" s="22"/>
      <c r="C221" s="22"/>
      <c r="D221" s="22"/>
      <c r="E221" s="22"/>
      <c r="F221" s="22"/>
      <c r="G221" s="22"/>
      <c r="H221" s="22"/>
      <c r="I221" s="22"/>
      <c r="J221" s="22"/>
      <c r="K221" s="22"/>
      <c r="L221" s="22"/>
      <c r="M221" s="22"/>
      <c r="N221" s="22"/>
      <c r="O221" s="22"/>
      <c r="P221" s="22"/>
      <c r="Q221" s="22"/>
      <c r="R221" s="22"/>
      <c r="S221" s="22"/>
      <c r="T221" s="22"/>
      <c r="U221" s="22"/>
      <c r="V221" s="22"/>
      <c r="W221" s="22"/>
      <c r="X221" s="22"/>
      <c r="Y221" s="22"/>
      <c r="Z221" s="22"/>
      <c r="AA221" s="22"/>
      <c r="AB221" s="22"/>
      <c r="AC221" s="22"/>
      <c r="AD221" s="22"/>
      <c r="AE221" s="22"/>
      <c r="AF221" s="22"/>
      <c r="AG221" s="22"/>
      <c r="AH221" s="22"/>
      <c r="AI221" s="22"/>
      <c r="AJ221" s="22"/>
      <c r="AK221" s="22"/>
      <c r="AL221" s="22"/>
      <c r="AM221" s="22"/>
      <c r="AN221" s="22"/>
      <c r="AO221" s="22"/>
      <c r="AP221" s="22"/>
      <c r="AQ221" s="22"/>
      <c r="AR221" s="22"/>
      <c r="AS221" s="22"/>
      <c r="AT221" s="22"/>
      <c r="AU221" s="22"/>
      <c r="AV221" s="22"/>
      <c r="AW221" s="22"/>
    </row>
    <row r="222" spans="2:49" x14ac:dyDescent="0.15">
      <c r="B222" s="22"/>
      <c r="C222" s="22"/>
      <c r="D222" s="22"/>
      <c r="E222" s="22"/>
      <c r="F222" s="22"/>
      <c r="G222" s="22"/>
      <c r="H222" s="22"/>
      <c r="I222" s="22"/>
      <c r="J222" s="22"/>
      <c r="K222" s="22"/>
      <c r="L222" s="22"/>
      <c r="M222" s="22"/>
      <c r="N222" s="22"/>
      <c r="O222" s="22"/>
      <c r="P222" s="22"/>
      <c r="Q222" s="22"/>
      <c r="R222" s="22"/>
      <c r="S222" s="22"/>
      <c r="T222" s="22"/>
      <c r="U222" s="22"/>
      <c r="V222" s="22"/>
      <c r="W222" s="22"/>
      <c r="X222" s="22"/>
      <c r="Y222" s="22"/>
      <c r="Z222" s="22"/>
      <c r="AA222" s="22"/>
      <c r="AB222" s="22"/>
      <c r="AC222" s="22"/>
      <c r="AD222" s="22"/>
      <c r="AE222" s="22"/>
      <c r="AF222" s="22"/>
      <c r="AG222" s="22"/>
      <c r="AH222" s="22"/>
      <c r="AI222" s="22"/>
      <c r="AJ222" s="22"/>
      <c r="AK222" s="22"/>
      <c r="AL222" s="22"/>
      <c r="AM222" s="22"/>
      <c r="AN222" s="22"/>
      <c r="AO222" s="22"/>
      <c r="AP222" s="22"/>
      <c r="AQ222" s="22"/>
      <c r="AR222" s="22"/>
      <c r="AS222" s="22"/>
      <c r="AT222" s="22"/>
      <c r="AU222" s="22"/>
      <c r="AV222" s="22"/>
      <c r="AW222" s="22"/>
    </row>
    <row r="223" spans="2:49" x14ac:dyDescent="0.15">
      <c r="B223" s="22"/>
      <c r="C223" s="22"/>
      <c r="D223" s="22"/>
      <c r="E223" s="22"/>
      <c r="F223" s="22"/>
      <c r="G223" s="22"/>
      <c r="H223" s="22"/>
      <c r="I223" s="22"/>
      <c r="J223" s="22"/>
      <c r="K223" s="22"/>
      <c r="L223" s="22"/>
      <c r="M223" s="22"/>
      <c r="N223" s="22"/>
      <c r="O223" s="22"/>
      <c r="P223" s="22"/>
      <c r="Q223" s="22"/>
      <c r="R223" s="22"/>
      <c r="S223" s="22"/>
      <c r="T223" s="22"/>
      <c r="U223" s="22"/>
      <c r="V223" s="22"/>
      <c r="W223" s="22"/>
      <c r="X223" s="22"/>
      <c r="Y223" s="22"/>
      <c r="Z223" s="22"/>
      <c r="AA223" s="22"/>
      <c r="AB223" s="22"/>
      <c r="AC223" s="22"/>
      <c r="AD223" s="22"/>
      <c r="AE223" s="22"/>
      <c r="AF223" s="22"/>
      <c r="AG223" s="22"/>
      <c r="AH223" s="22"/>
      <c r="AI223" s="22"/>
      <c r="AJ223" s="22"/>
      <c r="AK223" s="22"/>
      <c r="AL223" s="22"/>
      <c r="AM223" s="22"/>
      <c r="AN223" s="22"/>
      <c r="AO223" s="22"/>
      <c r="AP223" s="22"/>
      <c r="AQ223" s="22"/>
      <c r="AR223" s="22"/>
      <c r="AS223" s="22"/>
      <c r="AT223" s="22"/>
      <c r="AU223" s="22"/>
      <c r="AV223" s="22"/>
      <c r="AW223" s="22"/>
    </row>
    <row r="224" spans="2:49" x14ac:dyDescent="0.15">
      <c r="B224" s="22"/>
      <c r="C224" s="22"/>
      <c r="D224" s="22"/>
      <c r="E224" s="22"/>
      <c r="F224" s="22"/>
      <c r="G224" s="22"/>
      <c r="H224" s="22"/>
      <c r="I224" s="22"/>
      <c r="J224" s="22"/>
      <c r="K224" s="22"/>
      <c r="L224" s="22"/>
      <c r="M224" s="22"/>
      <c r="N224" s="22"/>
      <c r="O224" s="22"/>
      <c r="P224" s="22"/>
      <c r="Q224" s="22"/>
      <c r="R224" s="22"/>
      <c r="S224" s="22"/>
      <c r="T224" s="22"/>
      <c r="U224" s="22"/>
      <c r="V224" s="22"/>
      <c r="W224" s="22"/>
      <c r="X224" s="22"/>
      <c r="Y224" s="22"/>
      <c r="Z224" s="22"/>
      <c r="AA224" s="22"/>
      <c r="AB224" s="22"/>
      <c r="AC224" s="22"/>
      <c r="AD224" s="22"/>
      <c r="AE224" s="22"/>
      <c r="AF224" s="22"/>
      <c r="AG224" s="22"/>
      <c r="AH224" s="22"/>
      <c r="AI224" s="22"/>
      <c r="AJ224" s="22"/>
      <c r="AK224" s="22"/>
      <c r="AL224" s="22"/>
      <c r="AM224" s="22"/>
      <c r="AN224" s="22"/>
      <c r="AO224" s="22"/>
      <c r="AP224" s="22"/>
      <c r="AQ224" s="22"/>
      <c r="AR224" s="22"/>
      <c r="AS224" s="22"/>
      <c r="AT224" s="22"/>
      <c r="AU224" s="22"/>
      <c r="AV224" s="22"/>
      <c r="AW224" s="22"/>
    </row>
    <row r="225" spans="2:49" x14ac:dyDescent="0.15">
      <c r="B225" s="22"/>
      <c r="C225" s="22"/>
      <c r="D225" s="22"/>
      <c r="E225" s="22"/>
      <c r="F225" s="22"/>
      <c r="G225" s="22"/>
      <c r="H225" s="22"/>
      <c r="I225" s="22"/>
      <c r="J225" s="22"/>
      <c r="K225" s="22"/>
      <c r="L225" s="22"/>
      <c r="M225" s="22"/>
      <c r="N225" s="22"/>
      <c r="O225" s="22"/>
      <c r="P225" s="22"/>
      <c r="Q225" s="22"/>
      <c r="R225" s="22"/>
      <c r="S225" s="22"/>
      <c r="T225" s="22"/>
      <c r="U225" s="22"/>
      <c r="V225" s="22"/>
      <c r="W225" s="22"/>
      <c r="X225" s="22"/>
      <c r="Y225" s="22"/>
      <c r="Z225" s="22"/>
      <c r="AA225" s="22"/>
      <c r="AB225" s="22"/>
      <c r="AC225" s="22"/>
      <c r="AD225" s="22"/>
      <c r="AE225" s="22"/>
      <c r="AF225" s="22"/>
      <c r="AG225" s="22"/>
      <c r="AH225" s="22"/>
      <c r="AI225" s="22"/>
      <c r="AJ225" s="22"/>
      <c r="AK225" s="22"/>
      <c r="AL225" s="22"/>
      <c r="AM225" s="22"/>
      <c r="AN225" s="22"/>
      <c r="AO225" s="22"/>
      <c r="AP225" s="22"/>
      <c r="AQ225" s="22"/>
      <c r="AR225" s="22"/>
      <c r="AS225" s="22"/>
      <c r="AT225" s="22"/>
      <c r="AU225" s="22"/>
      <c r="AV225" s="22"/>
      <c r="AW225" s="22"/>
    </row>
    <row r="226" spans="2:49" x14ac:dyDescent="0.15">
      <c r="B226" s="22"/>
      <c r="C226" s="22"/>
      <c r="D226" s="22"/>
      <c r="E226" s="22"/>
      <c r="F226" s="22"/>
      <c r="G226" s="22"/>
      <c r="H226" s="22"/>
      <c r="I226" s="22"/>
      <c r="J226" s="22"/>
      <c r="K226" s="22"/>
      <c r="L226" s="22"/>
      <c r="M226" s="22"/>
      <c r="N226" s="22"/>
      <c r="O226" s="22"/>
      <c r="P226" s="22"/>
      <c r="Q226" s="22"/>
      <c r="R226" s="22"/>
      <c r="S226" s="22"/>
      <c r="T226" s="22"/>
      <c r="U226" s="22"/>
      <c r="V226" s="22"/>
      <c r="W226" s="22"/>
      <c r="X226" s="22"/>
      <c r="Y226" s="22"/>
      <c r="Z226" s="22"/>
      <c r="AA226" s="22"/>
      <c r="AB226" s="22"/>
      <c r="AC226" s="22"/>
      <c r="AD226" s="22"/>
      <c r="AE226" s="22"/>
      <c r="AF226" s="22"/>
      <c r="AG226" s="22"/>
      <c r="AH226" s="22"/>
      <c r="AI226" s="22"/>
      <c r="AJ226" s="22"/>
      <c r="AK226" s="22"/>
      <c r="AL226" s="22"/>
      <c r="AM226" s="22"/>
      <c r="AN226" s="22"/>
      <c r="AO226" s="22"/>
      <c r="AP226" s="22"/>
      <c r="AQ226" s="22"/>
      <c r="AR226" s="22"/>
      <c r="AS226" s="22"/>
      <c r="AT226" s="22"/>
      <c r="AU226" s="22"/>
      <c r="AV226" s="22"/>
      <c r="AW226" s="22"/>
    </row>
    <row r="227" spans="2:49" x14ac:dyDescent="0.15">
      <c r="B227" s="22"/>
      <c r="C227" s="22"/>
      <c r="D227" s="22"/>
      <c r="E227" s="22"/>
      <c r="F227" s="22"/>
      <c r="G227" s="22"/>
      <c r="H227" s="22"/>
      <c r="I227" s="22"/>
      <c r="J227" s="22"/>
      <c r="K227" s="22"/>
      <c r="L227" s="22"/>
      <c r="M227" s="22"/>
      <c r="N227" s="22"/>
      <c r="O227" s="22"/>
      <c r="P227" s="22"/>
      <c r="Q227" s="22"/>
      <c r="R227" s="22"/>
      <c r="S227" s="22"/>
      <c r="T227" s="22"/>
      <c r="U227" s="22"/>
      <c r="V227" s="22"/>
      <c r="W227" s="22"/>
      <c r="X227" s="22"/>
      <c r="Y227" s="22"/>
      <c r="Z227" s="22"/>
      <c r="AA227" s="22"/>
      <c r="AB227" s="22"/>
      <c r="AC227" s="22"/>
      <c r="AD227" s="22"/>
      <c r="AE227" s="22"/>
      <c r="AF227" s="22"/>
      <c r="AG227" s="22"/>
      <c r="AH227" s="22"/>
      <c r="AI227" s="22"/>
      <c r="AJ227" s="22"/>
      <c r="AK227" s="22"/>
      <c r="AL227" s="22"/>
      <c r="AM227" s="22"/>
      <c r="AN227" s="22"/>
      <c r="AO227" s="22"/>
      <c r="AP227" s="22"/>
      <c r="AQ227" s="22"/>
      <c r="AR227" s="22"/>
      <c r="AS227" s="22"/>
      <c r="AT227" s="22"/>
      <c r="AU227" s="22"/>
      <c r="AV227" s="22"/>
      <c r="AW227" s="22"/>
    </row>
    <row r="228" spans="2:49" x14ac:dyDescent="0.15">
      <c r="B228" s="22"/>
      <c r="C228" s="22"/>
      <c r="D228" s="22"/>
      <c r="E228" s="22"/>
      <c r="F228" s="22"/>
      <c r="G228" s="22"/>
      <c r="H228" s="22"/>
      <c r="I228" s="22"/>
      <c r="J228" s="22"/>
      <c r="K228" s="22"/>
      <c r="L228" s="22"/>
      <c r="M228" s="22"/>
      <c r="N228" s="22"/>
      <c r="O228" s="22"/>
      <c r="P228" s="22"/>
      <c r="Q228" s="22"/>
      <c r="R228" s="22"/>
      <c r="S228" s="22"/>
      <c r="T228" s="22"/>
      <c r="U228" s="22"/>
      <c r="V228" s="22"/>
      <c r="W228" s="22"/>
      <c r="X228" s="22"/>
      <c r="Y228" s="22"/>
      <c r="Z228" s="22"/>
      <c r="AA228" s="22"/>
      <c r="AB228" s="22"/>
      <c r="AC228" s="22"/>
      <c r="AD228" s="22"/>
      <c r="AE228" s="22"/>
      <c r="AF228" s="22"/>
      <c r="AG228" s="22"/>
      <c r="AH228" s="22"/>
      <c r="AI228" s="22"/>
      <c r="AJ228" s="22"/>
      <c r="AK228" s="22"/>
      <c r="AL228" s="22"/>
      <c r="AM228" s="22"/>
      <c r="AN228" s="22"/>
      <c r="AO228" s="22"/>
      <c r="AP228" s="22"/>
      <c r="AQ228" s="22"/>
      <c r="AR228" s="22"/>
      <c r="AS228" s="22"/>
      <c r="AT228" s="22"/>
      <c r="AU228" s="22"/>
      <c r="AV228" s="22"/>
      <c r="AW228" s="22"/>
    </row>
    <row r="229" spans="2:49" x14ac:dyDescent="0.15">
      <c r="B229" s="22"/>
      <c r="C229" s="22"/>
      <c r="D229" s="22"/>
      <c r="E229" s="22"/>
      <c r="F229" s="22"/>
      <c r="G229" s="22"/>
      <c r="H229" s="22"/>
      <c r="I229" s="22"/>
      <c r="J229" s="22"/>
      <c r="K229" s="22"/>
      <c r="L229" s="22"/>
      <c r="M229" s="22"/>
      <c r="N229" s="22"/>
      <c r="O229" s="22"/>
      <c r="P229" s="22"/>
      <c r="Q229" s="22"/>
      <c r="R229" s="22"/>
      <c r="S229" s="22"/>
      <c r="T229" s="22"/>
      <c r="U229" s="22"/>
      <c r="V229" s="22"/>
      <c r="W229" s="22"/>
      <c r="X229" s="22"/>
      <c r="Y229" s="22"/>
      <c r="Z229" s="22"/>
      <c r="AA229" s="22"/>
      <c r="AB229" s="22"/>
      <c r="AC229" s="22"/>
      <c r="AD229" s="22"/>
      <c r="AE229" s="22"/>
      <c r="AF229" s="22"/>
      <c r="AG229" s="22"/>
      <c r="AH229" s="22"/>
      <c r="AI229" s="22"/>
      <c r="AJ229" s="22"/>
      <c r="AK229" s="22"/>
      <c r="AL229" s="22"/>
      <c r="AM229" s="22"/>
      <c r="AN229" s="22"/>
      <c r="AO229" s="22"/>
      <c r="AP229" s="22"/>
      <c r="AQ229" s="22"/>
      <c r="AR229" s="22"/>
      <c r="AS229" s="22"/>
      <c r="AT229" s="22"/>
      <c r="AU229" s="22"/>
      <c r="AV229" s="22"/>
      <c r="AW229" s="22"/>
    </row>
    <row r="230" spans="2:49" x14ac:dyDescent="0.15">
      <c r="B230" s="22"/>
      <c r="C230" s="22"/>
      <c r="D230" s="22"/>
      <c r="E230" s="22"/>
      <c r="F230" s="22"/>
      <c r="G230" s="22"/>
      <c r="H230" s="22"/>
      <c r="I230" s="22"/>
      <c r="J230" s="22"/>
      <c r="K230" s="22"/>
      <c r="L230" s="22"/>
      <c r="M230" s="22"/>
      <c r="N230" s="22"/>
      <c r="O230" s="22"/>
      <c r="P230" s="22"/>
      <c r="Q230" s="22"/>
      <c r="R230" s="22"/>
      <c r="S230" s="22"/>
      <c r="T230" s="22"/>
      <c r="U230" s="22"/>
      <c r="V230" s="22"/>
      <c r="W230" s="22"/>
      <c r="X230" s="22"/>
      <c r="Y230" s="22"/>
      <c r="Z230" s="22"/>
      <c r="AA230" s="22"/>
      <c r="AB230" s="22"/>
      <c r="AC230" s="22"/>
      <c r="AD230" s="22"/>
      <c r="AE230" s="22"/>
      <c r="AF230" s="22"/>
      <c r="AG230" s="22"/>
      <c r="AH230" s="22"/>
      <c r="AI230" s="22"/>
      <c r="AJ230" s="22"/>
      <c r="AK230" s="22"/>
      <c r="AL230" s="22"/>
      <c r="AM230" s="22"/>
      <c r="AN230" s="22"/>
      <c r="AO230" s="22"/>
      <c r="AP230" s="22"/>
      <c r="AQ230" s="22"/>
      <c r="AR230" s="22"/>
      <c r="AS230" s="22"/>
      <c r="AT230" s="22"/>
      <c r="AU230" s="22"/>
      <c r="AV230" s="22"/>
      <c r="AW230" s="22"/>
    </row>
    <row r="231" spans="2:49" x14ac:dyDescent="0.15">
      <c r="B231" s="22"/>
      <c r="C231" s="22"/>
      <c r="D231" s="22"/>
      <c r="E231" s="22"/>
      <c r="F231" s="22"/>
      <c r="G231" s="22"/>
      <c r="H231" s="22"/>
      <c r="I231" s="22"/>
      <c r="J231" s="22"/>
      <c r="K231" s="22"/>
      <c r="L231" s="22"/>
      <c r="M231" s="22"/>
      <c r="N231" s="22"/>
      <c r="O231" s="22"/>
      <c r="P231" s="22"/>
      <c r="Q231" s="22"/>
      <c r="R231" s="22"/>
      <c r="S231" s="22"/>
      <c r="T231" s="22"/>
      <c r="U231" s="22"/>
      <c r="V231" s="22"/>
      <c r="W231" s="22"/>
      <c r="X231" s="22"/>
      <c r="Y231" s="22"/>
      <c r="Z231" s="22"/>
      <c r="AA231" s="22"/>
      <c r="AB231" s="22"/>
      <c r="AC231" s="22"/>
      <c r="AD231" s="22"/>
      <c r="AE231" s="22"/>
      <c r="AF231" s="22"/>
      <c r="AG231" s="22"/>
      <c r="AH231" s="22"/>
      <c r="AI231" s="22"/>
      <c r="AJ231" s="22"/>
      <c r="AK231" s="22"/>
      <c r="AL231" s="22"/>
      <c r="AM231" s="22"/>
      <c r="AN231" s="22"/>
      <c r="AO231" s="22"/>
      <c r="AP231" s="22"/>
      <c r="AQ231" s="22"/>
      <c r="AR231" s="22"/>
      <c r="AS231" s="22"/>
      <c r="AT231" s="22"/>
      <c r="AU231" s="22"/>
      <c r="AV231" s="22"/>
      <c r="AW231" s="22"/>
    </row>
  </sheetData>
  <mergeCells count="14">
    <mergeCell ref="B3:B4"/>
    <mergeCell ref="C3:L3"/>
    <mergeCell ref="C4:D4"/>
    <mergeCell ref="E4:F4"/>
    <mergeCell ref="G4:H4"/>
    <mergeCell ref="I4:J4"/>
    <mergeCell ref="K4:L4"/>
    <mergeCell ref="B20:B21"/>
    <mergeCell ref="C20:L20"/>
    <mergeCell ref="C21:D21"/>
    <mergeCell ref="E21:F21"/>
    <mergeCell ref="G21:H21"/>
    <mergeCell ref="I21:J21"/>
    <mergeCell ref="K21:L21"/>
  </mergeCells>
  <phoneticPr fontId="2"/>
  <printOptions horizontalCentered="1"/>
  <pageMargins left="0.70866141732283472" right="0.70866141732283472" top="0.74803149606299213" bottom="0.74803149606299213" header="0.31496062992125984" footer="0.31496062992125984"/>
  <pageSetup paperSize="9" scale="86"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28673" r:id="rId4" name="Button 1">
              <controlPr defaultSize="0" print="0" autoFill="0" autoPict="0" macro="[0]!データ削除23">
                <anchor moveWithCells="1" sizeWithCells="1">
                  <from>
                    <xdr:col>31</xdr:col>
                    <xdr:colOff>447675</xdr:colOff>
                    <xdr:row>3</xdr:row>
                    <xdr:rowOff>180975</xdr:rowOff>
                  </from>
                  <to>
                    <xdr:col>34</xdr:col>
                    <xdr:colOff>333375</xdr:colOff>
                    <xdr:row>6</xdr:row>
                    <xdr:rowOff>0</xdr:rowOff>
                  </to>
                </anchor>
              </controlPr>
            </control>
          </mc:Choice>
        </mc:AlternateContent>
      </controls>
    </mc:Choice>
  </mc:AlternateContent>
  <tableParts count="4">
    <tablePart r:id="rId5"/>
    <tablePart r:id="rId6"/>
    <tablePart r:id="rId7"/>
    <tablePart r:id="rId8"/>
  </tableParts>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4">
    <tabColor rgb="FFFF0000"/>
    <pageSetUpPr fitToPage="1"/>
  </sheetPr>
  <dimension ref="B1:BB41"/>
  <sheetViews>
    <sheetView view="pageBreakPreview" zoomScaleNormal="100" zoomScaleSheetLayoutView="100" workbookViewId="0">
      <selection activeCell="O1" sqref="O1:AI1048576"/>
    </sheetView>
  </sheetViews>
  <sheetFormatPr defaultRowHeight="18.75" x14ac:dyDescent="0.15"/>
  <cols>
    <col min="1" max="1" width="4" style="1" customWidth="1"/>
    <col min="2" max="2" width="12.5" style="1" customWidth="1"/>
    <col min="3" max="12" width="8.75" style="1" customWidth="1"/>
    <col min="13" max="13" width="16.5" style="1" customWidth="1"/>
    <col min="14" max="14" width="2.5" style="1" customWidth="1"/>
    <col min="15" max="15" width="17.75" style="1" hidden="1" customWidth="1"/>
    <col min="16" max="31" width="11.125" style="1" hidden="1" customWidth="1"/>
    <col min="32" max="33" width="0" style="1" hidden="1" customWidth="1"/>
    <col min="34" max="35" width="9" style="1" hidden="1" customWidth="1"/>
    <col min="36" max="37" width="9" style="1" customWidth="1"/>
    <col min="38" max="51" width="9" style="1" hidden="1" customWidth="1"/>
    <col min="52" max="54" width="0" style="1" hidden="1" customWidth="1"/>
    <col min="55" max="16384" width="9" style="1"/>
  </cols>
  <sheetData>
    <row r="1" spans="2:54" ht="19.5" customHeight="1" x14ac:dyDescent="0.15">
      <c r="B1" s="2" t="s">
        <v>158</v>
      </c>
    </row>
    <row r="2" spans="2:54" ht="18.75" customHeight="1" thickBot="1" x14ac:dyDescent="0.2">
      <c r="B2" s="688" t="s">
        <v>65</v>
      </c>
      <c r="C2" s="690" t="s">
        <v>64</v>
      </c>
      <c r="D2" s="691"/>
      <c r="E2" s="691"/>
      <c r="F2" s="691"/>
      <c r="G2" s="691"/>
      <c r="H2" s="691"/>
      <c r="I2" s="691"/>
      <c r="J2" s="691"/>
      <c r="K2" s="691"/>
      <c r="L2" s="692"/>
      <c r="O2" s="34" t="s">
        <v>63</v>
      </c>
    </row>
    <row r="3" spans="2:54" ht="18.75" customHeight="1" thickTop="1" thickBot="1" x14ac:dyDescent="0.2">
      <c r="B3" s="689"/>
      <c r="C3" s="693" t="s">
        <v>69</v>
      </c>
      <c r="D3" s="694"/>
      <c r="E3" s="693" t="s">
        <v>70</v>
      </c>
      <c r="F3" s="694"/>
      <c r="G3" s="693" t="s">
        <v>71</v>
      </c>
      <c r="H3" s="694"/>
      <c r="I3" s="693" t="s">
        <v>72</v>
      </c>
      <c r="J3" s="694"/>
      <c r="K3" s="693" t="s">
        <v>62</v>
      </c>
      <c r="L3" s="694"/>
      <c r="O3" s="430" t="s">
        <v>371</v>
      </c>
      <c r="P3" s="488" t="s">
        <v>183</v>
      </c>
      <c r="Q3" s="488" t="s">
        <v>184</v>
      </c>
      <c r="R3" s="488" t="s">
        <v>185</v>
      </c>
      <c r="S3" s="488" t="s">
        <v>186</v>
      </c>
      <c r="T3" s="488" t="s">
        <v>187</v>
      </c>
      <c r="U3" s="488" t="s">
        <v>188</v>
      </c>
      <c r="V3" s="488" t="s">
        <v>189</v>
      </c>
      <c r="W3" s="488" t="s">
        <v>190</v>
      </c>
      <c r="X3" s="488" t="s">
        <v>191</v>
      </c>
      <c r="Y3" s="488" t="s">
        <v>192</v>
      </c>
      <c r="Z3" s="488" t="s">
        <v>193</v>
      </c>
      <c r="AA3" s="488" t="s">
        <v>194</v>
      </c>
      <c r="AB3" s="488" t="s">
        <v>195</v>
      </c>
      <c r="AC3" s="488" t="s">
        <v>196</v>
      </c>
      <c r="AD3" s="488" t="s">
        <v>197</v>
      </c>
      <c r="AE3" s="487" t="s">
        <v>198</v>
      </c>
      <c r="AM3" s="487" t="s">
        <v>183</v>
      </c>
      <c r="AN3" s="488" t="s">
        <v>184</v>
      </c>
      <c r="AO3" s="488" t="s">
        <v>185</v>
      </c>
      <c r="AP3" s="488" t="s">
        <v>186</v>
      </c>
      <c r="AQ3" s="488" t="s">
        <v>187</v>
      </c>
      <c r="AR3" s="488" t="s">
        <v>188</v>
      </c>
      <c r="AS3" s="488" t="s">
        <v>189</v>
      </c>
      <c r="AT3" s="488" t="s">
        <v>190</v>
      </c>
      <c r="AU3" s="488" t="s">
        <v>191</v>
      </c>
      <c r="AV3" s="488" t="s">
        <v>192</v>
      </c>
      <c r="AW3" s="488" t="s">
        <v>193</v>
      </c>
      <c r="AX3" s="488" t="s">
        <v>194</v>
      </c>
      <c r="AY3" s="488" t="s">
        <v>195</v>
      </c>
      <c r="AZ3" s="488" t="s">
        <v>196</v>
      </c>
      <c r="BA3" s="488" t="s">
        <v>197</v>
      </c>
      <c r="BB3" s="487" t="s">
        <v>198</v>
      </c>
    </row>
    <row r="4" spans="2:54" ht="18.75" customHeight="1" thickTop="1" x14ac:dyDescent="0.15">
      <c r="B4" s="228" t="s">
        <v>2</v>
      </c>
      <c r="C4" s="229">
        <f>IFERROR(INDEX(年齢階層×在院期間区分F3[#All],MATCH($AL4,年齢階層×在院期間区分F3[[#All],[行ラベル]],0),MATCH($AM$3,年齢階層×在院期間区分F3[#Headers],0)),0)+IFERROR(INDEX(年齢階層×在院期間区分F3[#All],MATCH($AL4,年齢階層×在院期間区分F3[[#All],[行ラベル]],0),MATCH($AN$3,年齢階層×在院期間区分F3[#Headers],0)),0)+IFERROR(INDEX(年齢階層×在院期間区分F3[#All],MATCH($AL4,年齢階層×在院期間区分F3[[#All],[行ラベル]],0),MATCH($AO$3,年齢階層×在院期間区分F3[#Headers],0)),0)+IFERROR(INDEX(年齢階層×在院期間区分F3[#All],MATCH($AL4,年齢階層×在院期間区分F3[[#All],[行ラベル]],0),MATCH($AP$3,年齢階層×在院期間区分F3[#Headers],0)),0)</f>
        <v>15</v>
      </c>
      <c r="D4" s="224">
        <f t="shared" ref="D4:D12" si="0">IFERROR(C4/$C$13,"-")</f>
        <v>1.6146393972012917E-2</v>
      </c>
      <c r="E4" s="229">
        <f>IFERROR(INDEX(年齢階層×在院期間区分F3[#All],MATCH($AL4,年齢階層×在院期間区分F3[[#All],[行ラベル]],0),MATCH($AQ$3,年齢階層×在院期間区分F3[#Headers],0)),0)+IFERROR(INDEX(年齢階層×在院期間区分F3[#All],MATCH($AL4,年齢階層×在院期間区分F3[[#All],[行ラベル]],0),MATCH($AR$3,年齢階層×在院期間区分F3[#Headers],0)),0)+IFERROR(INDEX(年齢階層×在院期間区分F3[#All],MATCH($AL4,年齢階層×在院期間区分F3[[#All],[行ラベル]],0),MATCH($AS$3,年齢階層×在院期間区分F3[#Headers],0)),0)+IFERROR(INDEX(年齢階層×在院期間区分F3[#All],MATCH($AL4,年齢階層×在院期間区分F3[[#All],[行ラベル]],0),MATCH($AT$3,年齢階層×在院期間区分F3[#Headers],0)),0)+IFERROR(INDEX(年齢階層×在院期間区分F3[#All],MATCH($AL4,年齢階層×在院期間区分F3[[#All],[行ラベル]],0),MATCH($AU$3,年齢階層×在院期間区分F3[#Headers],0)),0)</f>
        <v>0</v>
      </c>
      <c r="F4" s="224">
        <f t="shared" ref="F4:F12" si="1">IFERROR(E4/$E$13,"-")</f>
        <v>0</v>
      </c>
      <c r="G4" s="223">
        <f>IFERROR(INDEX(年齢階層×在院期間区分F3[#All],MATCH($AL4,年齢階層×在院期間区分F3[[#All],[行ラベル]],0),MATCH($AV$3,年齢階層×在院期間区分F3[#Headers],0)),0)+IFERROR(INDEX(年齢階層×在院期間区分F3[#All],MATCH($AL4,年齢階層×在院期間区分F3[[#All],[行ラベル]],0),MATCH($AW$3,年齢階層×在院期間区分F3[#Headers],0)),0)+IFERROR(INDEX(年齢階層×在院期間区分F3[#All],MATCH($AL4,年齢階層×在院期間区分F3[[#All],[行ラベル]],0),MATCH($AX$3,年齢階層×在院期間区分F3[#Headers],0)),0)+IFERROR(INDEX(年齢階層×在院期間区分F3[#All],MATCH($AL4,年齢階層×在院期間区分F3[[#All],[行ラベル]],0),MATCH($AY$3,年齢階層×在院期間区分F3[#Headers],0)),0)+IFERROR(INDEX(年齢階層×在院期間区分F3[#All],MATCH($AL4,年齢階層×在院期間区分F3[[#All],[行ラベル]],0),MATCH($AZ$3,年齢階層×在院期間区分F3[#Headers],0)),0)</f>
        <v>0</v>
      </c>
      <c r="H4" s="224">
        <f t="shared" ref="H4:H12" si="2">IFERROR(G4/$G$13,"-")</f>
        <v>0</v>
      </c>
      <c r="I4" s="229">
        <f>IFERROR(INDEX(年齢階層×在院期間区分F3[#All],MATCH($AL4,年齢階層×在院期間区分F3[[#All],[行ラベル]],0),MATCH($BA$3,年齢階層×在院期間区分F3[#Headers],0)),0)+IFERROR(INDEX(年齢階層×在院期間区分F3[#All],MATCH($AL4,年齢階層×在院期間区分F3[[#All],[行ラベル]],0),MATCH($BB$3,年齢階層×在院期間区分F3[#Headers],0)),0)</f>
        <v>0</v>
      </c>
      <c r="J4" s="224">
        <f t="shared" ref="J4:J12" si="3">IFERROR(I4/$I$13,"-")</f>
        <v>0</v>
      </c>
      <c r="K4" s="223">
        <f t="shared" ref="K4:K12" si="4">SUM(C4,E4,G4,I4)</f>
        <v>15</v>
      </c>
      <c r="L4" s="224">
        <f t="shared" ref="L4:L12" si="5">IFERROR(K4/$K$13,"-")</f>
        <v>9.778357235984355E-3</v>
      </c>
      <c r="O4" s="54" t="s">
        <v>2</v>
      </c>
      <c r="P4" s="66">
        <v>6</v>
      </c>
      <c r="Q4" s="66">
        <v>6</v>
      </c>
      <c r="R4" s="66">
        <v>1</v>
      </c>
      <c r="S4" s="66">
        <v>2</v>
      </c>
      <c r="T4" s="66">
        <v>0</v>
      </c>
      <c r="U4" s="66">
        <v>0</v>
      </c>
      <c r="V4" s="66">
        <v>0</v>
      </c>
      <c r="W4" s="66">
        <v>0</v>
      </c>
      <c r="X4" s="66">
        <v>0</v>
      </c>
      <c r="Y4" s="66">
        <v>0</v>
      </c>
      <c r="Z4" s="66">
        <v>0</v>
      </c>
      <c r="AA4" s="66">
        <v>0</v>
      </c>
      <c r="AB4" s="66">
        <v>0</v>
      </c>
      <c r="AC4" s="66">
        <v>0</v>
      </c>
      <c r="AD4" s="66">
        <v>0</v>
      </c>
      <c r="AE4" s="66">
        <v>0</v>
      </c>
      <c r="AF4" s="22"/>
      <c r="AG4" s="22"/>
      <c r="AL4" s="54" t="s">
        <v>2</v>
      </c>
      <c r="AM4" s="67"/>
      <c r="AP4" s="67"/>
    </row>
    <row r="5" spans="2:54" ht="18.75" customHeight="1" x14ac:dyDescent="0.15">
      <c r="B5" s="230" t="s">
        <v>3</v>
      </c>
      <c r="C5" s="231">
        <f>IFERROR(INDEX(年齢階層×在院期間区分F3[#All],MATCH($AL5,年齢階層×在院期間区分F3[[#All],[行ラベル]],0),MATCH($AM$3,年齢階層×在院期間区分F3[#Headers],0)),0)+IFERROR(INDEX(年齢階層×在院期間区分F3[#All],MATCH($AL5,年齢階層×在院期間区分F3[[#All],[行ラベル]],0),MATCH($AN$3,年齢階層×在院期間区分F3[#Headers],0)),0)+IFERROR(INDEX(年齢階層×在院期間区分F3[#All],MATCH($AL5,年齢階層×在院期間区分F3[[#All],[行ラベル]],0),MATCH($AO$3,年齢階層×在院期間区分F3[#Headers],0)),0)+IFERROR(INDEX(年齢階層×在院期間区分F3[#All],MATCH($AL5,年齢階層×在院期間区分F3[[#All],[行ラベル]],0),MATCH($AP$3,年齢階層×在院期間区分F3[#Headers],0)),0)</f>
        <v>42</v>
      </c>
      <c r="D5" s="209">
        <f t="shared" si="0"/>
        <v>4.5209903121636169E-2</v>
      </c>
      <c r="E5" s="231">
        <f>IFERROR(INDEX(年齢階層×在院期間区分F3[#All],MATCH($AL5,年齢階層×在院期間区分F3[[#All],[行ラベル]],0),MATCH($AQ$3,年齢階層×在院期間区分F3[#Headers],0)),0)+IFERROR(INDEX(年齢階層×在院期間区分F3[#All],MATCH($AL5,年齢階層×在院期間区分F3[[#All],[行ラベル]],0),MATCH($AR$3,年齢階層×在院期間区分F3[#Headers],0)),0)+IFERROR(INDEX(年齢階層×在院期間区分F3[#All],MATCH($AL5,年齢階層×在院期間区分F3[[#All],[行ラベル]],0),MATCH($AS$3,年齢階層×在院期間区分F3[#Headers],0)),0)+IFERROR(INDEX(年齢階層×在院期間区分F3[#All],MATCH($AL5,年齢階層×在院期間区分F3[[#All],[行ラベル]],0),MATCH($AT$3,年齢階層×在院期間区分F3[#Headers],0)),0)+IFERROR(INDEX(年齢階層×在院期間区分F3[#All],MATCH($AL5,年齢階層×在院期間区分F3[[#All],[行ラベル]],0),MATCH($AU$3,年齢階層×在院期間区分F3[#Headers],0)),0)</f>
        <v>1</v>
      </c>
      <c r="F5" s="209">
        <f t="shared" si="1"/>
        <v>2.4691358024691358E-3</v>
      </c>
      <c r="G5" s="208">
        <f>IFERROR(INDEX(年齢階層×在院期間区分F3[#All],MATCH($AL5,年齢階層×在院期間区分F3[[#All],[行ラベル]],0),MATCH($AV$3,年齢階層×在院期間区分F3[#Headers],0)),0)+IFERROR(INDEX(年齢階層×在院期間区分F3[#All],MATCH($AL5,年齢階層×在院期間区分F3[[#All],[行ラベル]],0),MATCH($AW$3,年齢階層×在院期間区分F3[#Headers],0)),0)+IFERROR(INDEX(年齢階層×在院期間区分F3[#All],MATCH($AL5,年齢階層×在院期間区分F3[[#All],[行ラベル]],0),MATCH($AX$3,年齢階層×在院期間区分F3[#Headers],0)),0)+IFERROR(INDEX(年齢階層×在院期間区分F3[#All],MATCH($AL5,年齢階層×在院期間区分F3[[#All],[行ラベル]],0),MATCH($AY$3,年齢階層×在院期間区分F3[#Headers],0)),0)+IFERROR(INDEX(年齢階層×在院期間区分F3[#All],MATCH($AL5,年齢階層×在院期間区分F3[[#All],[行ラベル]],0),MATCH($AZ$3,年齢階層×在院期間区分F3[#Headers],0)),0)</f>
        <v>0</v>
      </c>
      <c r="H5" s="209">
        <f t="shared" si="2"/>
        <v>0</v>
      </c>
      <c r="I5" s="231">
        <f>IFERROR(INDEX(年齢階層×在院期間区分F3[#All],MATCH($AL5,年齢階層×在院期間区分F3[[#All],[行ラベル]],0),MATCH($BA$3,年齢階層×在院期間区分F3[#Headers],0)),0)+IFERROR(INDEX(年齢階層×在院期間区分F3[#All],MATCH($AL5,年齢階層×在院期間区分F3[[#All],[行ラベル]],0),MATCH($BB$3,年齢階層×在院期間区分F3[#Headers],0)),0)</f>
        <v>0</v>
      </c>
      <c r="J5" s="209">
        <f t="shared" si="3"/>
        <v>0</v>
      </c>
      <c r="K5" s="208">
        <f t="shared" si="4"/>
        <v>43</v>
      </c>
      <c r="L5" s="209">
        <f t="shared" si="5"/>
        <v>2.8031290743155149E-2</v>
      </c>
      <c r="O5" s="54" t="s">
        <v>3</v>
      </c>
      <c r="P5" s="66">
        <v>17</v>
      </c>
      <c r="Q5" s="66">
        <v>19</v>
      </c>
      <c r="R5" s="66">
        <v>5</v>
      </c>
      <c r="S5" s="66">
        <v>1</v>
      </c>
      <c r="T5" s="66">
        <v>1</v>
      </c>
      <c r="U5" s="66">
        <v>0</v>
      </c>
      <c r="V5" s="66">
        <v>0</v>
      </c>
      <c r="W5" s="66">
        <v>0</v>
      </c>
      <c r="X5" s="66">
        <v>0</v>
      </c>
      <c r="Y5" s="66">
        <v>0</v>
      </c>
      <c r="Z5" s="66">
        <v>0</v>
      </c>
      <c r="AA5" s="66">
        <v>0</v>
      </c>
      <c r="AB5" s="66">
        <v>0</v>
      </c>
      <c r="AC5" s="66">
        <v>0</v>
      </c>
      <c r="AD5" s="66">
        <v>0</v>
      </c>
      <c r="AE5" s="66">
        <v>0</v>
      </c>
      <c r="AF5" s="22"/>
      <c r="AG5" s="22"/>
      <c r="AL5" s="54" t="s">
        <v>3</v>
      </c>
      <c r="AM5" s="67"/>
      <c r="AN5" s="67"/>
      <c r="AP5" s="67"/>
    </row>
    <row r="6" spans="2:54" ht="18.75" customHeight="1" x14ac:dyDescent="0.15">
      <c r="B6" s="230" t="s">
        <v>4</v>
      </c>
      <c r="C6" s="208">
        <f>IFERROR(INDEX(年齢階層×在院期間区分F3[#All],MATCH($AL6,年齢階層×在院期間区分F3[[#All],[行ラベル]],0),MATCH($AM$3,年齢階層×在院期間区分F3[#Headers],0)),0)+IFERROR(INDEX(年齢階層×在院期間区分F3[#All],MATCH($AL6,年齢階層×在院期間区分F3[[#All],[行ラベル]],0),MATCH($AN$3,年齢階層×在院期間区分F3[#Headers],0)),0)+IFERROR(INDEX(年齢階層×在院期間区分F3[#All],MATCH($AL6,年齢階層×在院期間区分F3[[#All],[行ラベル]],0),MATCH($AO$3,年齢階層×在院期間区分F3[#Headers],0)),0)+IFERROR(INDEX(年齢階層×在院期間区分F3[#All],MATCH($AL6,年齢階層×在院期間区分F3[[#All],[行ラベル]],0),MATCH($AP$3,年齢階層×在院期間区分F3[#Headers],0)),0)</f>
        <v>49</v>
      </c>
      <c r="D6" s="209">
        <f t="shared" si="0"/>
        <v>5.2744886975242197E-2</v>
      </c>
      <c r="E6" s="208">
        <f>IFERROR(INDEX(年齢階層×在院期間区分F3[#All],MATCH($AL6,年齢階層×在院期間区分F3[[#All],[行ラベル]],0),MATCH($AQ$3,年齢階層×在院期間区分F3[#Headers],0)),0)+IFERROR(INDEX(年齢階層×在院期間区分F3[#All],MATCH($AL6,年齢階層×在院期間区分F3[[#All],[行ラベル]],0),MATCH($AR$3,年齢階層×在院期間区分F3[#Headers],0)),0)+IFERROR(INDEX(年齢階層×在院期間区分F3[#All],MATCH($AL6,年齢階層×在院期間区分F3[[#All],[行ラベル]],0),MATCH($AS$3,年齢階層×在院期間区分F3[#Headers],0)),0)+IFERROR(INDEX(年齢階層×在院期間区分F3[#All],MATCH($AL6,年齢階層×在院期間区分F3[[#All],[行ラベル]],0),MATCH($AT$3,年齢階層×在院期間区分F3[#Headers],0)),0)+IFERROR(INDEX(年齢階層×在院期間区分F3[#All],MATCH($AL6,年齢階層×在院期間区分F3[[#All],[行ラベル]],0),MATCH($AU$3,年齢階層×在院期間区分F3[#Headers],0)),0)</f>
        <v>4</v>
      </c>
      <c r="F6" s="209">
        <f t="shared" si="1"/>
        <v>9.876543209876543E-3</v>
      </c>
      <c r="G6" s="208">
        <f>IFERROR(INDEX(年齢階層×在院期間区分F3[#All],MATCH($AL6,年齢階層×在院期間区分F3[[#All],[行ラベル]],0),MATCH($AV$3,年齢階層×在院期間区分F3[#Headers],0)),0)+IFERROR(INDEX(年齢階層×在院期間区分F3[#All],MATCH($AL6,年齢階層×在院期間区分F3[[#All],[行ラベル]],0),MATCH($AW$3,年齢階層×在院期間区分F3[#Headers],0)),0)+IFERROR(INDEX(年齢階層×在院期間区分F3[#All],MATCH($AL6,年齢階層×在院期間区分F3[[#All],[行ラベル]],0),MATCH($AX$3,年齢階層×在院期間区分F3[#Headers],0)),0)+IFERROR(INDEX(年齢階層×在院期間区分F3[#All],MATCH($AL6,年齢階層×在院期間区分F3[[#All],[行ラベル]],0),MATCH($AY$3,年齢階層×在院期間区分F3[#Headers],0)),0)+IFERROR(INDEX(年齢階層×在院期間区分F3[#All],MATCH($AL6,年齢階層×在院期間区分F3[[#All],[行ラベル]],0),MATCH($AZ$3,年齢階層×在院期間区分F3[#Headers],0)),0)</f>
        <v>0</v>
      </c>
      <c r="H6" s="209">
        <f t="shared" si="2"/>
        <v>0</v>
      </c>
      <c r="I6" s="231">
        <f>IFERROR(INDEX(年齢階層×在院期間区分F3[#All],MATCH($AL6,年齢階層×在院期間区分F3[[#All],[行ラベル]],0),MATCH($BA$3,年齢階層×在院期間区分F3[#Headers],0)),0)+IFERROR(INDEX(年齢階層×在院期間区分F3[#All],MATCH($AL6,年齢階層×在院期間区分F3[[#All],[行ラベル]],0),MATCH($BB$3,年齢階層×在院期間区分F3[#Headers],0)),0)</f>
        <v>0</v>
      </c>
      <c r="J6" s="209">
        <f t="shared" si="3"/>
        <v>0</v>
      </c>
      <c r="K6" s="208">
        <f t="shared" si="4"/>
        <v>53</v>
      </c>
      <c r="L6" s="209">
        <f t="shared" si="5"/>
        <v>3.4550195567144719E-2</v>
      </c>
      <c r="O6" s="54" t="s">
        <v>4</v>
      </c>
      <c r="P6" s="66">
        <v>24</v>
      </c>
      <c r="Q6" s="66">
        <v>17</v>
      </c>
      <c r="R6" s="66">
        <v>4</v>
      </c>
      <c r="S6" s="66">
        <v>4</v>
      </c>
      <c r="T6" s="66">
        <v>1</v>
      </c>
      <c r="U6" s="66">
        <v>0</v>
      </c>
      <c r="V6" s="66">
        <v>3</v>
      </c>
      <c r="W6" s="66">
        <v>0</v>
      </c>
      <c r="X6" s="66">
        <v>0</v>
      </c>
      <c r="Y6" s="66">
        <v>0</v>
      </c>
      <c r="Z6" s="66">
        <v>0</v>
      </c>
      <c r="AA6" s="66">
        <v>0</v>
      </c>
      <c r="AB6" s="66">
        <v>0</v>
      </c>
      <c r="AC6" s="66">
        <v>0</v>
      </c>
      <c r="AD6" s="66">
        <v>0</v>
      </c>
      <c r="AE6" s="66">
        <v>0</v>
      </c>
      <c r="AF6" s="22"/>
      <c r="AG6" s="22"/>
      <c r="AL6" s="54" t="s">
        <v>4</v>
      </c>
      <c r="AM6" s="67"/>
      <c r="AN6" s="67"/>
      <c r="AP6" s="67"/>
    </row>
    <row r="7" spans="2:54" ht="18.75" customHeight="1" x14ac:dyDescent="0.15">
      <c r="B7" s="230" t="s">
        <v>5</v>
      </c>
      <c r="C7" s="208">
        <f>IFERROR(INDEX(年齢階層×在院期間区分F3[#All],MATCH($AL7,年齢階層×在院期間区分F3[[#All],[行ラベル]],0),MATCH($AM$3,年齢階層×在院期間区分F3[#Headers],0)),0)+IFERROR(INDEX(年齢階層×在院期間区分F3[#All],MATCH($AL7,年齢階層×在院期間区分F3[[#All],[行ラベル]],0),MATCH($AN$3,年齢階層×在院期間区分F3[#Headers],0)),0)+IFERROR(INDEX(年齢階層×在院期間区分F3[#All],MATCH($AL7,年齢階層×在院期間区分F3[[#All],[行ラベル]],0),MATCH($AO$3,年齢階層×在院期間区分F3[#Headers],0)),0)+IFERROR(INDEX(年齢階層×在院期間区分F3[#All],MATCH($AL7,年齢階層×在院期間区分F3[[#All],[行ラベル]],0),MATCH($AP$3,年齢階層×在院期間区分F3[#Headers],0)),0)</f>
        <v>99</v>
      </c>
      <c r="D7" s="209">
        <f t="shared" si="0"/>
        <v>0.10656620021528525</v>
      </c>
      <c r="E7" s="232">
        <f>IFERROR(INDEX(年齢階層×在院期間区分F3[#All],MATCH($AL7,年齢階層×在院期間区分F3[[#All],[行ラベル]],0),MATCH($AQ$3,年齢階層×在院期間区分F3[#Headers],0)),0)+IFERROR(INDEX(年齢階層×在院期間区分F3[#All],MATCH($AL7,年齢階層×在院期間区分F3[[#All],[行ラベル]],0),MATCH($AR$3,年齢階層×在院期間区分F3[#Headers],0)),0)+IFERROR(INDEX(年齢階層×在院期間区分F3[#All],MATCH($AL7,年齢階層×在院期間区分F3[[#All],[行ラベル]],0),MATCH($AS$3,年齢階層×在院期間区分F3[#Headers],0)),0)+IFERROR(INDEX(年齢階層×在院期間区分F3[#All],MATCH($AL7,年齢階層×在院期間区分F3[[#All],[行ラベル]],0),MATCH($AT$3,年齢階層×在院期間区分F3[#Headers],0)),0)+IFERROR(INDEX(年齢階層×在院期間区分F3[#All],MATCH($AL7,年齢階層×在院期間区分F3[[#All],[行ラベル]],0),MATCH($AU$3,年齢階層×在院期間区分F3[#Headers],0)),0)</f>
        <v>12</v>
      </c>
      <c r="F7" s="209">
        <f t="shared" si="1"/>
        <v>2.9629629629629631E-2</v>
      </c>
      <c r="G7" s="232">
        <f>IFERROR(INDEX(年齢階層×在院期間区分F3[#All],MATCH($AL7,年齢階層×在院期間区分F3[[#All],[行ラベル]],0),MATCH($AV$3,年齢階層×在院期間区分F3[#Headers],0)),0)+IFERROR(INDEX(年齢階層×在院期間区分F3[#All],MATCH($AL7,年齢階層×在院期間区分F3[[#All],[行ラベル]],0),MATCH($AW$3,年齢階層×在院期間区分F3[#Headers],0)),0)+IFERROR(INDEX(年齢階層×在院期間区分F3[#All],MATCH($AL7,年齢階層×在院期間区分F3[[#All],[行ラベル]],0),MATCH($AX$3,年齢階層×在院期間区分F3[#Headers],0)),0)+IFERROR(INDEX(年齢階層×在院期間区分F3[#All],MATCH($AL7,年齢階層×在院期間区分F3[[#All],[行ラベル]],0),MATCH($AY$3,年齢階層×在院期間区分F3[#Headers],0)),0)+IFERROR(INDEX(年齢階層×在院期間区分F3[#All],MATCH($AL7,年齢階層×在院期間区分F3[[#All],[行ラベル]],0),MATCH($AZ$3,年齢階層×在院期間区分F3[#Headers],0)),0)</f>
        <v>4</v>
      </c>
      <c r="H7" s="209">
        <f t="shared" si="2"/>
        <v>2.9629629629629631E-2</v>
      </c>
      <c r="I7" s="208">
        <f>IFERROR(INDEX(年齢階層×在院期間区分F3[#All],MATCH($AL7,年齢階層×在院期間区分F3[[#All],[行ラベル]],0),MATCH($BA$3,年齢階層×在院期間区分F3[#Headers],0)),0)+IFERROR(INDEX(年齢階層×在院期間区分F3[#All],MATCH($AL7,年齢階層×在院期間区分F3[[#All],[行ラベル]],0),MATCH($BB$3,年齢階層×在院期間区分F3[#Headers],0)),0)</f>
        <v>3</v>
      </c>
      <c r="J7" s="209">
        <f t="shared" si="3"/>
        <v>4.6153846153846156E-2</v>
      </c>
      <c r="K7" s="208">
        <f t="shared" si="4"/>
        <v>118</v>
      </c>
      <c r="L7" s="209">
        <f t="shared" si="5"/>
        <v>7.6923076923076927E-2</v>
      </c>
      <c r="O7" s="54" t="s">
        <v>5</v>
      </c>
      <c r="P7" s="66">
        <v>52</v>
      </c>
      <c r="Q7" s="66">
        <v>28</v>
      </c>
      <c r="R7" s="66">
        <v>10</v>
      </c>
      <c r="S7" s="66">
        <v>9</v>
      </c>
      <c r="T7" s="66">
        <v>5</v>
      </c>
      <c r="U7" s="66">
        <v>1</v>
      </c>
      <c r="V7" s="66">
        <v>5</v>
      </c>
      <c r="W7" s="66">
        <v>0</v>
      </c>
      <c r="X7" s="66">
        <v>1</v>
      </c>
      <c r="Y7" s="66">
        <v>1</v>
      </c>
      <c r="Z7" s="66">
        <v>1</v>
      </c>
      <c r="AA7" s="66">
        <v>2</v>
      </c>
      <c r="AB7" s="66">
        <v>0</v>
      </c>
      <c r="AC7" s="66">
        <v>0</v>
      </c>
      <c r="AD7" s="66">
        <v>2</v>
      </c>
      <c r="AE7" s="66">
        <v>1</v>
      </c>
      <c r="AF7" s="22"/>
      <c r="AG7" s="22"/>
      <c r="AL7" s="54" t="s">
        <v>5</v>
      </c>
      <c r="AM7" s="67"/>
      <c r="AN7" s="67"/>
      <c r="AP7" s="67"/>
    </row>
    <row r="8" spans="2:54" ht="18.75" customHeight="1" x14ac:dyDescent="0.15">
      <c r="B8" s="230" t="s">
        <v>6</v>
      </c>
      <c r="C8" s="232">
        <f>IFERROR(INDEX(年齢階層×在院期間区分F3[#All],MATCH($AL8,年齢階層×在院期間区分F3[[#All],[行ラベル]],0),MATCH($AM$3,年齢階層×在院期間区分F3[#Headers],0)),0)+IFERROR(INDEX(年齢階層×在院期間区分F3[#All],MATCH($AL8,年齢階層×在院期間区分F3[[#All],[行ラベル]],0),MATCH($AN$3,年齢階層×在院期間区分F3[#Headers],0)),0)+IFERROR(INDEX(年齢階層×在院期間区分F3[#All],MATCH($AL8,年齢階層×在院期間区分F3[[#All],[行ラベル]],0),MATCH($AO$3,年齢階層×在院期間区分F3[#Headers],0)),0)+IFERROR(INDEX(年齢階層×在院期間区分F3[#All],MATCH($AL8,年齢階層×在院期間区分F3[[#All],[行ラベル]],0),MATCH($AP$3,年齢階層×在院期間区分F3[#Headers],0)),0)</f>
        <v>138</v>
      </c>
      <c r="D8" s="209">
        <f t="shared" si="0"/>
        <v>0.14854682454251883</v>
      </c>
      <c r="E8" s="231">
        <f>IFERROR(INDEX(年齢階層×在院期間区分F3[#All],MATCH($AL8,年齢階層×在院期間区分F3[[#All],[行ラベル]],0),MATCH($AQ$3,年齢階層×在院期間区分F3[#Headers],0)),0)+IFERROR(INDEX(年齢階層×在院期間区分F3[#All],MATCH($AL8,年齢階層×在院期間区分F3[[#All],[行ラベル]],0),MATCH($AR$3,年齢階層×在院期間区分F3[#Headers],0)),0)+IFERROR(INDEX(年齢階層×在院期間区分F3[#All],MATCH($AL8,年齢階層×在院期間区分F3[[#All],[行ラベル]],0),MATCH($AS$3,年齢階層×在院期間区分F3[#Headers],0)),0)+IFERROR(INDEX(年齢階層×在院期間区分F3[#All],MATCH($AL8,年齢階層×在院期間区分F3[[#All],[行ラベル]],0),MATCH($AT$3,年齢階層×在院期間区分F3[#Headers],0)),0)+IFERROR(INDEX(年齢階層×在院期間区分F3[#All],MATCH($AL8,年齢階層×在院期間区分F3[[#All],[行ラベル]],0),MATCH($AU$3,年齢階層×在院期間区分F3[#Headers],0)),0)</f>
        <v>47</v>
      </c>
      <c r="F8" s="209">
        <f t="shared" si="1"/>
        <v>0.11604938271604938</v>
      </c>
      <c r="G8" s="208">
        <f>IFERROR(INDEX(年齢階層×在院期間区分F3[#All],MATCH($AL8,年齢階層×在院期間区分F3[[#All],[行ラベル]],0),MATCH($AV$3,年齢階層×在院期間区分F3[#Headers],0)),0)+IFERROR(INDEX(年齢階層×在院期間区分F3[#All],MATCH($AL8,年齢階層×在院期間区分F3[[#All],[行ラベル]],0),MATCH($AW$3,年齢階層×在院期間区分F3[#Headers],0)),0)+IFERROR(INDEX(年齢階層×在院期間区分F3[#All],MATCH($AL8,年齢階層×在院期間区分F3[[#All],[行ラベル]],0),MATCH($AX$3,年齢階層×在院期間区分F3[#Headers],0)),0)+IFERROR(INDEX(年齢階層×在院期間区分F3[#All],MATCH($AL8,年齢階層×在院期間区分F3[[#All],[行ラベル]],0),MATCH($AY$3,年齢階層×在院期間区分F3[#Headers],0)),0)+IFERROR(INDEX(年齢階層×在院期間区分F3[#All],MATCH($AL8,年齢階層×在院期間区分F3[[#All],[行ラベル]],0),MATCH($AZ$3,年齢階層×在院期間区分F3[#Headers],0)),0)</f>
        <v>18</v>
      </c>
      <c r="H8" s="209">
        <f t="shared" si="2"/>
        <v>0.13333333333333333</v>
      </c>
      <c r="I8" s="208">
        <f>IFERROR(INDEX(年齢階層×在院期間区分F3[#All],MATCH($AL8,年齢階層×在院期間区分F3[[#All],[行ラベル]],0),MATCH($BA$3,年齢階層×在院期間区分F3[#Headers],0)),0)+IFERROR(INDEX(年齢階層×在院期間区分F3[#All],MATCH($AL8,年齢階層×在院期間区分F3[[#All],[行ラベル]],0),MATCH($BB$3,年齢階層×在院期間区分F3[#Headers],0)),0)</f>
        <v>1</v>
      </c>
      <c r="J8" s="209">
        <f t="shared" si="3"/>
        <v>1.5384615384615385E-2</v>
      </c>
      <c r="K8" s="208">
        <f t="shared" si="4"/>
        <v>204</v>
      </c>
      <c r="L8" s="209">
        <f t="shared" si="5"/>
        <v>0.13298565840938723</v>
      </c>
      <c r="O8" s="54" t="s">
        <v>6</v>
      </c>
      <c r="P8" s="66">
        <v>60</v>
      </c>
      <c r="Q8" s="66">
        <v>35</v>
      </c>
      <c r="R8" s="66">
        <v>27</v>
      </c>
      <c r="S8" s="66">
        <v>16</v>
      </c>
      <c r="T8" s="66">
        <v>9</v>
      </c>
      <c r="U8" s="66">
        <v>9</v>
      </c>
      <c r="V8" s="66">
        <v>10</v>
      </c>
      <c r="W8" s="66">
        <v>13</v>
      </c>
      <c r="X8" s="66">
        <v>6</v>
      </c>
      <c r="Y8" s="66">
        <v>5</v>
      </c>
      <c r="Z8" s="66">
        <v>3</v>
      </c>
      <c r="AA8" s="66">
        <v>6</v>
      </c>
      <c r="AB8" s="66">
        <v>3</v>
      </c>
      <c r="AC8" s="66">
        <v>1</v>
      </c>
      <c r="AD8" s="66">
        <v>1</v>
      </c>
      <c r="AE8" s="66">
        <v>0</v>
      </c>
      <c r="AF8" s="22"/>
      <c r="AG8" s="22"/>
      <c r="AL8" s="54" t="s">
        <v>6</v>
      </c>
      <c r="AM8" s="67"/>
      <c r="AN8" s="67"/>
      <c r="AP8" s="67"/>
    </row>
    <row r="9" spans="2:54" ht="18.75" customHeight="1" x14ac:dyDescent="0.15">
      <c r="B9" s="230" t="s">
        <v>7</v>
      </c>
      <c r="C9" s="208">
        <f>IFERROR(INDEX(年齢階層×在院期間区分F3[#All],MATCH($AL9,年齢階層×在院期間区分F3[[#All],[行ラベル]],0),MATCH($AM$3,年齢階層×在院期間区分F3[#Headers],0)),0)+IFERROR(INDEX(年齢階層×在院期間区分F3[#All],MATCH($AL9,年齢階層×在院期間区分F3[[#All],[行ラベル]],0),MATCH($AN$3,年齢階層×在院期間区分F3[#Headers],0)),0)+IFERROR(INDEX(年齢階層×在院期間区分F3[#All],MATCH($AL9,年齢階層×在院期間区分F3[[#All],[行ラベル]],0),MATCH($AO$3,年齢階層×在院期間区分F3[#Headers],0)),0)+IFERROR(INDEX(年齢階層×在院期間区分F3[#All],MATCH($AL9,年齢階層×在院期間区分F3[[#All],[行ラベル]],0),MATCH($AP$3,年齢階層×在院期間区分F3[#Headers],0)),0)</f>
        <v>177</v>
      </c>
      <c r="D9" s="209">
        <f t="shared" si="0"/>
        <v>0.19052744886975242</v>
      </c>
      <c r="E9" s="208">
        <f>IFERROR(INDEX(年齢階層×在院期間区分F3[#All],MATCH($AL9,年齢階層×在院期間区分F3[[#All],[行ラベル]],0),MATCH($AQ$3,年齢階層×在院期間区分F3[#Headers],0)),0)+IFERROR(INDEX(年齢階層×在院期間区分F3[#All],MATCH($AL9,年齢階層×在院期間区分F3[[#All],[行ラベル]],0),MATCH($AR$3,年齢階層×在院期間区分F3[#Headers],0)),0)+IFERROR(INDEX(年齢階層×在院期間区分F3[#All],MATCH($AL9,年齢階層×在院期間区分F3[[#All],[行ラベル]],0),MATCH($AS$3,年齢階層×在院期間区分F3[#Headers],0)),0)+IFERROR(INDEX(年齢階層×在院期間区分F3[#All],MATCH($AL9,年齢階層×在院期間区分F3[[#All],[行ラベル]],0),MATCH($AT$3,年齢階層×在院期間区分F3[#Headers],0)),0)+IFERROR(INDEX(年齢階層×在院期間区分F3[#All],MATCH($AL9,年齢階層×在院期間区分F3[[#All],[行ラベル]],0),MATCH($AU$3,年齢階層×在院期間区分F3[#Headers],0)),0)</f>
        <v>92</v>
      </c>
      <c r="F9" s="209">
        <f t="shared" si="1"/>
        <v>0.2271604938271605</v>
      </c>
      <c r="G9" s="232">
        <f>IFERROR(INDEX(年齢階層×在院期間区分F3[#All],MATCH($AL9,年齢階層×在院期間区分F3[[#All],[行ラベル]],0),MATCH($AV$3,年齢階層×在院期間区分F3[#Headers],0)),0)+IFERROR(INDEX(年齢階層×在院期間区分F3[#All],MATCH($AL9,年齢階層×在院期間区分F3[[#All],[行ラベル]],0),MATCH($AW$3,年齢階層×在院期間区分F3[#Headers],0)),0)+IFERROR(INDEX(年齢階層×在院期間区分F3[#All],MATCH($AL9,年齢階層×在院期間区分F3[[#All],[行ラベル]],0),MATCH($AX$3,年齢階層×在院期間区分F3[#Headers],0)),0)+IFERROR(INDEX(年齢階層×在院期間区分F3[#All],MATCH($AL9,年齢階層×在院期間区分F3[[#All],[行ラベル]],0),MATCH($AY$3,年齢階層×在院期間区分F3[#Headers],0)),0)+IFERROR(INDEX(年齢階層×在院期間区分F3[#All],MATCH($AL9,年齢階層×在院期間区分F3[[#All],[行ラベル]],0),MATCH($AZ$3,年齢階層×在院期間区分F3[#Headers],0)),0)</f>
        <v>25</v>
      </c>
      <c r="H9" s="209">
        <f t="shared" si="2"/>
        <v>0.18518518518518517</v>
      </c>
      <c r="I9" s="232">
        <f>IFERROR(INDEX(年齢階層×在院期間区分F3[#All],MATCH($AL9,年齢階層×在院期間区分F3[[#All],[行ラベル]],0),MATCH($BA$3,年齢階層×在院期間区分F3[#Headers],0)),0)+IFERROR(INDEX(年齢階層×在院期間区分F3[#All],MATCH($AL9,年齢階層×在院期間区分F3[[#All],[行ラベル]],0),MATCH($BB$3,年齢階層×在院期間区分F3[#Headers],0)),0)</f>
        <v>12</v>
      </c>
      <c r="J9" s="209">
        <f t="shared" si="3"/>
        <v>0.18461538461538463</v>
      </c>
      <c r="K9" s="208">
        <f t="shared" si="4"/>
        <v>306</v>
      </c>
      <c r="L9" s="209">
        <f t="shared" si="5"/>
        <v>0.19947848761408082</v>
      </c>
      <c r="O9" s="54" t="s">
        <v>7</v>
      </c>
      <c r="P9" s="66">
        <v>53</v>
      </c>
      <c r="Q9" s="66">
        <v>65</v>
      </c>
      <c r="R9" s="66">
        <v>30</v>
      </c>
      <c r="S9" s="66">
        <v>29</v>
      </c>
      <c r="T9" s="66">
        <v>31</v>
      </c>
      <c r="U9" s="66">
        <v>10</v>
      </c>
      <c r="V9" s="66">
        <v>29</v>
      </c>
      <c r="W9" s="66">
        <v>11</v>
      </c>
      <c r="X9" s="66">
        <v>11</v>
      </c>
      <c r="Y9" s="66">
        <v>8</v>
      </c>
      <c r="Z9" s="66">
        <v>7</v>
      </c>
      <c r="AA9" s="66">
        <v>4</v>
      </c>
      <c r="AB9" s="66">
        <v>5</v>
      </c>
      <c r="AC9" s="66">
        <v>1</v>
      </c>
      <c r="AD9" s="66">
        <v>9</v>
      </c>
      <c r="AE9" s="66">
        <v>3</v>
      </c>
      <c r="AF9" s="22"/>
      <c r="AG9" s="22"/>
      <c r="AL9" s="54" t="s">
        <v>7</v>
      </c>
      <c r="AM9" s="67"/>
      <c r="AN9" s="67"/>
      <c r="AP9" s="67"/>
    </row>
    <row r="10" spans="2:54" ht="18.75" customHeight="1" x14ac:dyDescent="0.15">
      <c r="B10" s="230" t="s">
        <v>8</v>
      </c>
      <c r="C10" s="208">
        <f>IFERROR(INDEX(年齢階層×在院期間区分F3[#All],MATCH($AL10,年齢階層×在院期間区分F3[[#All],[行ラベル]],0),MATCH($AM$3,年齢階層×在院期間区分F3[#Headers],0)),0)+IFERROR(INDEX(年齢階層×在院期間区分F3[#All],MATCH($AL10,年齢階層×在院期間区分F3[[#All],[行ラベル]],0),MATCH($AN$3,年齢階層×在院期間区分F3[#Headers],0)),0)+IFERROR(INDEX(年齢階層×在院期間区分F3[#All],MATCH($AL10,年齢階層×在院期間区分F3[[#All],[行ラベル]],0),MATCH($AO$3,年齢階層×在院期間区分F3[#Headers],0)),0)+IFERROR(INDEX(年齢階層×在院期間区分F3[#All],MATCH($AL10,年齢階層×在院期間区分F3[[#All],[行ラベル]],0),MATCH($AP$3,年齢階層×在院期間区分F3[#Headers],0)),0)</f>
        <v>261</v>
      </c>
      <c r="D10" s="209">
        <f t="shared" si="0"/>
        <v>0.28094725511302476</v>
      </c>
      <c r="E10" s="232">
        <f>IFERROR(INDEX(年齢階層×在院期間区分F3[#All],MATCH($AL10,年齢階層×在院期間区分F3[[#All],[行ラベル]],0),MATCH($AQ$3,年齢階層×在院期間区分F3[#Headers],0)),0)+IFERROR(INDEX(年齢階層×在院期間区分F3[#All],MATCH($AL10,年齢階層×在院期間区分F3[[#All],[行ラベル]],0),MATCH($AR$3,年齢階層×在院期間区分F3[#Headers],0)),0)+IFERROR(INDEX(年齢階層×在院期間区分F3[#All],MATCH($AL10,年齢階層×在院期間区分F3[[#All],[行ラベル]],0),MATCH($AS$3,年齢階層×在院期間区分F3[#Headers],0)),0)+IFERROR(INDEX(年齢階層×在院期間区分F3[#All],MATCH($AL10,年齢階層×在院期間区分F3[[#All],[行ラベル]],0),MATCH($AT$3,年齢階層×在院期間区分F3[#Headers],0)),0)+IFERROR(INDEX(年齢階層×在院期間区分F3[#All],MATCH($AL10,年齢階層×在院期間区分F3[[#All],[行ラベル]],0),MATCH($AU$3,年齢階層×在院期間区分F3[#Headers],0)),0)</f>
        <v>144</v>
      </c>
      <c r="F10" s="209">
        <f t="shared" si="1"/>
        <v>0.35555555555555557</v>
      </c>
      <c r="G10" s="231">
        <f>IFERROR(INDEX(年齢階層×在院期間区分F3[#All],MATCH($AL10,年齢階層×在院期間区分F3[[#All],[行ラベル]],0),MATCH($AV$3,年齢階層×在院期間区分F3[#Headers],0)),0)+IFERROR(INDEX(年齢階層×在院期間区分F3[#All],MATCH($AL10,年齢階層×在院期間区分F3[[#All],[行ラベル]],0),MATCH($AW$3,年齢階層×在院期間区分F3[#Headers],0)),0)+IFERROR(INDEX(年齢階層×在院期間区分F3[#All],MATCH($AL10,年齢階層×在院期間区分F3[[#All],[行ラベル]],0),MATCH($AX$3,年齢階層×在院期間区分F3[#Headers],0)),0)+IFERROR(INDEX(年齢階層×在院期間区分F3[#All],MATCH($AL10,年齢階層×在院期間区分F3[[#All],[行ラベル]],0),MATCH($AY$3,年齢階層×在院期間区分F3[#Headers],0)),0)+IFERROR(INDEX(年齢階層×在院期間区分F3[#All],MATCH($AL10,年齢階層×在院期間区分F3[[#All],[行ラベル]],0),MATCH($AZ$3,年齢階層×在院期間区分F3[#Headers],0)),0)</f>
        <v>49</v>
      </c>
      <c r="H10" s="209">
        <f t="shared" si="2"/>
        <v>0.36296296296296299</v>
      </c>
      <c r="I10" s="208">
        <f>IFERROR(INDEX(年齢階層×在院期間区分F3[#All],MATCH($AL10,年齢階層×在院期間区分F3[[#All],[行ラベル]],0),MATCH($BA$3,年齢階層×在院期間区分F3[#Headers],0)),0)+IFERROR(INDEX(年齢階層×在院期間区分F3[#All],MATCH($AL10,年齢階層×在院期間区分F3[[#All],[行ラベル]],0),MATCH($BB$3,年齢階層×在院期間区分F3[#Headers],0)),0)</f>
        <v>33</v>
      </c>
      <c r="J10" s="209">
        <f t="shared" si="3"/>
        <v>0.50769230769230766</v>
      </c>
      <c r="K10" s="208">
        <f t="shared" si="4"/>
        <v>487</v>
      </c>
      <c r="L10" s="209">
        <f t="shared" si="5"/>
        <v>0.31747066492829207</v>
      </c>
      <c r="O10" s="54" t="s">
        <v>8</v>
      </c>
      <c r="P10" s="66">
        <v>66</v>
      </c>
      <c r="Q10" s="66">
        <v>75</v>
      </c>
      <c r="R10" s="66">
        <v>63</v>
      </c>
      <c r="S10" s="66">
        <v>57</v>
      </c>
      <c r="T10" s="66">
        <v>27</v>
      </c>
      <c r="U10" s="66">
        <v>30</v>
      </c>
      <c r="V10" s="66">
        <v>39</v>
      </c>
      <c r="W10" s="66">
        <v>28</v>
      </c>
      <c r="X10" s="66">
        <v>20</v>
      </c>
      <c r="Y10" s="66">
        <v>16</v>
      </c>
      <c r="Z10" s="66">
        <v>10</v>
      </c>
      <c r="AA10" s="66">
        <v>11</v>
      </c>
      <c r="AB10" s="66">
        <v>5</v>
      </c>
      <c r="AC10" s="66">
        <v>7</v>
      </c>
      <c r="AD10" s="66">
        <v>30</v>
      </c>
      <c r="AE10" s="66">
        <v>3</v>
      </c>
      <c r="AF10" s="22"/>
      <c r="AG10" s="22"/>
      <c r="AL10" s="54" t="s">
        <v>8</v>
      </c>
      <c r="AM10" s="67"/>
      <c r="AN10" s="67"/>
      <c r="AP10" s="67"/>
    </row>
    <row r="11" spans="2:54" ht="18.75" customHeight="1" x14ac:dyDescent="0.15">
      <c r="B11" s="230" t="s">
        <v>9</v>
      </c>
      <c r="C11" s="208">
        <f>IFERROR(INDEX(年齢階層×在院期間区分F3[#All],MATCH($AL11,年齢階層×在院期間区分F3[[#All],[行ラベル]],0),MATCH($AM$3,年齢階層×在院期間区分F3[#Headers],0)),0)+IFERROR(INDEX(年齢階層×在院期間区分F3[#All],MATCH($AL11,年齢階層×在院期間区分F3[[#All],[行ラベル]],0),MATCH($AN$3,年齢階層×在院期間区分F3[#Headers],0)),0)+IFERROR(INDEX(年齢階層×在院期間区分F3[#All],MATCH($AL11,年齢階層×在院期間区分F3[[#All],[行ラベル]],0),MATCH($AO$3,年齢階層×在院期間区分F3[#Headers],0)),0)+IFERROR(INDEX(年齢階層×在院期間区分F3[#All],MATCH($AL11,年齢階層×在院期間区分F3[[#All],[行ラベル]],0),MATCH($AP$3,年齢階層×在院期間区分F3[#Headers],0)),0)</f>
        <v>138</v>
      </c>
      <c r="D11" s="209">
        <f t="shared" si="0"/>
        <v>0.14854682454251883</v>
      </c>
      <c r="E11" s="208">
        <f>IFERROR(INDEX(年齢階層×在院期間区分F3[#All],MATCH($AL11,年齢階層×在院期間区分F3[[#All],[行ラベル]],0),MATCH($AQ$3,年齢階層×在院期間区分F3[#Headers],0)),0)+IFERROR(INDEX(年齢階層×在院期間区分F3[#All],MATCH($AL11,年齢階層×在院期間区分F3[[#All],[行ラベル]],0),MATCH($AR$3,年齢階層×在院期間区分F3[#Headers],0)),0)+IFERROR(INDEX(年齢階層×在院期間区分F3[#All],MATCH($AL11,年齢階層×在院期間区分F3[[#All],[行ラベル]],0),MATCH($AS$3,年齢階層×在院期間区分F3[#Headers],0)),0)+IFERROR(INDEX(年齢階層×在院期間区分F3[#All],MATCH($AL11,年齢階層×在院期間区分F3[[#All],[行ラベル]],0),MATCH($AT$3,年齢階層×在院期間区分F3[#Headers],0)),0)+IFERROR(INDEX(年齢階層×在院期間区分F3[#All],MATCH($AL11,年齢階層×在院期間区分F3[[#All],[行ラベル]],0),MATCH($AU$3,年齢階層×在院期間区分F3[#Headers],0)),0)</f>
        <v>95</v>
      </c>
      <c r="F11" s="209">
        <f t="shared" si="1"/>
        <v>0.23456790123456789</v>
      </c>
      <c r="G11" s="231">
        <f>IFERROR(INDEX(年齢階層×在院期間区分F3[#All],MATCH($AL11,年齢階層×在院期間区分F3[[#All],[行ラベル]],0),MATCH($AV$3,年齢階層×在院期間区分F3[#Headers],0)),0)+IFERROR(INDEX(年齢階層×在院期間区分F3[#All],MATCH($AL11,年齢階層×在院期間区分F3[[#All],[行ラベル]],0),MATCH($AW$3,年齢階層×在院期間区分F3[#Headers],0)),0)+IFERROR(INDEX(年齢階層×在院期間区分F3[#All],MATCH($AL11,年齢階層×在院期間区分F3[[#All],[行ラベル]],0),MATCH($AX$3,年齢階層×在院期間区分F3[#Headers],0)),0)+IFERROR(INDEX(年齢階層×在院期間区分F3[#All],MATCH($AL11,年齢階層×在院期間区分F3[[#All],[行ラベル]],0),MATCH($AY$3,年齢階層×在院期間区分F3[#Headers],0)),0)+IFERROR(INDEX(年齢階層×在院期間区分F3[#All],MATCH($AL11,年齢階層×在院期間区分F3[[#All],[行ラベル]],0),MATCH($AZ$3,年齢階層×在院期間区分F3[#Headers],0)),0)</f>
        <v>34</v>
      </c>
      <c r="H11" s="209">
        <f t="shared" si="2"/>
        <v>0.25185185185185183</v>
      </c>
      <c r="I11" s="208">
        <f>IFERROR(INDEX(年齢階層×在院期間区分F3[#All],MATCH($AL11,年齢階層×在院期間区分F3[[#All],[行ラベル]],0),MATCH($BA$3,年齢階層×在院期間区分F3[#Headers],0)),0)+IFERROR(INDEX(年齢階層×在院期間区分F3[#All],MATCH($AL11,年齢階層×在院期間区分F3[[#All],[行ラベル]],0),MATCH($BB$3,年齢階層×在院期間区分F3[#Headers],0)),0)</f>
        <v>13</v>
      </c>
      <c r="J11" s="209">
        <f t="shared" si="3"/>
        <v>0.2</v>
      </c>
      <c r="K11" s="208">
        <f t="shared" si="4"/>
        <v>280</v>
      </c>
      <c r="L11" s="209">
        <f t="shared" si="5"/>
        <v>0.18252933507170796</v>
      </c>
      <c r="O11" s="54" t="s">
        <v>9</v>
      </c>
      <c r="P11" s="66">
        <v>34</v>
      </c>
      <c r="Q11" s="66">
        <v>44</v>
      </c>
      <c r="R11" s="66">
        <v>28</v>
      </c>
      <c r="S11" s="66">
        <v>32</v>
      </c>
      <c r="T11" s="66">
        <v>16</v>
      </c>
      <c r="U11" s="66">
        <v>16</v>
      </c>
      <c r="V11" s="66">
        <v>31</v>
      </c>
      <c r="W11" s="66">
        <v>22</v>
      </c>
      <c r="X11" s="66">
        <v>10</v>
      </c>
      <c r="Y11" s="66">
        <v>12</v>
      </c>
      <c r="Z11" s="66">
        <v>8</v>
      </c>
      <c r="AA11" s="66">
        <v>5</v>
      </c>
      <c r="AB11" s="66">
        <v>3</v>
      </c>
      <c r="AC11" s="66">
        <v>6</v>
      </c>
      <c r="AD11" s="66">
        <v>10</v>
      </c>
      <c r="AE11" s="66">
        <v>3</v>
      </c>
      <c r="AF11" s="22"/>
      <c r="AG11" s="22"/>
      <c r="AL11" s="54" t="s">
        <v>9</v>
      </c>
      <c r="AM11" s="67"/>
      <c r="AN11" s="67"/>
      <c r="AP11" s="67"/>
    </row>
    <row r="12" spans="2:54" ht="18.75" customHeight="1" thickBot="1" x14ac:dyDescent="0.2">
      <c r="B12" s="233" t="s">
        <v>10</v>
      </c>
      <c r="C12" s="234">
        <f>IFERROR(INDEX(年齢階層×在院期間区分F3[#All],MATCH($AL12,年齢階層×在院期間区分F3[[#All],[行ラベル]],0),MATCH($AM$3,年齢階層×在院期間区分F3[#Headers],0)),0)+IFERROR(INDEX(年齢階層×在院期間区分F3[#All],MATCH($AL12,年齢階層×在院期間区分F3[[#All],[行ラベル]],0),MATCH($AN$3,年齢階層×在院期間区分F3[#Headers],0)),0)+IFERROR(INDEX(年齢階層×在院期間区分F3[#All],MATCH($AL12,年齢階層×在院期間区分F3[[#All],[行ラベル]],0),MATCH($AO$3,年齢階層×在院期間区分F3[#Headers],0)),0)+IFERROR(INDEX(年齢階層×在院期間区分F3[#All],MATCH($AL12,年齢階層×在院期間区分F3[[#All],[行ラベル]],0),MATCH($AP$3,年齢階層×在院期間区分F3[#Headers],0)),0)</f>
        <v>10</v>
      </c>
      <c r="D12" s="225">
        <f t="shared" si="0"/>
        <v>1.0764262648008612E-2</v>
      </c>
      <c r="E12" s="234">
        <f>IFERROR(INDEX(年齢階層×在院期間区分F3[#All],MATCH($AL12,年齢階層×在院期間区分F3[[#All],[行ラベル]],0),MATCH($AQ$3,年齢階層×在院期間区分F3[#Headers],0)),0)+IFERROR(INDEX(年齢階層×在院期間区分F3[#All],MATCH($AL12,年齢階層×在院期間区分F3[[#All],[行ラベル]],0),MATCH($AR$3,年齢階層×在院期間区分F3[#Headers],0)),0)+IFERROR(INDEX(年齢階層×在院期間区分F3[#All],MATCH($AL12,年齢階層×在院期間区分F3[[#All],[行ラベル]],0),MATCH($AS$3,年齢階層×在院期間区分F3[#Headers],0)),0)+IFERROR(INDEX(年齢階層×在院期間区分F3[#All],MATCH($AL12,年齢階層×在院期間区分F3[[#All],[行ラベル]],0),MATCH($AT$3,年齢階層×在院期間区分F3[#Headers],0)),0)+IFERROR(INDEX(年齢階層×在院期間区分F3[#All],MATCH($AL12,年齢階層×在院期間区分F3[[#All],[行ラベル]],0),MATCH($AU$3,年齢階層×在院期間区分F3[#Headers],0)),0)</f>
        <v>10</v>
      </c>
      <c r="F12" s="225">
        <f t="shared" si="1"/>
        <v>2.4691358024691357E-2</v>
      </c>
      <c r="G12" s="211">
        <f>IFERROR(INDEX(年齢階層×在院期間区分F3[#All],MATCH($AL12,年齢階層×在院期間区分F3[[#All],[行ラベル]],0),MATCH($AV$3,年齢階層×在院期間区分F3[#Headers],0)),0)+IFERROR(INDEX(年齢階層×在院期間区分F3[#All],MATCH($AL12,年齢階層×在院期間区分F3[[#All],[行ラベル]],0),MATCH($AW$3,年齢階層×在院期間区分F3[#Headers],0)),0)+IFERROR(INDEX(年齢階層×在院期間区分F3[#All],MATCH($AL12,年齢階層×在院期間区分F3[[#All],[行ラベル]],0),MATCH($AX$3,年齢階層×在院期間区分F3[#Headers],0)),0)+IFERROR(INDEX(年齢階層×在院期間区分F3[#All],MATCH($AL12,年齢階層×在院期間区分F3[[#All],[行ラベル]],0),MATCH($AY$3,年齢階層×在院期間区分F3[#Headers],0)),0)+IFERROR(INDEX(年齢階層×在院期間区分F3[#All],MATCH($AL12,年齢階層×在院期間区分F3[[#All],[行ラベル]],0),MATCH($AZ$3,年齢階層×在院期間区分F3[#Headers],0)),0)</f>
        <v>5</v>
      </c>
      <c r="H12" s="225">
        <f t="shared" si="2"/>
        <v>3.7037037037037035E-2</v>
      </c>
      <c r="I12" s="234">
        <f>IFERROR(INDEX(年齢階層×在院期間区分F3[#All],MATCH($AL12,年齢階層×在院期間区分F3[[#All],[行ラベル]],0),MATCH($BA$3,年齢階層×在院期間区分F3[#Headers],0)),0)+IFERROR(INDEX(年齢階層×在院期間区分F3[#All],MATCH($AL12,年齢階層×在院期間区分F3[[#All],[行ラベル]],0),MATCH($BB$3,年齢階層×在院期間区分F3[#Headers],0)),0)</f>
        <v>3</v>
      </c>
      <c r="J12" s="225">
        <f t="shared" si="3"/>
        <v>4.6153846153846156E-2</v>
      </c>
      <c r="K12" s="211">
        <f t="shared" si="4"/>
        <v>28</v>
      </c>
      <c r="L12" s="225">
        <f t="shared" si="5"/>
        <v>1.8252933507170794E-2</v>
      </c>
      <c r="O12" s="54" t="s">
        <v>10</v>
      </c>
      <c r="P12" s="66">
        <v>1</v>
      </c>
      <c r="Q12" s="66">
        <v>1</v>
      </c>
      <c r="R12" s="66">
        <v>0</v>
      </c>
      <c r="S12" s="66">
        <v>8</v>
      </c>
      <c r="T12" s="66">
        <v>2</v>
      </c>
      <c r="U12" s="66">
        <v>2</v>
      </c>
      <c r="V12" s="66">
        <v>5</v>
      </c>
      <c r="W12" s="66">
        <v>1</v>
      </c>
      <c r="X12" s="66">
        <v>0</v>
      </c>
      <c r="Y12" s="66">
        <v>3</v>
      </c>
      <c r="Z12" s="66">
        <v>2</v>
      </c>
      <c r="AA12" s="66">
        <v>0</v>
      </c>
      <c r="AB12" s="66">
        <v>0</v>
      </c>
      <c r="AC12" s="66">
        <v>0</v>
      </c>
      <c r="AD12" s="66">
        <v>3</v>
      </c>
      <c r="AE12" s="66">
        <v>0</v>
      </c>
      <c r="AF12" s="22"/>
      <c r="AG12" s="22"/>
      <c r="AL12" s="54" t="s">
        <v>10</v>
      </c>
      <c r="AM12" s="67"/>
      <c r="AN12" s="67"/>
      <c r="AP12" s="67"/>
    </row>
    <row r="13" spans="2:54" ht="18.75" customHeight="1" thickTop="1" thickBot="1" x14ac:dyDescent="0.2">
      <c r="B13" s="235" t="s">
        <v>162</v>
      </c>
      <c r="C13" s="236">
        <f t="shared" ref="C13:L13" si="6">SUM(C4:C12)</f>
        <v>929</v>
      </c>
      <c r="D13" s="237">
        <f t="shared" si="6"/>
        <v>0.99999999999999989</v>
      </c>
      <c r="E13" s="236">
        <f t="shared" si="6"/>
        <v>405</v>
      </c>
      <c r="F13" s="237">
        <f t="shared" si="6"/>
        <v>0.99999999999999989</v>
      </c>
      <c r="G13" s="236">
        <f t="shared" si="6"/>
        <v>135</v>
      </c>
      <c r="H13" s="237">
        <f t="shared" si="6"/>
        <v>1</v>
      </c>
      <c r="I13" s="236">
        <f t="shared" si="6"/>
        <v>65</v>
      </c>
      <c r="J13" s="237">
        <f t="shared" si="6"/>
        <v>1</v>
      </c>
      <c r="K13" s="236">
        <f t="shared" si="6"/>
        <v>1534</v>
      </c>
      <c r="L13" s="237">
        <f t="shared" si="6"/>
        <v>1</v>
      </c>
      <c r="O13" s="430" t="s">
        <v>309</v>
      </c>
      <c r="P13" s="488" t="s">
        <v>183</v>
      </c>
      <c r="Q13" s="488" t="s">
        <v>184</v>
      </c>
      <c r="R13" s="488" t="s">
        <v>185</v>
      </c>
      <c r="S13" s="488" t="s">
        <v>186</v>
      </c>
      <c r="T13" s="488" t="s">
        <v>187</v>
      </c>
      <c r="U13" s="488" t="s">
        <v>188</v>
      </c>
      <c r="V13" s="488" t="s">
        <v>189</v>
      </c>
      <c r="W13" s="488" t="s">
        <v>190</v>
      </c>
      <c r="X13" s="488" t="s">
        <v>191</v>
      </c>
      <c r="Y13" s="488" t="s">
        <v>192</v>
      </c>
      <c r="Z13" s="488" t="s">
        <v>193</v>
      </c>
      <c r="AA13" s="488" t="s">
        <v>194</v>
      </c>
      <c r="AB13" s="488" t="s">
        <v>195</v>
      </c>
      <c r="AC13" s="488" t="s">
        <v>196</v>
      </c>
      <c r="AD13" s="488" t="s">
        <v>197</v>
      </c>
      <c r="AE13" s="487" t="s">
        <v>198</v>
      </c>
      <c r="AF13" s="22"/>
      <c r="AG13" s="22"/>
      <c r="AL13" s="81"/>
      <c r="AM13" s="67"/>
      <c r="AP13" s="67"/>
    </row>
    <row r="14" spans="2:54" ht="18.75" customHeight="1" thickTop="1" x14ac:dyDescent="0.15">
      <c r="B14" s="247" t="s">
        <v>93</v>
      </c>
      <c r="C14" s="248">
        <f>IFERROR(INDEX(年齢階層×在院期間区分F3_65歳未満以上[#All],MATCH($AL14,年齢階層×在院期間区分F3_65歳未満以上[[#All],[列1]],0),MATCH($AM$3,年齢階層×在院期間区分F3_65歳未満以上[#Headers],0)),0)+IFERROR(INDEX(年齢階層×在院期間区分F3_65歳未満以上[#All],MATCH($AL14,年齢階層×在院期間区分F3_65歳未満以上[[#All],[列1]],0),MATCH($AN$3,年齢階層×在院期間区分F3_65歳未満以上[#Headers],0)),0)+IFERROR(INDEX(年齢階層×在院期間区分F3_65歳未満以上[#All],MATCH($AL14,年齢階層×在院期間区分F3_65歳未満以上[[#All],[列1]],0),MATCH($AO$3,年齢階層×在院期間区分F3_65歳未満以上[#Headers],0)),0)+IFERROR(INDEX(年齢階層×在院期間区分F3_65歳未満以上[#All],MATCH($AL14,年齢階層×在院期間区分F3_65歳未満以上[[#All],[列1]],0),MATCH($AP$3,年齢階層×在院期間区分F3_65歳未満以上[#Headers],0)),0)</f>
        <v>427</v>
      </c>
      <c r="D14" s="210">
        <f>IFERROR(C14/$C$13,"-")</f>
        <v>0.45963401506996771</v>
      </c>
      <c r="E14" s="248">
        <f>IFERROR(INDEX(年齢階層×在院期間区分F3_65歳未満以上[#All],MATCH($AL14,年齢階層×在院期間区分F3_65歳未満以上[[#All],[列1]],0),MATCH($AQ$3,年齢階層×在院期間区分F3_65歳未満以上[#Headers],0)),0)+IFERROR(INDEX(年齢階層×在院期間区分F3_65歳未満以上[#All],MATCH($AL14,年齢階層×在院期間区分F3_65歳未満以上[[#All],[列1]],0),MATCH($AR$3,年齢階層×在院期間区分F3_65歳未満以上[#Headers],0)),0)+IFERROR(INDEX(年齢階層×在院期間区分F3_65歳未満以上[#All],MATCH($AL14,年齢階層×在院期間区分F3_65歳未満以上[[#All],[列1]],0),MATCH($AS$3,年齢階層×在院期間区分F3_65歳未満以上[#Headers],0)),0)+IFERROR(INDEX(年齢階層×在院期間区分F3_65歳未満以上[#All],MATCH($AL14,年齢階層×在院期間区分F3_65歳未満以上[[#All],[列1]],0),MATCH($AT$3,年齢階層×在院期間区分F3_65歳未満以上[#Headers],0)),0)+IFERROR(INDEX(年齢階層×在院期間区分F3_65歳未満以上[#All],MATCH($AL14,年齢階層×在院期間区分F3_65歳未満以上[[#All],[列1]],0),MATCH($AU$3,年齢階層×在院期間区分F3_65歳未満以上[#Headers],0)),0)</f>
        <v>110</v>
      </c>
      <c r="F14" s="210">
        <f>IFERROR(E14/$E$13,"-")</f>
        <v>0.27160493827160492</v>
      </c>
      <c r="G14" s="248">
        <f>IFERROR(INDEX(年齢階層×在院期間区分F3_65歳未満以上[#All],MATCH($AL14,年齢階層×在院期間区分F3_65歳未満以上[[#All],[列1]],0),MATCH($AV$3,年齢階層×在院期間区分F3_65歳未満以上[#Headers],0)),0)+IFERROR(INDEX(年齢階層×在院期間区分F3_65歳未満以上[#All],MATCH($AL14,年齢階層×在院期間区分F3_65歳未満以上[[#All],[列1]],0),MATCH($AW$3,年齢階層×在院期間区分F3_65歳未満以上[#Headers],0)),0)+IFERROR(INDEX(年齢階層×在院期間区分F3_65歳未満以上[#All],MATCH($AL14,年齢階層×在院期間区分F3_65歳未満以上[[#All],[列1]],0),MATCH($AX$3,年齢階層×在院期間区分F3_65歳未満以上[#Headers],0)),0)+IFERROR(INDEX(年齢階層×在院期間区分F3_65歳未満以上[#All],MATCH($AL14,年齢階層×在院期間区分F3_65歳未満以上[[#All],[列1]],0),MATCH($AY$3,年齢階層×在院期間区分F3_65歳未満以上[#Headers],0)),0)+IFERROR(INDEX(年齢階層×在院期間区分F3_65歳未満以上[#All],MATCH($AL14,年齢階層×在院期間区分F3_65歳未満以上[[#All],[列1]],0),MATCH($AZ$3,年齢階層×在院期間区分F3_65歳未満以上[#Headers],0)),0)</f>
        <v>33</v>
      </c>
      <c r="H14" s="210">
        <f>IFERROR(G14/$G$13,"-")</f>
        <v>0.24444444444444444</v>
      </c>
      <c r="I14" s="248">
        <f>IFERROR(INDEX(年齢階層×在院期間区分F3_65歳未満以上[#All],MATCH($AL14,年齢階層×在院期間区分F3_65歳未満以上[[#All],[列1]],0),MATCH($BA$3,年齢階層×在院期間区分F3_65歳未満以上[#Headers],0)),0)+IFERROR(INDEX(年齢階層×在院期間区分F3_65歳未満以上[#All],MATCH($AL14,年齢階層×在院期間区分F3_65歳未満以上[[#All],[列1]],0),MATCH($BB$3,年齢階層×在院期間区分F3_65歳未満以上[#Headers],0)),0)</f>
        <v>9</v>
      </c>
      <c r="J14" s="210">
        <f>IFERROR(I14/$I$13,"-")</f>
        <v>0.13846153846153847</v>
      </c>
      <c r="K14" s="248">
        <f>SUM(C14,E14,G14,I14)</f>
        <v>579</v>
      </c>
      <c r="L14" s="210">
        <f>IFERROR(K14/$K$13,"-")</f>
        <v>0.3774445893089961</v>
      </c>
      <c r="O14" s="54" t="s">
        <v>307</v>
      </c>
      <c r="P14" s="66">
        <v>182</v>
      </c>
      <c r="Q14" s="66">
        <v>137</v>
      </c>
      <c r="R14" s="66">
        <v>63</v>
      </c>
      <c r="S14" s="66">
        <v>45</v>
      </c>
      <c r="T14" s="66">
        <v>28</v>
      </c>
      <c r="U14" s="66">
        <v>16</v>
      </c>
      <c r="V14" s="66">
        <v>33</v>
      </c>
      <c r="W14" s="66">
        <v>19</v>
      </c>
      <c r="X14" s="66">
        <v>14</v>
      </c>
      <c r="Y14" s="66">
        <v>11</v>
      </c>
      <c r="Z14" s="66">
        <v>6</v>
      </c>
      <c r="AA14" s="66">
        <v>9</v>
      </c>
      <c r="AB14" s="66">
        <v>6</v>
      </c>
      <c r="AC14" s="66">
        <v>1</v>
      </c>
      <c r="AD14" s="66">
        <v>7</v>
      </c>
      <c r="AE14" s="66">
        <v>2</v>
      </c>
      <c r="AF14" s="22"/>
      <c r="AG14" s="22"/>
      <c r="AL14" s="83" t="s">
        <v>157</v>
      </c>
    </row>
    <row r="15" spans="2:54" ht="18.75" customHeight="1" x14ac:dyDescent="0.15">
      <c r="B15" s="249" t="s">
        <v>89</v>
      </c>
      <c r="C15" s="248">
        <f>IFERROR(INDEX(年齢階層×在院期間区分F3_65歳未満以上[#All],MATCH($AL15,年齢階層×在院期間区分F3_65歳未満以上[[#All],[列1]],0),MATCH($AM$3,年齢階層×在院期間区分F3_65歳未満以上[#Headers],0)),0)+IFERROR(INDEX(年齢階層×在院期間区分F3_65歳未満以上[#All],MATCH($AL15,年齢階層×在院期間区分F3_65歳未満以上[[#All],[列1]],0),MATCH($AN$3,年齢階層×在院期間区分F3_65歳未満以上[#Headers],0)),0)+IFERROR(INDEX(年齢階層×在院期間区分F3_65歳未満以上[#All],MATCH($AL15,年齢階層×在院期間区分F3_65歳未満以上[[#All],[列1]],0),MATCH($AO$3,年齢階層×在院期間区分F3_65歳未満以上[#Headers],0)),0)+IFERROR(INDEX(年齢階層×在院期間区分F3_65歳未満以上[#All],MATCH($AL15,年齢階層×在院期間区分F3_65歳未満以上[[#All],[列1]],0),MATCH($AP$3,年齢階層×在院期間区分F3_65歳未満以上[#Headers],0)),0)</f>
        <v>502</v>
      </c>
      <c r="D15" s="241">
        <f>IFERROR(C15/$C$13,"-")</f>
        <v>0.54036598493003229</v>
      </c>
      <c r="E15" s="248">
        <f>IFERROR(INDEX(年齢階層×在院期間区分F3_65歳未満以上[#All],MATCH($AL15,年齢階層×在院期間区分F3_65歳未満以上[[#All],[列1]],0),MATCH($AQ$3,年齢階層×在院期間区分F3_65歳未満以上[#Headers],0)),0)+IFERROR(INDEX(年齢階層×在院期間区分F3_65歳未満以上[#All],MATCH($AL15,年齢階層×在院期間区分F3_65歳未満以上[[#All],[列1]],0),MATCH($AR$3,年齢階層×在院期間区分F3_65歳未満以上[#Headers],0)),0)+IFERROR(INDEX(年齢階層×在院期間区分F3_65歳未満以上[#All],MATCH($AL15,年齢階層×在院期間区分F3_65歳未満以上[[#All],[列1]],0),MATCH($AS$3,年齢階層×在院期間区分F3_65歳未満以上[#Headers],0)),0)+IFERROR(INDEX(年齢階層×在院期間区分F3_65歳未満以上[#All],MATCH($AL15,年齢階層×在院期間区分F3_65歳未満以上[[#All],[列1]],0),MATCH($AT$3,年齢階層×在院期間区分F3_65歳未満以上[#Headers],0)),0)+IFERROR(INDEX(年齢階層×在院期間区分F3_65歳未満以上[#All],MATCH($AL15,年齢階層×在院期間区分F3_65歳未満以上[[#All],[列1]],0),MATCH($AU$3,年齢階層×在院期間区分F3_65歳未満以上[#Headers],0)),0)</f>
        <v>295</v>
      </c>
      <c r="F15" s="241">
        <f>IFERROR(E15/$E$13,"-")</f>
        <v>0.72839506172839508</v>
      </c>
      <c r="G15" s="248">
        <f>IFERROR(INDEX(年齢階層×在院期間区分F3_65歳未満以上[#All],MATCH($AL15,年齢階層×在院期間区分F3_65歳未満以上[[#All],[列1]],0),MATCH($AV$3,年齢階層×在院期間区分F3_65歳未満以上[#Headers],0)),0)+IFERROR(INDEX(年齢階層×在院期間区分F3_65歳未満以上[#All],MATCH($AL15,年齢階層×在院期間区分F3_65歳未満以上[[#All],[列1]],0),MATCH($AW$3,年齢階層×在院期間区分F3_65歳未満以上[#Headers],0)),0)+IFERROR(INDEX(年齢階層×在院期間区分F3_65歳未満以上[#All],MATCH($AL15,年齢階層×在院期間区分F3_65歳未満以上[[#All],[列1]],0),MATCH($AX$3,年齢階層×在院期間区分F3_65歳未満以上[#Headers],0)),0)+IFERROR(INDEX(年齢階層×在院期間区分F3_65歳未満以上[#All],MATCH($AL15,年齢階層×在院期間区分F3_65歳未満以上[[#All],[列1]],0),MATCH($AY$3,年齢階層×在院期間区分F3_65歳未満以上[#Headers],0)),0)+IFERROR(INDEX(年齢階層×在院期間区分F3_65歳未満以上[#All],MATCH($AL15,年齢階層×在院期間区分F3_65歳未満以上[[#All],[列1]],0),MATCH($AZ$3,年齢階層×在院期間区分F3_65歳未満以上[#Headers],0)),0)</f>
        <v>102</v>
      </c>
      <c r="H15" s="241">
        <f>IFERROR(G15/$G$13,"-")</f>
        <v>0.75555555555555554</v>
      </c>
      <c r="I15" s="248">
        <f>IFERROR(INDEX(年齢階層×在院期間区分F3_65歳未満以上[#All],MATCH($AL15,年齢階層×在院期間区分F3_65歳未満以上[[#All],[列1]],0),MATCH($BA$3,年齢階層×在院期間区分F3_65歳未満以上[#Headers],0)),0)+IFERROR(INDEX(年齢階層×在院期間区分F3_65歳未満以上[#All],MATCH($AL15,年齢階層×在院期間区分F3_65歳未満以上[[#All],[列1]],0),MATCH($BB$3,年齢階層×在院期間区分F3_65歳未満以上[#Headers],0)),0)</f>
        <v>56</v>
      </c>
      <c r="J15" s="241">
        <f>IFERROR(I15/$I13,"-")</f>
        <v>0.86153846153846159</v>
      </c>
      <c r="K15" s="248">
        <f>C15+E15+G15+I15</f>
        <v>955</v>
      </c>
      <c r="L15" s="241">
        <f>IFERROR(K15/$K$13,"-")</f>
        <v>0.62255541069100395</v>
      </c>
      <c r="O15" s="83" t="s">
        <v>308</v>
      </c>
      <c r="P15" s="66">
        <v>131</v>
      </c>
      <c r="Q15" s="66">
        <v>153</v>
      </c>
      <c r="R15" s="66">
        <v>105</v>
      </c>
      <c r="S15" s="66">
        <v>113</v>
      </c>
      <c r="T15" s="66">
        <v>64</v>
      </c>
      <c r="U15" s="66">
        <v>52</v>
      </c>
      <c r="V15" s="66">
        <v>89</v>
      </c>
      <c r="W15" s="66">
        <v>56</v>
      </c>
      <c r="X15" s="66">
        <v>34</v>
      </c>
      <c r="Y15" s="66">
        <v>34</v>
      </c>
      <c r="Z15" s="66">
        <v>25</v>
      </c>
      <c r="AA15" s="66">
        <v>19</v>
      </c>
      <c r="AB15" s="66">
        <v>10</v>
      </c>
      <c r="AC15" s="66">
        <v>14</v>
      </c>
      <c r="AD15" s="66">
        <v>48</v>
      </c>
      <c r="AE15" s="66">
        <v>8</v>
      </c>
      <c r="AF15" s="22"/>
      <c r="AG15" s="22"/>
      <c r="AL15" s="83" t="s">
        <v>88</v>
      </c>
    </row>
    <row r="16" spans="2:54" ht="18.75" customHeight="1" x14ac:dyDescent="0.15"/>
    <row r="17" spans="2:54" ht="18.75" customHeight="1" x14ac:dyDescent="0.15">
      <c r="B17" s="2" t="s">
        <v>159</v>
      </c>
    </row>
    <row r="18" spans="2:54" ht="18.75" customHeight="1" thickBot="1" x14ac:dyDescent="0.2">
      <c r="B18" s="688" t="s">
        <v>65</v>
      </c>
      <c r="C18" s="690" t="s">
        <v>64</v>
      </c>
      <c r="D18" s="691"/>
      <c r="E18" s="691"/>
      <c r="F18" s="691"/>
      <c r="G18" s="691"/>
      <c r="H18" s="691"/>
      <c r="I18" s="691"/>
      <c r="J18" s="691"/>
      <c r="K18" s="691"/>
      <c r="L18" s="692"/>
      <c r="O18" s="34" t="s">
        <v>63</v>
      </c>
    </row>
    <row r="19" spans="2:54" ht="18.75" customHeight="1" thickTop="1" thickBot="1" x14ac:dyDescent="0.2">
      <c r="B19" s="689"/>
      <c r="C19" s="693" t="s">
        <v>69</v>
      </c>
      <c r="D19" s="694"/>
      <c r="E19" s="693" t="s">
        <v>70</v>
      </c>
      <c r="F19" s="694"/>
      <c r="G19" s="693" t="s">
        <v>71</v>
      </c>
      <c r="H19" s="694"/>
      <c r="I19" s="693" t="s">
        <v>72</v>
      </c>
      <c r="J19" s="694"/>
      <c r="K19" s="693" t="s">
        <v>62</v>
      </c>
      <c r="L19" s="694"/>
      <c r="O19" s="430" t="s">
        <v>371</v>
      </c>
      <c r="P19" s="488" t="s">
        <v>183</v>
      </c>
      <c r="Q19" s="488" t="s">
        <v>184</v>
      </c>
      <c r="R19" s="488" t="s">
        <v>185</v>
      </c>
      <c r="S19" s="488" t="s">
        <v>186</v>
      </c>
      <c r="T19" s="488" t="s">
        <v>187</v>
      </c>
      <c r="U19" s="488" t="s">
        <v>188</v>
      </c>
      <c r="V19" s="488" t="s">
        <v>189</v>
      </c>
      <c r="W19" s="488" t="s">
        <v>190</v>
      </c>
      <c r="X19" s="488" t="s">
        <v>191</v>
      </c>
      <c r="Y19" s="488" t="s">
        <v>192</v>
      </c>
      <c r="Z19" s="488" t="s">
        <v>193</v>
      </c>
      <c r="AA19" s="488" t="s">
        <v>194</v>
      </c>
      <c r="AB19" s="488" t="s">
        <v>196</v>
      </c>
      <c r="AC19" s="488" t="s">
        <v>197</v>
      </c>
      <c r="AD19" s="488" t="s">
        <v>198</v>
      </c>
      <c r="AE19" s="487" t="s">
        <v>369</v>
      </c>
      <c r="AM19" s="487"/>
      <c r="AN19" s="488"/>
      <c r="AO19" s="488"/>
      <c r="AP19" s="488"/>
      <c r="AQ19" s="488"/>
      <c r="AR19" s="488"/>
      <c r="AS19" s="488"/>
      <c r="AT19" s="488"/>
      <c r="AU19" s="488"/>
      <c r="AV19" s="488"/>
      <c r="AW19" s="488"/>
      <c r="AX19" s="488"/>
      <c r="AY19" s="488"/>
      <c r="AZ19" s="488"/>
      <c r="BA19" s="488"/>
      <c r="BB19" s="487"/>
    </row>
    <row r="20" spans="2:54" ht="18.75" customHeight="1" thickTop="1" x14ac:dyDescent="0.15">
      <c r="B20" s="228" t="s">
        <v>2</v>
      </c>
      <c r="C20" s="223">
        <f>IFERROR(INDEX(年齢階層×在院期間区分F3＿寛解・院内寛解[#All],MATCH($AL20,年齢階層×在院期間区分F3＿寛解・院内寛解[[#All],[行ラベル]],0),MATCH($AM$3,年齢階層×在院期間区分F3＿寛解・院内寛解[#Headers],0)),0)+IFERROR(INDEX(年齢階層×在院期間区分F3＿寛解・院内寛解[#All],MATCH($AL20,年齢階層×在院期間区分F3＿寛解・院内寛解[[#All],[行ラベル]],0),MATCH($AN$3,年齢階層×在院期間区分F3＿寛解・院内寛解[#Headers],0)),0)+IFERROR(INDEX(年齢階層×在院期間区分F3＿寛解・院内寛解[#All],MATCH($AL20,年齢階層×在院期間区分F3＿寛解・院内寛解[[#All],[行ラベル]],0),MATCH($AO$3,年齢階層×在院期間区分F3＿寛解・院内寛解[#Headers],0)),0)+IFERROR(INDEX(年齢階層×在院期間区分F3＿寛解・院内寛解[#All],MATCH($AL20,年齢階層×在院期間区分F3＿寛解・院内寛解[[#All],[行ラベル]],0),MATCH($AP$3,年齢階層×在院期間区分F3＿寛解・院内寛解[#Headers],0)),0)</f>
        <v>4</v>
      </c>
      <c r="D20" s="242">
        <f t="shared" ref="D20:D28" si="7">IFERROR(C20/$C$29,"-")</f>
        <v>1.6E-2</v>
      </c>
      <c r="E20" s="229">
        <f>IFERROR(INDEX(年齢階層×在院期間区分F3＿寛解・院内寛解[#All],MATCH($AL20,年齢階層×在院期間区分F3＿寛解・院内寛解[[#All],[行ラベル]],0),MATCH($AQ$3,年齢階層×在院期間区分F3＿寛解・院内寛解[#Headers],0)),0)+IFERROR(INDEX(年齢階層×在院期間区分F3＿寛解・院内寛解[#All],MATCH($AL20,年齢階層×在院期間区分F3＿寛解・院内寛解[[#All],[行ラベル]],0),MATCH($AR$3,年齢階層×在院期間区分F3＿寛解・院内寛解[#Headers],0)),0)+IFERROR(INDEX(年齢階層×在院期間区分F3＿寛解・院内寛解[#All],MATCH($AL20,年齢階層×在院期間区分F3＿寛解・院内寛解[[#All],[行ラベル]],0),MATCH($AS$3,年齢階層×在院期間区分F3＿寛解・院内寛解[#Headers],0)),0)+IFERROR(INDEX(年齢階層×在院期間区分F3＿寛解・院内寛解[#All],MATCH($AL20,年齢階層×在院期間区分F3＿寛解・院内寛解[[#All],[行ラベル]],0),MATCH($AT$3,年齢階層×在院期間区分F3＿寛解・院内寛解[#Headers],0)),0)+IFERROR(INDEX(年齢階層×在院期間区分F3＿寛解・院内寛解[#All],MATCH($AL20,年齢階層×在院期間区分F3＿寛解・院内寛解[[#All],[行ラベル]],0),MATCH($AU$3,年齢階層×在院期間区分F3＿寛解・院内寛解[#Headers],0)),0)</f>
        <v>0</v>
      </c>
      <c r="F20" s="242">
        <f t="shared" ref="F20:F28" si="8">IFERROR(E20/$E$29,"-")</f>
        <v>0</v>
      </c>
      <c r="G20" s="223">
        <f>IFERROR(INDEX(年齢階層×在院期間区分F3＿寛解・院内寛解[#All],MATCH($AL20,年齢階層×在院期間区分F3＿寛解・院内寛解[[#All],[行ラベル]],0),MATCH($AV$3,年齢階層×在院期間区分F3＿寛解・院内寛解[#Headers],0)),0)+IFERROR(INDEX(年齢階層×在院期間区分F3＿寛解・院内寛解[#All],MATCH($AL20,年齢階層×在院期間区分F3＿寛解・院内寛解[[#All],[行ラベル]],0),MATCH($AW$3,年齢階層×在院期間区分F3＿寛解・院内寛解[#Headers],0)),0)+IFERROR(INDEX(年齢階層×在院期間区分F3＿寛解・院内寛解[#All],MATCH($AL20,年齢階層×在院期間区分F3＿寛解・院内寛解[[#All],[行ラベル]],0),MATCH($AX$3,年齢階層×在院期間区分F3＿寛解・院内寛解[#Headers],0)),0)+IFERROR(INDEX(年齢階層×在院期間区分F3＿寛解・院内寛解[#All],MATCH($AL20,年齢階層×在院期間区分F3＿寛解・院内寛解[[#All],[行ラベル]],0),MATCH($AY$3,年齢階層×在院期間区分F3＿寛解・院内寛解[#Headers],0)),0)+IFERROR(INDEX(年齢階層×在院期間区分F3＿寛解・院内寛解[#All],MATCH($AL20,年齢階層×在院期間区分F3＿寛解・院内寛解[[#All],[行ラベル]],0),MATCH($AZ$3,年齢階層×在院期間区分F3＿寛解・院内寛解[#Headers],0)),0)</f>
        <v>0</v>
      </c>
      <c r="H20" s="242">
        <f t="shared" ref="H20:H28" si="9">IFERROR(G20/$G$29,"-")</f>
        <v>0</v>
      </c>
      <c r="I20" s="223">
        <f>IFERROR(INDEX(年齢階層×在院期間区分F3＿寛解・院内寛解[#All],MATCH($AL20,年齢階層×在院期間区分F3＿寛解・院内寛解[[#All],[行ラベル]],0),MATCH($BA$3,年齢階層×在院期間区分F3＿寛解・院内寛解[#Headers],0)),0)+IFERROR(INDEX(年齢階層×在院期間区分F3＿寛解・院内寛解[#All],MATCH($AL20,年齢階層×在院期間区分F3＿寛解・院内寛解[[#All],[行ラベル]],0),MATCH($BB$3,年齢階層×在院期間区分F3＿寛解・院内寛解[#Headers],0)),0)</f>
        <v>0</v>
      </c>
      <c r="J20" s="242">
        <f t="shared" ref="J20:J28" si="10">IFERROR(I20/$I$29,"-")</f>
        <v>0</v>
      </c>
      <c r="K20" s="223">
        <f t="shared" ref="K20:K28" si="11">SUM(C20,E20,G20,I20)</f>
        <v>4</v>
      </c>
      <c r="L20" s="242">
        <f t="shared" ref="L20:L28" si="12">IFERROR(K20/$K$29,"-")</f>
        <v>1.2195121951219513E-2</v>
      </c>
      <c r="O20" s="54" t="s">
        <v>2</v>
      </c>
      <c r="P20" s="66">
        <v>0</v>
      </c>
      <c r="Q20" s="66">
        <v>3</v>
      </c>
      <c r="R20" s="66">
        <v>0</v>
      </c>
      <c r="S20" s="66">
        <v>1</v>
      </c>
      <c r="T20" s="66">
        <v>0</v>
      </c>
      <c r="U20" s="66">
        <v>0</v>
      </c>
      <c r="V20" s="66">
        <v>0</v>
      </c>
      <c r="W20" s="66">
        <v>0</v>
      </c>
      <c r="X20" s="66">
        <v>0</v>
      </c>
      <c r="Y20" s="66">
        <v>0</v>
      </c>
      <c r="Z20" s="66">
        <v>0</v>
      </c>
      <c r="AA20" s="66">
        <v>0</v>
      </c>
      <c r="AB20" s="66">
        <v>0</v>
      </c>
      <c r="AC20" s="66">
        <v>0</v>
      </c>
      <c r="AD20" s="66">
        <v>0</v>
      </c>
      <c r="AE20" s="66"/>
      <c r="AF20" s="22"/>
      <c r="AG20" s="22"/>
      <c r="AL20" s="54" t="s">
        <v>2</v>
      </c>
    </row>
    <row r="21" spans="2:54" ht="18.75" customHeight="1" x14ac:dyDescent="0.15">
      <c r="B21" s="230" t="s">
        <v>3</v>
      </c>
      <c r="C21" s="232">
        <f>IFERROR(INDEX(年齢階層×在院期間区分F3＿寛解・院内寛解[#All],MATCH($AL21,年齢階層×在院期間区分F3＿寛解・院内寛解[[#All],[行ラベル]],0),MATCH($AM$3,年齢階層×在院期間区分F3＿寛解・院内寛解[#Headers],0)),0)+IFERROR(INDEX(年齢階層×在院期間区分F3＿寛解・院内寛解[#All],MATCH($AL21,年齢階層×在院期間区分F3＿寛解・院内寛解[[#All],[行ラベル]],0),MATCH($AN$3,年齢階層×在院期間区分F3＿寛解・院内寛解[#Headers],0)),0)+IFERROR(INDEX(年齢階層×在院期間区分F3＿寛解・院内寛解[#All],MATCH($AL21,年齢階層×在院期間区分F3＿寛解・院内寛解[[#All],[行ラベル]],0),MATCH($AO$3,年齢階層×在院期間区分F3＿寛解・院内寛解[#Headers],0)),0)+IFERROR(INDEX(年齢階層×在院期間区分F3＿寛解・院内寛解[#All],MATCH($AL21,年齢階層×在院期間区分F3＿寛解・院内寛解[[#All],[行ラベル]],0),MATCH($AP$3,年齢階層×在院期間区分F3＿寛解・院内寛解[#Headers],0)),0)</f>
        <v>15</v>
      </c>
      <c r="D21" s="209">
        <f t="shared" si="7"/>
        <v>0.06</v>
      </c>
      <c r="E21" s="231">
        <f>IFERROR(INDEX(年齢階層×在院期間区分F3＿寛解・院内寛解[#All],MATCH($AL21,年齢階層×在院期間区分F3＿寛解・院内寛解[[#All],[行ラベル]],0),MATCH($AQ$3,年齢階層×在院期間区分F3＿寛解・院内寛解[#Headers],0)),0)+IFERROR(INDEX(年齢階層×在院期間区分F3＿寛解・院内寛解[#All],MATCH($AL21,年齢階層×在院期間区分F3＿寛解・院内寛解[[#All],[行ラベル]],0),MATCH($AR$3,年齢階層×在院期間区分F3＿寛解・院内寛解[#Headers],0)),0)+IFERROR(INDEX(年齢階層×在院期間区分F3＿寛解・院内寛解[#All],MATCH($AL21,年齢階層×在院期間区分F3＿寛解・院内寛解[[#All],[行ラベル]],0),MATCH($AS$3,年齢階層×在院期間区分F3＿寛解・院内寛解[#Headers],0)),0)+IFERROR(INDEX(年齢階層×在院期間区分F3＿寛解・院内寛解[#All],MATCH($AL21,年齢階層×在院期間区分F3＿寛解・院内寛解[[#All],[行ラベル]],0),MATCH($AT$3,年齢階層×在院期間区分F3＿寛解・院内寛解[#Headers],0)),0)+IFERROR(INDEX(年齢階層×在院期間区分F3＿寛解・院内寛解[#All],MATCH($AL21,年齢階層×在院期間区分F3＿寛解・院内寛解[[#All],[行ラベル]],0),MATCH($AU$3,年齢階層×在院期間区分F3＿寛解・院内寛解[#Headers],0)),0)</f>
        <v>0</v>
      </c>
      <c r="F21" s="209">
        <f t="shared" si="8"/>
        <v>0</v>
      </c>
      <c r="G21" s="232">
        <f>IFERROR(INDEX(年齢階層×在院期間区分F3＿寛解・院内寛解[#All],MATCH($AL21,年齢階層×在院期間区分F3＿寛解・院内寛解[[#All],[行ラベル]],0),MATCH($AV$3,年齢階層×在院期間区分F3＿寛解・院内寛解[#Headers],0)),0)+IFERROR(INDEX(年齢階層×在院期間区分F3＿寛解・院内寛解[#All],MATCH($AL21,年齢階層×在院期間区分F3＿寛解・院内寛解[[#All],[行ラベル]],0),MATCH($AW$3,年齢階層×在院期間区分F3＿寛解・院内寛解[#Headers],0)),0)+IFERROR(INDEX(年齢階層×在院期間区分F3＿寛解・院内寛解[#All],MATCH($AL21,年齢階層×在院期間区分F3＿寛解・院内寛解[[#All],[行ラベル]],0),MATCH($AX$3,年齢階層×在院期間区分F3＿寛解・院内寛解[#Headers],0)),0)+IFERROR(INDEX(年齢階層×在院期間区分F3＿寛解・院内寛解[#All],MATCH($AL21,年齢階層×在院期間区分F3＿寛解・院内寛解[[#All],[行ラベル]],0),MATCH($AY$3,年齢階層×在院期間区分F3＿寛解・院内寛解[#Headers],0)),0)+IFERROR(INDEX(年齢階層×在院期間区分F3＿寛解・院内寛解[#All],MATCH($AL21,年齢階層×在院期間区分F3＿寛解・院内寛解[[#All],[行ラベル]],0),MATCH($AZ$3,年齢階層×在院期間区分F3＿寛解・院内寛解[#Headers],0)),0)</f>
        <v>0</v>
      </c>
      <c r="H21" s="209">
        <f t="shared" si="9"/>
        <v>0</v>
      </c>
      <c r="I21" s="208">
        <f>IFERROR(INDEX(年齢階層×在院期間区分F3＿寛解・院内寛解[#All],MATCH($AL21,年齢階層×在院期間区分F3＿寛解・院内寛解[[#All],[行ラベル]],0),MATCH($BA$3,年齢階層×在院期間区分F3＿寛解・院内寛解[#Headers],0)),0)+IFERROR(INDEX(年齢階層×在院期間区分F3＿寛解・院内寛解[#All],MATCH($AL21,年齢階層×在院期間区分F3＿寛解・院内寛解[[#All],[行ラベル]],0),MATCH($BB$3,年齢階層×在院期間区分F3＿寛解・院内寛解[#Headers],0)),0)</f>
        <v>0</v>
      </c>
      <c r="J21" s="209">
        <f t="shared" si="10"/>
        <v>0</v>
      </c>
      <c r="K21" s="208">
        <f t="shared" si="11"/>
        <v>15</v>
      </c>
      <c r="L21" s="209">
        <f t="shared" si="12"/>
        <v>4.573170731707317E-2</v>
      </c>
      <c r="O21" s="54" t="s">
        <v>3</v>
      </c>
      <c r="P21" s="66">
        <v>5</v>
      </c>
      <c r="Q21" s="66">
        <v>8</v>
      </c>
      <c r="R21" s="66">
        <v>1</v>
      </c>
      <c r="S21" s="66">
        <v>1</v>
      </c>
      <c r="T21" s="66">
        <v>0</v>
      </c>
      <c r="U21" s="66">
        <v>0</v>
      </c>
      <c r="V21" s="66">
        <v>0</v>
      </c>
      <c r="W21" s="66">
        <v>0</v>
      </c>
      <c r="X21" s="66">
        <v>0</v>
      </c>
      <c r="Y21" s="66">
        <v>0</v>
      </c>
      <c r="Z21" s="66">
        <v>0</v>
      </c>
      <c r="AA21" s="66">
        <v>0</v>
      </c>
      <c r="AB21" s="66">
        <v>0</v>
      </c>
      <c r="AC21" s="66">
        <v>0</v>
      </c>
      <c r="AD21" s="66">
        <v>0</v>
      </c>
      <c r="AE21" s="66"/>
      <c r="AF21" s="22"/>
      <c r="AG21" s="22"/>
      <c r="AL21" s="54" t="s">
        <v>3</v>
      </c>
    </row>
    <row r="22" spans="2:54" ht="18.75" customHeight="1" x14ac:dyDescent="0.15">
      <c r="B22" s="230" t="s">
        <v>4</v>
      </c>
      <c r="C22" s="231">
        <f>IFERROR(INDEX(年齢階層×在院期間区分F3＿寛解・院内寛解[#All],MATCH($AL22,年齢階層×在院期間区分F3＿寛解・院内寛解[[#All],[行ラベル]],0),MATCH($AM$3,年齢階層×在院期間区分F3＿寛解・院内寛解[#Headers],0)),0)+IFERROR(INDEX(年齢階層×在院期間区分F3＿寛解・院内寛解[#All],MATCH($AL22,年齢階層×在院期間区分F3＿寛解・院内寛解[[#All],[行ラベル]],0),MATCH($AN$3,年齢階層×在院期間区分F3＿寛解・院内寛解[#Headers],0)),0)+IFERROR(INDEX(年齢階層×在院期間区分F3＿寛解・院内寛解[#All],MATCH($AL22,年齢階層×在院期間区分F3＿寛解・院内寛解[[#All],[行ラベル]],0),MATCH($AO$3,年齢階層×在院期間区分F3＿寛解・院内寛解[#Headers],0)),0)+IFERROR(INDEX(年齢階層×在院期間区分F3＿寛解・院内寛解[#All],MATCH($AL22,年齢階層×在院期間区分F3＿寛解・院内寛解[[#All],[行ラベル]],0),MATCH($AP$3,年齢階層×在院期間区分F3＿寛解・院内寛解[#Headers],0)),0)</f>
        <v>12</v>
      </c>
      <c r="D22" s="209">
        <f t="shared" si="7"/>
        <v>4.8000000000000001E-2</v>
      </c>
      <c r="E22" s="231">
        <f>IFERROR(INDEX(年齢階層×在院期間区分F3＿寛解・院内寛解[#All],MATCH($AL22,年齢階層×在院期間区分F3＿寛解・院内寛解[[#All],[行ラベル]],0),MATCH($AQ$3,年齢階層×在院期間区分F3＿寛解・院内寛解[#Headers],0)),0)+IFERROR(INDEX(年齢階層×在院期間区分F3＿寛解・院内寛解[#All],MATCH($AL22,年齢階層×在院期間区分F3＿寛解・院内寛解[[#All],[行ラベル]],0),MATCH($AR$3,年齢階層×在院期間区分F3＿寛解・院内寛解[#Headers],0)),0)+IFERROR(INDEX(年齢階層×在院期間区分F3＿寛解・院内寛解[#All],MATCH($AL22,年齢階層×在院期間区分F3＿寛解・院内寛解[[#All],[行ラベル]],0),MATCH($AS$3,年齢階層×在院期間区分F3＿寛解・院内寛解[#Headers],0)),0)+IFERROR(INDEX(年齢階層×在院期間区分F3＿寛解・院内寛解[#All],MATCH($AL22,年齢階層×在院期間区分F3＿寛解・院内寛解[[#All],[行ラベル]],0),MATCH($AT$3,年齢階層×在院期間区分F3＿寛解・院内寛解[#Headers],0)),0)+IFERROR(INDEX(年齢階層×在院期間区分F3＿寛解・院内寛解[#All],MATCH($AL22,年齢階層×在院期間区分F3＿寛解・院内寛解[[#All],[行ラベル]],0),MATCH($AU$3,年齢階層×在院期間区分F3＿寛解・院内寛解[#Headers],0)),0)</f>
        <v>1</v>
      </c>
      <c r="F22" s="209">
        <f t="shared" si="8"/>
        <v>1.8867924528301886E-2</v>
      </c>
      <c r="G22" s="231">
        <f>IFERROR(INDEX(年齢階層×在院期間区分F3＿寛解・院内寛解[#All],MATCH($AL22,年齢階層×在院期間区分F3＿寛解・院内寛解[[#All],[行ラベル]],0),MATCH($AV$3,年齢階層×在院期間区分F3＿寛解・院内寛解[#Headers],0)),0)+IFERROR(INDEX(年齢階層×在院期間区分F3＿寛解・院内寛解[#All],MATCH($AL22,年齢階層×在院期間区分F3＿寛解・院内寛解[[#All],[行ラベル]],0),MATCH($AW$3,年齢階層×在院期間区分F3＿寛解・院内寛解[#Headers],0)),0)+IFERROR(INDEX(年齢階層×在院期間区分F3＿寛解・院内寛解[#All],MATCH($AL22,年齢階層×在院期間区分F3＿寛解・院内寛解[[#All],[行ラベル]],0),MATCH($AX$3,年齢階層×在院期間区分F3＿寛解・院内寛解[#Headers],0)),0)+IFERROR(INDEX(年齢階層×在院期間区分F3＿寛解・院内寛解[#All],MATCH($AL22,年齢階層×在院期間区分F3＿寛解・院内寛解[[#All],[行ラベル]],0),MATCH($AY$3,年齢階層×在院期間区分F3＿寛解・院内寛解[#Headers],0)),0)+IFERROR(INDEX(年齢階層×在院期間区分F3＿寛解・院内寛解[#All],MATCH($AL22,年齢階層×在院期間区分F3＿寛解・院内寛解[[#All],[行ラベル]],0),MATCH($AZ$3,年齢階層×在院期間区分F3＿寛解・院内寛解[#Headers],0)),0)</f>
        <v>0</v>
      </c>
      <c r="H22" s="209">
        <f t="shared" si="9"/>
        <v>0</v>
      </c>
      <c r="I22" s="232">
        <f>IFERROR(INDEX(年齢階層×在院期間区分F3＿寛解・院内寛解[#All],MATCH($AL22,年齢階層×在院期間区分F3＿寛解・院内寛解[[#All],[行ラベル]],0),MATCH($BA$3,年齢階層×在院期間区分F3＿寛解・院内寛解[#Headers],0)),0)+IFERROR(INDEX(年齢階層×在院期間区分F3＿寛解・院内寛解[#All],MATCH($AL22,年齢階層×在院期間区分F3＿寛解・院内寛解[[#All],[行ラベル]],0),MATCH($BB$3,年齢階層×在院期間区分F3＿寛解・院内寛解[#Headers],0)),0)</f>
        <v>0</v>
      </c>
      <c r="J22" s="209">
        <f t="shared" si="10"/>
        <v>0</v>
      </c>
      <c r="K22" s="208">
        <f t="shared" si="11"/>
        <v>13</v>
      </c>
      <c r="L22" s="209">
        <f t="shared" si="12"/>
        <v>3.9634146341463415E-2</v>
      </c>
      <c r="O22" s="54" t="s">
        <v>4</v>
      </c>
      <c r="P22" s="66">
        <v>4</v>
      </c>
      <c r="Q22" s="66">
        <v>6</v>
      </c>
      <c r="R22" s="66">
        <v>0</v>
      </c>
      <c r="S22" s="66">
        <v>2</v>
      </c>
      <c r="T22" s="66">
        <v>1</v>
      </c>
      <c r="U22" s="66">
        <v>0</v>
      </c>
      <c r="V22" s="66">
        <v>0</v>
      </c>
      <c r="W22" s="66">
        <v>0</v>
      </c>
      <c r="X22" s="66">
        <v>0</v>
      </c>
      <c r="Y22" s="66">
        <v>0</v>
      </c>
      <c r="Z22" s="66">
        <v>0</v>
      </c>
      <c r="AA22" s="66">
        <v>0</v>
      </c>
      <c r="AB22" s="66">
        <v>0</v>
      </c>
      <c r="AC22" s="66">
        <v>0</v>
      </c>
      <c r="AD22" s="66">
        <v>0</v>
      </c>
      <c r="AE22" s="66"/>
      <c r="AF22" s="22"/>
      <c r="AG22" s="22"/>
      <c r="AL22" s="54" t="s">
        <v>4</v>
      </c>
    </row>
    <row r="23" spans="2:54" ht="18.75" customHeight="1" x14ac:dyDescent="0.15">
      <c r="B23" s="230" t="s">
        <v>5</v>
      </c>
      <c r="C23" s="208">
        <f>IFERROR(INDEX(年齢階層×在院期間区分F3＿寛解・院内寛解[#All],MATCH($AL23,年齢階層×在院期間区分F3＿寛解・院内寛解[[#All],[行ラベル]],0),MATCH($AM$3,年齢階層×在院期間区分F3＿寛解・院内寛解[#Headers],0)),0)+IFERROR(INDEX(年齢階層×在院期間区分F3＿寛解・院内寛解[#All],MATCH($AL23,年齢階層×在院期間区分F3＿寛解・院内寛解[[#All],[行ラベル]],0),MATCH($AN$3,年齢階層×在院期間区分F3＿寛解・院内寛解[#Headers],0)),0)+IFERROR(INDEX(年齢階層×在院期間区分F3＿寛解・院内寛解[#All],MATCH($AL23,年齢階層×在院期間区分F3＿寛解・院内寛解[[#All],[行ラベル]],0),MATCH($AO$3,年齢階層×在院期間区分F3＿寛解・院内寛解[#Headers],0)),0)+IFERROR(INDEX(年齢階層×在院期間区分F3＿寛解・院内寛解[#All],MATCH($AL23,年齢階層×在院期間区分F3＿寛解・院内寛解[[#All],[行ラベル]],0),MATCH($AP$3,年齢階層×在院期間区分F3＿寛解・院内寛解[#Headers],0)),0)</f>
        <v>29</v>
      </c>
      <c r="D23" s="209">
        <f t="shared" si="7"/>
        <v>0.11600000000000001</v>
      </c>
      <c r="E23" s="208">
        <f>IFERROR(INDEX(年齢階層×在院期間区分F3＿寛解・院内寛解[#All],MATCH($AL23,年齢階層×在院期間区分F3＿寛解・院内寛解[[#All],[行ラベル]],0),MATCH($AQ$3,年齢階層×在院期間区分F3＿寛解・院内寛解[#Headers],0)),0)+IFERROR(INDEX(年齢階層×在院期間区分F3＿寛解・院内寛解[#All],MATCH($AL23,年齢階層×在院期間区分F3＿寛解・院内寛解[[#All],[行ラベル]],0),MATCH($AR$3,年齢階層×在院期間区分F3＿寛解・院内寛解[#Headers],0)),0)+IFERROR(INDEX(年齢階層×在院期間区分F3＿寛解・院内寛解[#All],MATCH($AL23,年齢階層×在院期間区分F3＿寛解・院内寛解[[#All],[行ラベル]],0),MATCH($AS$3,年齢階層×在院期間区分F3＿寛解・院内寛解[#Headers],0)),0)+IFERROR(INDEX(年齢階層×在院期間区分F3＿寛解・院内寛解[#All],MATCH($AL23,年齢階層×在院期間区分F3＿寛解・院内寛解[[#All],[行ラベル]],0),MATCH($AT$3,年齢階層×在院期間区分F3＿寛解・院内寛解[#Headers],0)),0)+IFERROR(INDEX(年齢階層×在院期間区分F3＿寛解・院内寛解[#All],MATCH($AL23,年齢階層×在院期間区分F3＿寛解・院内寛解[[#All],[行ラベル]],0),MATCH($AU$3,年齢階層×在院期間区分F3＿寛解・院内寛解[#Headers],0)),0)</f>
        <v>3</v>
      </c>
      <c r="F23" s="209">
        <f t="shared" si="8"/>
        <v>5.6603773584905662E-2</v>
      </c>
      <c r="G23" s="208">
        <f>IFERROR(INDEX(年齢階層×在院期間区分F3＿寛解・院内寛解[#All],MATCH($AL23,年齢階層×在院期間区分F3＿寛解・院内寛解[[#All],[行ラベル]],0),MATCH($AV$3,年齢階層×在院期間区分F3＿寛解・院内寛解[#Headers],0)),0)+IFERROR(INDEX(年齢階層×在院期間区分F3＿寛解・院内寛解[#All],MATCH($AL23,年齢階層×在院期間区分F3＿寛解・院内寛解[[#All],[行ラベル]],0),MATCH($AW$3,年齢階層×在院期間区分F3＿寛解・院内寛解[#Headers],0)),0)+IFERROR(INDEX(年齢階層×在院期間区分F3＿寛解・院内寛解[#All],MATCH($AL23,年齢階層×在院期間区分F3＿寛解・院内寛解[[#All],[行ラベル]],0),MATCH($AX$3,年齢階層×在院期間区分F3＿寛解・院内寛解[#Headers],0)),0)+IFERROR(INDEX(年齢階層×在院期間区分F3＿寛解・院内寛解[#All],MATCH($AL23,年齢階層×在院期間区分F3＿寛解・院内寛解[[#All],[行ラベル]],0),MATCH($AY$3,年齢階層×在院期間区分F3＿寛解・院内寛解[#Headers],0)),0)+IFERROR(INDEX(年齢階層×在院期間区分F3＿寛解・院内寛解[#All],MATCH($AL23,年齢階層×在院期間区分F3＿寛解・院内寛解[[#All],[行ラベル]],0),MATCH($AZ$3,年齢階層×在院期間区分F3＿寛解・院内寛解[#Headers],0)),0)</f>
        <v>1</v>
      </c>
      <c r="H23" s="209">
        <f t="shared" si="9"/>
        <v>7.1428571428571425E-2</v>
      </c>
      <c r="I23" s="208">
        <f>IFERROR(INDEX(年齢階層×在院期間区分F3＿寛解・院内寛解[#All],MATCH($AL23,年齢階層×在院期間区分F3＿寛解・院内寛解[[#All],[行ラベル]],0),MATCH($BA$3,年齢階層×在院期間区分F3＿寛解・院内寛解[#Headers],0)),0)+IFERROR(INDEX(年齢階層×在院期間区分F3＿寛解・院内寛解[#All],MATCH($AL23,年齢階層×在院期間区分F3＿寛解・院内寛解[[#All],[行ラベル]],0),MATCH($BB$3,年齢階層×在院期間区分F3＿寛解・院内寛解[#Headers],0)),0)</f>
        <v>0</v>
      </c>
      <c r="J23" s="209">
        <f t="shared" si="10"/>
        <v>0</v>
      </c>
      <c r="K23" s="208">
        <f t="shared" si="11"/>
        <v>33</v>
      </c>
      <c r="L23" s="209">
        <f t="shared" si="12"/>
        <v>0.10060975609756098</v>
      </c>
      <c r="O23" s="54" t="s">
        <v>5</v>
      </c>
      <c r="P23" s="66">
        <v>18</v>
      </c>
      <c r="Q23" s="66">
        <v>9</v>
      </c>
      <c r="R23" s="66">
        <v>1</v>
      </c>
      <c r="S23" s="66">
        <v>1</v>
      </c>
      <c r="T23" s="66">
        <v>1</v>
      </c>
      <c r="U23" s="66">
        <v>0</v>
      </c>
      <c r="V23" s="66">
        <v>2</v>
      </c>
      <c r="W23" s="66">
        <v>0</v>
      </c>
      <c r="X23" s="66">
        <v>0</v>
      </c>
      <c r="Y23" s="66">
        <v>1</v>
      </c>
      <c r="Z23" s="66">
        <v>0</v>
      </c>
      <c r="AA23" s="66">
        <v>0</v>
      </c>
      <c r="AB23" s="66">
        <v>0</v>
      </c>
      <c r="AC23" s="66">
        <v>0</v>
      </c>
      <c r="AD23" s="66">
        <v>0</v>
      </c>
      <c r="AE23" s="66"/>
      <c r="AF23" s="22"/>
      <c r="AG23" s="22"/>
      <c r="AL23" s="54" t="s">
        <v>5</v>
      </c>
    </row>
    <row r="24" spans="2:54" ht="18.75" customHeight="1" x14ac:dyDescent="0.15">
      <c r="B24" s="230" t="s">
        <v>6</v>
      </c>
      <c r="C24" s="208">
        <f>IFERROR(INDEX(年齢階層×在院期間区分F3＿寛解・院内寛解[#All],MATCH($AL24,年齢階層×在院期間区分F3＿寛解・院内寛解[[#All],[行ラベル]],0),MATCH($AM$3,年齢階層×在院期間区分F3＿寛解・院内寛解[#Headers],0)),0)+IFERROR(INDEX(年齢階層×在院期間区分F3＿寛解・院内寛解[#All],MATCH($AL24,年齢階層×在院期間区分F3＿寛解・院内寛解[[#All],[行ラベル]],0),MATCH($AN$3,年齢階層×在院期間区分F3＿寛解・院内寛解[#Headers],0)),0)+IFERROR(INDEX(年齢階層×在院期間区分F3＿寛解・院内寛解[#All],MATCH($AL24,年齢階層×在院期間区分F3＿寛解・院内寛解[[#All],[行ラベル]],0),MATCH($AO$3,年齢階層×在院期間区分F3＿寛解・院内寛解[#Headers],0)),0)+IFERROR(INDEX(年齢階層×在院期間区分F3＿寛解・院内寛解[#All],MATCH($AL24,年齢階層×在院期間区分F3＿寛解・院内寛解[[#All],[行ラベル]],0),MATCH($AP$3,年齢階層×在院期間区分F3＿寛解・院内寛解[#Headers],0)),0)</f>
        <v>49</v>
      </c>
      <c r="D24" s="209">
        <f t="shared" si="7"/>
        <v>0.19600000000000001</v>
      </c>
      <c r="E24" s="208">
        <f>IFERROR(INDEX(年齢階層×在院期間区分F3＿寛解・院内寛解[#All],MATCH($AL24,年齢階層×在院期間区分F3＿寛解・院内寛解[[#All],[行ラベル]],0),MATCH($AQ$3,年齢階層×在院期間区分F3＿寛解・院内寛解[#Headers],0)),0)+IFERROR(INDEX(年齢階層×在院期間区分F3＿寛解・院内寛解[#All],MATCH($AL24,年齢階層×在院期間区分F3＿寛解・院内寛解[[#All],[行ラベル]],0),MATCH($AR$3,年齢階層×在院期間区分F3＿寛解・院内寛解[#Headers],0)),0)+IFERROR(INDEX(年齢階層×在院期間区分F3＿寛解・院内寛解[#All],MATCH($AL24,年齢階層×在院期間区分F3＿寛解・院内寛解[[#All],[行ラベル]],0),MATCH($AS$3,年齢階層×在院期間区分F3＿寛解・院内寛解[#Headers],0)),0)+IFERROR(INDEX(年齢階層×在院期間区分F3＿寛解・院内寛解[#All],MATCH($AL24,年齢階層×在院期間区分F3＿寛解・院内寛解[[#All],[行ラベル]],0),MATCH($AT$3,年齢階層×在院期間区分F3＿寛解・院内寛解[#Headers],0)),0)+IFERROR(INDEX(年齢階層×在院期間区分F3＿寛解・院内寛解[#All],MATCH($AL24,年齢階層×在院期間区分F3＿寛解・院内寛解[[#All],[行ラベル]],0),MATCH($AU$3,年齢階層×在院期間区分F3＿寛解・院内寛解[#Headers],0)),0)</f>
        <v>3</v>
      </c>
      <c r="F24" s="209">
        <f t="shared" si="8"/>
        <v>5.6603773584905662E-2</v>
      </c>
      <c r="G24" s="208">
        <f>IFERROR(INDEX(年齢階層×在院期間区分F3＿寛解・院内寛解[#All],MATCH($AL24,年齢階層×在院期間区分F3＿寛解・院内寛解[[#All],[行ラベル]],0),MATCH($AV$3,年齢階層×在院期間区分F3＿寛解・院内寛解[#Headers],0)),0)+IFERROR(INDEX(年齢階層×在院期間区分F3＿寛解・院内寛解[#All],MATCH($AL24,年齢階層×在院期間区分F3＿寛解・院内寛解[[#All],[行ラベル]],0),MATCH($AW$3,年齢階層×在院期間区分F3＿寛解・院内寛解[#Headers],0)),0)+IFERROR(INDEX(年齢階層×在院期間区分F3＿寛解・院内寛解[#All],MATCH($AL24,年齢階層×在院期間区分F3＿寛解・院内寛解[[#All],[行ラベル]],0),MATCH($AX$3,年齢階層×在院期間区分F3＿寛解・院内寛解[#Headers],0)),0)+IFERROR(INDEX(年齢階層×在院期間区分F3＿寛解・院内寛解[#All],MATCH($AL24,年齢階層×在院期間区分F3＿寛解・院内寛解[[#All],[行ラベル]],0),MATCH($AY$3,年齢階層×在院期間区分F3＿寛解・院内寛解[#Headers],0)),0)+IFERROR(INDEX(年齢階層×在院期間区分F3＿寛解・院内寛解[#All],MATCH($AL24,年齢階層×在院期間区分F3＿寛解・院内寛解[[#All],[行ラベル]],0),MATCH($AZ$3,年齢階層×在院期間区分F3＿寛解・院内寛解[#Headers],0)),0)</f>
        <v>1</v>
      </c>
      <c r="H24" s="209">
        <f t="shared" si="9"/>
        <v>7.1428571428571425E-2</v>
      </c>
      <c r="I24" s="232">
        <f>IFERROR(INDEX(年齢階層×在院期間区分F3＿寛解・院内寛解[#All],MATCH($AL24,年齢階層×在院期間区分F3＿寛解・院内寛解[[#All],[行ラベル]],0),MATCH($BA$3,年齢階層×在院期間区分F3＿寛解・院内寛解[#Headers],0)),0)+IFERROR(INDEX(年齢階層×在院期間区分F3＿寛解・院内寛解[#All],MATCH($AL24,年齢階層×在院期間区分F3＿寛解・院内寛解[[#All],[行ラベル]],0),MATCH($BB$3,年齢階層×在院期間区分F3＿寛解・院内寛解[#Headers],0)),0)</f>
        <v>0</v>
      </c>
      <c r="J24" s="209">
        <f t="shared" si="10"/>
        <v>0</v>
      </c>
      <c r="K24" s="208">
        <f t="shared" si="11"/>
        <v>53</v>
      </c>
      <c r="L24" s="209">
        <f t="shared" si="12"/>
        <v>0.16158536585365854</v>
      </c>
      <c r="O24" s="54" t="s">
        <v>6</v>
      </c>
      <c r="P24" s="66">
        <v>17</v>
      </c>
      <c r="Q24" s="66">
        <v>15</v>
      </c>
      <c r="R24" s="66">
        <v>10</v>
      </c>
      <c r="S24" s="66">
        <v>7</v>
      </c>
      <c r="T24" s="66">
        <v>1</v>
      </c>
      <c r="U24" s="66">
        <v>1</v>
      </c>
      <c r="V24" s="66">
        <v>0</v>
      </c>
      <c r="W24" s="66">
        <v>1</v>
      </c>
      <c r="X24" s="66">
        <v>0</v>
      </c>
      <c r="Y24" s="66">
        <v>0</v>
      </c>
      <c r="Z24" s="66">
        <v>1</v>
      </c>
      <c r="AA24" s="66">
        <v>0</v>
      </c>
      <c r="AB24" s="66">
        <v>0</v>
      </c>
      <c r="AC24" s="66">
        <v>0</v>
      </c>
      <c r="AD24" s="66">
        <v>0</v>
      </c>
      <c r="AE24" s="66"/>
      <c r="AF24" s="22"/>
      <c r="AG24" s="22"/>
      <c r="AL24" s="54" t="s">
        <v>6</v>
      </c>
    </row>
    <row r="25" spans="2:54" ht="18.75" customHeight="1" x14ac:dyDescent="0.15">
      <c r="B25" s="230" t="s">
        <v>7</v>
      </c>
      <c r="C25" s="208">
        <f>IFERROR(INDEX(年齢階層×在院期間区分F3＿寛解・院内寛解[#All],MATCH($AL25,年齢階層×在院期間区分F3＿寛解・院内寛解[[#All],[行ラベル]],0),MATCH($AM$3,年齢階層×在院期間区分F3＿寛解・院内寛解[#Headers],0)),0)+IFERROR(INDEX(年齢階層×在院期間区分F3＿寛解・院内寛解[#All],MATCH($AL25,年齢階層×在院期間区分F3＿寛解・院内寛解[[#All],[行ラベル]],0),MATCH($AN$3,年齢階層×在院期間区分F3＿寛解・院内寛解[#Headers],0)),0)+IFERROR(INDEX(年齢階層×在院期間区分F3＿寛解・院内寛解[#All],MATCH($AL25,年齢階層×在院期間区分F3＿寛解・院内寛解[[#All],[行ラベル]],0),MATCH($AO$3,年齢階層×在院期間区分F3＿寛解・院内寛解[#Headers],0)),0)+IFERROR(INDEX(年齢階層×在院期間区分F3＿寛解・院内寛解[#All],MATCH($AL25,年齢階層×在院期間区分F3＿寛解・院内寛解[[#All],[行ラベル]],0),MATCH($AP$3,年齢階層×在院期間区分F3＿寛解・院内寛解[#Headers],0)),0)</f>
        <v>52</v>
      </c>
      <c r="D25" s="209">
        <f t="shared" si="7"/>
        <v>0.20799999999999999</v>
      </c>
      <c r="E25" s="208">
        <f>IFERROR(INDEX(年齢階層×在院期間区分F3＿寛解・院内寛解[#All],MATCH($AL25,年齢階層×在院期間区分F3＿寛解・院内寛解[[#All],[行ラベル]],0),MATCH($AQ$3,年齢階層×在院期間区分F3＿寛解・院内寛解[#Headers],0)),0)+IFERROR(INDEX(年齢階層×在院期間区分F3＿寛解・院内寛解[#All],MATCH($AL25,年齢階層×在院期間区分F3＿寛解・院内寛解[[#All],[行ラベル]],0),MATCH($AR$3,年齢階層×在院期間区分F3＿寛解・院内寛解[#Headers],0)),0)+IFERROR(INDEX(年齢階層×在院期間区分F3＿寛解・院内寛解[#All],MATCH($AL25,年齢階層×在院期間区分F3＿寛解・院内寛解[[#All],[行ラベル]],0),MATCH($AS$3,年齢階層×在院期間区分F3＿寛解・院内寛解[#Headers],0)),0)+IFERROR(INDEX(年齢階層×在院期間区分F3＿寛解・院内寛解[#All],MATCH($AL25,年齢階層×在院期間区分F3＿寛解・院内寛解[[#All],[行ラベル]],0),MATCH($AT$3,年齢階層×在院期間区分F3＿寛解・院内寛解[#Headers],0)),0)+IFERROR(INDEX(年齢階層×在院期間区分F3＿寛解・院内寛解[#All],MATCH($AL25,年齢階層×在院期間区分F3＿寛解・院内寛解[[#All],[行ラベル]],0),MATCH($AU$3,年齢階層×在院期間区分F3＿寛解・院内寛解[#Headers],0)),0)</f>
        <v>13</v>
      </c>
      <c r="F25" s="209">
        <f t="shared" si="8"/>
        <v>0.24528301886792453</v>
      </c>
      <c r="G25" s="208">
        <f>IFERROR(INDEX(年齢階層×在院期間区分F3＿寛解・院内寛解[#All],MATCH($AL25,年齢階層×在院期間区分F3＿寛解・院内寛解[[#All],[行ラベル]],0),MATCH($AV$3,年齢階層×在院期間区分F3＿寛解・院内寛解[#Headers],0)),0)+IFERROR(INDEX(年齢階層×在院期間区分F3＿寛解・院内寛解[#All],MATCH($AL25,年齢階層×在院期間区分F3＿寛解・院内寛解[[#All],[行ラベル]],0),MATCH($AW$3,年齢階層×在院期間区分F3＿寛解・院内寛解[#Headers],0)),0)+IFERROR(INDEX(年齢階層×在院期間区分F3＿寛解・院内寛解[#All],MATCH($AL25,年齢階層×在院期間区分F3＿寛解・院内寛解[[#All],[行ラベル]],0),MATCH($AX$3,年齢階層×在院期間区分F3＿寛解・院内寛解[#Headers],0)),0)+IFERROR(INDEX(年齢階層×在院期間区分F3＿寛解・院内寛解[#All],MATCH($AL25,年齢階層×在院期間区分F3＿寛解・院内寛解[[#All],[行ラベル]],0),MATCH($AY$3,年齢階層×在院期間区分F3＿寛解・院内寛解[#Headers],0)),0)+IFERROR(INDEX(年齢階層×在院期間区分F3＿寛解・院内寛解[#All],MATCH($AL25,年齢階層×在院期間区分F3＿寛解・院内寛解[[#All],[行ラベル]],0),MATCH($AZ$3,年齢階層×在院期間区分F3＿寛解・院内寛解[#Headers],0)),0)</f>
        <v>1</v>
      </c>
      <c r="H25" s="209">
        <f t="shared" si="9"/>
        <v>7.1428571428571425E-2</v>
      </c>
      <c r="I25" s="208">
        <f>IFERROR(INDEX(年齢階層×在院期間区分F3＿寛解・院内寛解[#All],MATCH($AL25,年齢階層×在院期間区分F3＿寛解・院内寛解[[#All],[行ラベル]],0),MATCH($BA$3,年齢階層×在院期間区分F3＿寛解・院内寛解[#Headers],0)),0)+IFERROR(INDEX(年齢階層×在院期間区分F3＿寛解・院内寛解[#All],MATCH($AL25,年齢階層×在院期間区分F3＿寛解・院内寛解[[#All],[行ラベル]],0),MATCH($BB$3,年齢階層×在院期間区分F3＿寛解・院内寛解[#Headers],0)),0)</f>
        <v>2</v>
      </c>
      <c r="J25" s="209">
        <f t="shared" si="10"/>
        <v>0.18181818181818182</v>
      </c>
      <c r="K25" s="208">
        <f t="shared" si="11"/>
        <v>68</v>
      </c>
      <c r="L25" s="209">
        <f t="shared" si="12"/>
        <v>0.2073170731707317</v>
      </c>
      <c r="O25" s="54" t="s">
        <v>7</v>
      </c>
      <c r="P25" s="66">
        <v>17</v>
      </c>
      <c r="Q25" s="66">
        <v>20</v>
      </c>
      <c r="R25" s="66">
        <v>9</v>
      </c>
      <c r="S25" s="66">
        <v>6</v>
      </c>
      <c r="T25" s="66">
        <v>5</v>
      </c>
      <c r="U25" s="66">
        <v>3</v>
      </c>
      <c r="V25" s="66">
        <v>3</v>
      </c>
      <c r="W25" s="66">
        <v>1</v>
      </c>
      <c r="X25" s="66">
        <v>1</v>
      </c>
      <c r="Y25" s="66">
        <v>0</v>
      </c>
      <c r="Z25" s="66">
        <v>0</v>
      </c>
      <c r="AA25" s="66">
        <v>1</v>
      </c>
      <c r="AB25" s="66">
        <v>0</v>
      </c>
      <c r="AC25" s="66">
        <v>1</v>
      </c>
      <c r="AD25" s="66">
        <v>1</v>
      </c>
      <c r="AE25" s="66"/>
      <c r="AF25" s="22"/>
      <c r="AG25" s="22"/>
      <c r="AL25" s="54" t="s">
        <v>7</v>
      </c>
    </row>
    <row r="26" spans="2:54" ht="18.75" customHeight="1" x14ac:dyDescent="0.15">
      <c r="B26" s="230" t="s">
        <v>8</v>
      </c>
      <c r="C26" s="208">
        <f>IFERROR(INDEX(年齢階層×在院期間区分F3＿寛解・院内寛解[#All],MATCH($AL26,年齢階層×在院期間区分F3＿寛解・院内寛解[[#All],[行ラベル]],0),MATCH($AM$3,年齢階層×在院期間区分F3＿寛解・院内寛解[#Headers],0)),0)+IFERROR(INDEX(年齢階層×在院期間区分F3＿寛解・院内寛解[#All],MATCH($AL26,年齢階層×在院期間区分F3＿寛解・院内寛解[[#All],[行ラベル]],0),MATCH($AN$3,年齢階層×在院期間区分F3＿寛解・院内寛解[#Headers],0)),0)+IFERROR(INDEX(年齢階層×在院期間区分F3＿寛解・院内寛解[#All],MATCH($AL26,年齢階層×在院期間区分F3＿寛解・院内寛解[[#All],[行ラベル]],0),MATCH($AO$3,年齢階層×在院期間区分F3＿寛解・院内寛解[#Headers],0)),0)+IFERROR(INDEX(年齢階層×在院期間区分F3＿寛解・院内寛解[#All],MATCH($AL26,年齢階層×在院期間区分F3＿寛解・院内寛解[[#All],[行ラベル]],0),MATCH($AP$3,年齢階層×在院期間区分F3＿寛解・院内寛解[#Headers],0)),0)</f>
        <v>56</v>
      </c>
      <c r="D26" s="209">
        <f t="shared" si="7"/>
        <v>0.224</v>
      </c>
      <c r="E26" s="232">
        <f>IFERROR(INDEX(年齢階層×在院期間区分F3＿寛解・院内寛解[#All],MATCH($AL26,年齢階層×在院期間区分F3＿寛解・院内寛解[[#All],[行ラベル]],0),MATCH($AQ$3,年齢階層×在院期間区分F3＿寛解・院内寛解[#Headers],0)),0)+IFERROR(INDEX(年齢階層×在院期間区分F3＿寛解・院内寛解[#All],MATCH($AL26,年齢階層×在院期間区分F3＿寛解・院内寛解[[#All],[行ラベル]],0),MATCH($AR$3,年齢階層×在院期間区分F3＿寛解・院内寛解[#Headers],0)),0)+IFERROR(INDEX(年齢階層×在院期間区分F3＿寛解・院内寛解[#All],MATCH($AL26,年齢階層×在院期間区分F3＿寛解・院内寛解[[#All],[行ラベル]],0),MATCH($AS$3,年齢階層×在院期間区分F3＿寛解・院内寛解[#Headers],0)),0)+IFERROR(INDEX(年齢階層×在院期間区分F3＿寛解・院内寛解[#All],MATCH($AL26,年齢階層×在院期間区分F3＿寛解・院内寛解[[#All],[行ラベル]],0),MATCH($AT$3,年齢階層×在院期間区分F3＿寛解・院内寛解[#Headers],0)),0)+IFERROR(INDEX(年齢階層×在院期間区分F3＿寛解・院内寛解[#All],MATCH($AL26,年齢階層×在院期間区分F3＿寛解・院内寛解[[#All],[行ラベル]],0),MATCH($AU$3,年齢階層×在院期間区分F3＿寛解・院内寛解[#Headers],0)),0)</f>
        <v>25</v>
      </c>
      <c r="F26" s="209">
        <f t="shared" si="8"/>
        <v>0.47169811320754718</v>
      </c>
      <c r="G26" s="232">
        <f>IFERROR(INDEX(年齢階層×在院期間区分F3＿寛解・院内寛解[#All],MATCH($AL26,年齢階層×在院期間区分F3＿寛解・院内寛解[[#All],[行ラベル]],0),MATCH($AV$3,年齢階層×在院期間区分F3＿寛解・院内寛解[#Headers],0)),0)+IFERROR(INDEX(年齢階層×在院期間区分F3＿寛解・院内寛解[#All],MATCH($AL26,年齢階層×在院期間区分F3＿寛解・院内寛解[[#All],[行ラベル]],0),MATCH($AW$3,年齢階層×在院期間区分F3＿寛解・院内寛解[#Headers],0)),0)+IFERROR(INDEX(年齢階層×在院期間区分F3＿寛解・院内寛解[#All],MATCH($AL26,年齢階層×在院期間区分F3＿寛解・院内寛解[[#All],[行ラベル]],0),MATCH($AX$3,年齢階層×在院期間区分F3＿寛解・院内寛解[#Headers],0)),0)+IFERROR(INDEX(年齢階層×在院期間区分F3＿寛解・院内寛解[#All],MATCH($AL26,年齢階層×在院期間区分F3＿寛解・院内寛解[[#All],[行ラベル]],0),MATCH($AY$3,年齢階層×在院期間区分F3＿寛解・院内寛解[#Headers],0)),0)+IFERROR(INDEX(年齢階層×在院期間区分F3＿寛解・院内寛解[#All],MATCH($AL26,年齢階層×在院期間区分F3＿寛解・院内寛解[[#All],[行ラベル]],0),MATCH($AZ$3,年齢階層×在院期間区分F3＿寛解・院内寛解[#Headers],0)),0)</f>
        <v>6</v>
      </c>
      <c r="H26" s="209">
        <f t="shared" si="9"/>
        <v>0.42857142857142855</v>
      </c>
      <c r="I26" s="232">
        <f>IFERROR(INDEX(年齢階層×在院期間区分F3＿寛解・院内寛解[#All],MATCH($AL26,年齢階層×在院期間区分F3＿寛解・院内寛解[[#All],[行ラベル]],0),MATCH($BA$3,年齢階層×在院期間区分F3＿寛解・院内寛解[#Headers],0)),0)+IFERROR(INDEX(年齢階層×在院期間区分F3＿寛解・院内寛解[#All],MATCH($AL26,年齢階層×在院期間区分F3＿寛解・院内寛解[[#All],[行ラベル]],0),MATCH($BB$3,年齢階層×在院期間区分F3＿寛解・院内寛解[#Headers],0)),0)</f>
        <v>5</v>
      </c>
      <c r="J26" s="209">
        <f t="shared" si="10"/>
        <v>0.45454545454545453</v>
      </c>
      <c r="K26" s="208">
        <f t="shared" si="11"/>
        <v>92</v>
      </c>
      <c r="L26" s="209">
        <f t="shared" si="12"/>
        <v>0.28048780487804881</v>
      </c>
      <c r="O26" s="54" t="s">
        <v>8</v>
      </c>
      <c r="P26" s="66">
        <v>17</v>
      </c>
      <c r="Q26" s="66">
        <v>20</v>
      </c>
      <c r="R26" s="66">
        <v>9</v>
      </c>
      <c r="S26" s="66">
        <v>10</v>
      </c>
      <c r="T26" s="66">
        <v>5</v>
      </c>
      <c r="U26" s="66">
        <v>3</v>
      </c>
      <c r="V26" s="66">
        <v>9</v>
      </c>
      <c r="W26" s="66">
        <v>5</v>
      </c>
      <c r="X26" s="66">
        <v>3</v>
      </c>
      <c r="Y26" s="66">
        <v>2</v>
      </c>
      <c r="Z26" s="66">
        <v>0</v>
      </c>
      <c r="AA26" s="66">
        <v>2</v>
      </c>
      <c r="AB26" s="66">
        <v>2</v>
      </c>
      <c r="AC26" s="66">
        <v>5</v>
      </c>
      <c r="AD26" s="66">
        <v>0</v>
      </c>
      <c r="AE26" s="66"/>
      <c r="AF26" s="22"/>
      <c r="AG26" s="22"/>
      <c r="AL26" s="54" t="s">
        <v>8</v>
      </c>
    </row>
    <row r="27" spans="2:54" ht="18.75" customHeight="1" x14ac:dyDescent="0.15">
      <c r="B27" s="230" t="s">
        <v>9</v>
      </c>
      <c r="C27" s="208">
        <f>IFERROR(INDEX(年齢階層×在院期間区分F3＿寛解・院内寛解[#All],MATCH($AL27,年齢階層×在院期間区分F3＿寛解・院内寛解[[#All],[行ラベル]],0),MATCH($AM$3,年齢階層×在院期間区分F3＿寛解・院内寛解[#Headers],0)),0)+IFERROR(INDEX(年齢階層×在院期間区分F3＿寛解・院内寛解[#All],MATCH($AL27,年齢階層×在院期間区分F3＿寛解・院内寛解[[#All],[行ラベル]],0),MATCH($AN$3,年齢階層×在院期間区分F3＿寛解・院内寛解[#Headers],0)),0)+IFERROR(INDEX(年齢階層×在院期間区分F3＿寛解・院内寛解[#All],MATCH($AL27,年齢階層×在院期間区分F3＿寛解・院内寛解[[#All],[行ラベル]],0),MATCH($AO$3,年齢階層×在院期間区分F3＿寛解・院内寛解[#Headers],0)),0)+IFERROR(INDEX(年齢階層×在院期間区分F3＿寛解・院内寛解[#All],MATCH($AL27,年齢階層×在院期間区分F3＿寛解・院内寛解[[#All],[行ラベル]],0),MATCH($AP$3,年齢階層×在院期間区分F3＿寛解・院内寛解[#Headers],0)),0)</f>
        <v>31</v>
      </c>
      <c r="D27" s="209">
        <f t="shared" si="7"/>
        <v>0.124</v>
      </c>
      <c r="E27" s="208">
        <f>IFERROR(INDEX(年齢階層×在院期間区分F3＿寛解・院内寛解[#All],MATCH($AL27,年齢階層×在院期間区分F3＿寛解・院内寛解[[#All],[行ラベル]],0),MATCH($AQ$3,年齢階層×在院期間区分F3＿寛解・院内寛解[#Headers],0)),0)+IFERROR(INDEX(年齢階層×在院期間区分F3＿寛解・院内寛解[#All],MATCH($AL27,年齢階層×在院期間区分F3＿寛解・院内寛解[[#All],[行ラベル]],0),MATCH($AR$3,年齢階層×在院期間区分F3＿寛解・院内寛解[#Headers],0)),0)+IFERROR(INDEX(年齢階層×在院期間区分F3＿寛解・院内寛解[#All],MATCH($AL27,年齢階層×在院期間区分F3＿寛解・院内寛解[[#All],[行ラベル]],0),MATCH($AS$3,年齢階層×在院期間区分F3＿寛解・院内寛解[#Headers],0)),0)+IFERROR(INDEX(年齢階層×在院期間区分F3＿寛解・院内寛解[#All],MATCH($AL27,年齢階層×在院期間区分F3＿寛解・院内寛解[[#All],[行ラベル]],0),MATCH($AT$3,年齢階層×在院期間区分F3＿寛解・院内寛解[#Headers],0)),0)+IFERROR(INDEX(年齢階層×在院期間区分F3＿寛解・院内寛解[#All],MATCH($AL27,年齢階層×在院期間区分F3＿寛解・院内寛解[[#All],[行ラベル]],0),MATCH($AU$3,年齢階層×在院期間区分F3＿寛解・院内寛解[#Headers],0)),0)</f>
        <v>8</v>
      </c>
      <c r="F27" s="209">
        <f t="shared" si="8"/>
        <v>0.15094339622641509</v>
      </c>
      <c r="G27" s="208">
        <f>IFERROR(INDEX(年齢階層×在院期間区分F3＿寛解・院内寛解[#All],MATCH($AL27,年齢階層×在院期間区分F3＿寛解・院内寛解[[#All],[行ラベル]],0),MATCH($AV$3,年齢階層×在院期間区分F3＿寛解・院内寛解[#Headers],0)),0)+IFERROR(INDEX(年齢階層×在院期間区分F3＿寛解・院内寛解[#All],MATCH($AL27,年齢階層×在院期間区分F3＿寛解・院内寛解[[#All],[行ラベル]],0),MATCH($AW$3,年齢階層×在院期間区分F3＿寛解・院内寛解[#Headers],0)),0)+IFERROR(INDEX(年齢階層×在院期間区分F3＿寛解・院内寛解[#All],MATCH($AL27,年齢階層×在院期間区分F3＿寛解・院内寛解[[#All],[行ラベル]],0),MATCH($AX$3,年齢階層×在院期間区分F3＿寛解・院内寛解[#Headers],0)),0)+IFERROR(INDEX(年齢階層×在院期間区分F3＿寛解・院内寛解[#All],MATCH($AL27,年齢階層×在院期間区分F3＿寛解・院内寛解[[#All],[行ラベル]],0),MATCH($AY$3,年齢階層×在院期間区分F3＿寛解・院内寛解[#Headers],0)),0)+IFERROR(INDEX(年齢階層×在院期間区分F3＿寛解・院内寛解[#All],MATCH($AL27,年齢階層×在院期間区分F3＿寛解・院内寛解[[#All],[行ラベル]],0),MATCH($AZ$3,年齢階層×在院期間区分F3＿寛解・院内寛解[#Headers],0)),0)</f>
        <v>5</v>
      </c>
      <c r="H27" s="209">
        <f t="shared" si="9"/>
        <v>0.35714285714285715</v>
      </c>
      <c r="I27" s="231">
        <f>IFERROR(INDEX(年齢階層×在院期間区分F3＿寛解・院内寛解[#All],MATCH($AL27,年齢階層×在院期間区分F3＿寛解・院内寛解[[#All],[行ラベル]],0),MATCH($BA$3,年齢階層×在院期間区分F3＿寛解・院内寛解[#Headers],0)),0)+IFERROR(INDEX(年齢階層×在院期間区分F3＿寛解・院内寛解[#All],MATCH($AL27,年齢階層×在院期間区分F3＿寛解・院内寛解[[#All],[行ラベル]],0),MATCH($BB$3,年齢階層×在院期間区分F3＿寛解・院内寛解[#Headers],0)),0)</f>
        <v>3</v>
      </c>
      <c r="J27" s="209">
        <f t="shared" si="10"/>
        <v>0.27272727272727271</v>
      </c>
      <c r="K27" s="208">
        <f t="shared" si="11"/>
        <v>47</v>
      </c>
      <c r="L27" s="209">
        <f t="shared" si="12"/>
        <v>0.14329268292682926</v>
      </c>
      <c r="O27" s="54" t="s">
        <v>9</v>
      </c>
      <c r="P27" s="66">
        <v>11</v>
      </c>
      <c r="Q27" s="66">
        <v>9</v>
      </c>
      <c r="R27" s="66">
        <v>4</v>
      </c>
      <c r="S27" s="66">
        <v>7</v>
      </c>
      <c r="T27" s="66">
        <v>3</v>
      </c>
      <c r="U27" s="66">
        <v>1</v>
      </c>
      <c r="V27" s="66">
        <v>0</v>
      </c>
      <c r="W27" s="66">
        <v>4</v>
      </c>
      <c r="X27" s="66">
        <v>0</v>
      </c>
      <c r="Y27" s="66">
        <v>2</v>
      </c>
      <c r="Z27" s="66">
        <v>2</v>
      </c>
      <c r="AA27" s="66">
        <v>0</v>
      </c>
      <c r="AB27" s="66">
        <v>1</v>
      </c>
      <c r="AC27" s="66">
        <v>2</v>
      </c>
      <c r="AD27" s="66">
        <v>1</v>
      </c>
      <c r="AE27" s="66"/>
      <c r="AF27" s="22"/>
      <c r="AG27" s="22"/>
      <c r="AL27" s="54" t="s">
        <v>9</v>
      </c>
    </row>
    <row r="28" spans="2:54" ht="18.75" customHeight="1" thickBot="1" x14ac:dyDescent="0.2">
      <c r="B28" s="233" t="s">
        <v>10</v>
      </c>
      <c r="C28" s="234">
        <f>IFERROR(INDEX(年齢階層×在院期間区分F3＿寛解・院内寛解[#All],MATCH($AL28,年齢階層×在院期間区分F3＿寛解・院内寛解[[#All],[行ラベル]],0),MATCH($AM$3,年齢階層×在院期間区分F3＿寛解・院内寛解[#Headers],0)),0)+IFERROR(INDEX(年齢階層×在院期間区分F3＿寛解・院内寛解[#All],MATCH($AL28,年齢階層×在院期間区分F3＿寛解・院内寛解[[#All],[行ラベル]],0),MATCH($AN$3,年齢階層×在院期間区分F3＿寛解・院内寛解[#Headers],0)),0)+IFERROR(INDEX(年齢階層×在院期間区分F3＿寛解・院内寛解[#All],MATCH($AL28,年齢階層×在院期間区分F3＿寛解・院内寛解[[#All],[行ラベル]],0),MATCH($AO$3,年齢階層×在院期間区分F3＿寛解・院内寛解[#Headers],0)),0)+IFERROR(INDEX(年齢階層×在院期間区分F3＿寛解・院内寛解[#All],MATCH($AL28,年齢階層×在院期間区分F3＿寛解・院内寛解[[#All],[行ラベル]],0),MATCH($AP$3,年齢階層×在院期間区分F3＿寛解・院内寛解[#Headers],0)),0)</f>
        <v>2</v>
      </c>
      <c r="D28" s="213">
        <f t="shared" si="7"/>
        <v>8.0000000000000002E-3</v>
      </c>
      <c r="E28" s="234">
        <f>IFERROR(INDEX(年齢階層×在院期間区分F3＿寛解・院内寛解[#All],MATCH($AL28,年齢階層×在院期間区分F3＿寛解・院内寛解[[#All],[行ラベル]],0),MATCH($AQ$3,年齢階層×在院期間区分F3＿寛解・院内寛解[#Headers],0)),0)+IFERROR(INDEX(年齢階層×在院期間区分F3＿寛解・院内寛解[#All],MATCH($AL28,年齢階層×在院期間区分F3＿寛解・院内寛解[[#All],[行ラベル]],0),MATCH($AR$3,年齢階層×在院期間区分F3＿寛解・院内寛解[#Headers],0)),0)+IFERROR(INDEX(年齢階層×在院期間区分F3＿寛解・院内寛解[#All],MATCH($AL28,年齢階層×在院期間区分F3＿寛解・院内寛解[[#All],[行ラベル]],0),MATCH($AS$3,年齢階層×在院期間区分F3＿寛解・院内寛解[#Headers],0)),0)+IFERROR(INDEX(年齢階層×在院期間区分F3＿寛解・院内寛解[#All],MATCH($AL28,年齢階層×在院期間区分F3＿寛解・院内寛解[[#All],[行ラベル]],0),MATCH($AT$3,年齢階層×在院期間区分F3＿寛解・院内寛解[#Headers],0)),0)+IFERROR(INDEX(年齢階層×在院期間区分F3＿寛解・院内寛解[#All],MATCH($AL28,年齢階層×在院期間区分F3＿寛解・院内寛解[[#All],[行ラベル]],0),MATCH($AU$3,年齢階層×在院期間区分F3＿寛解・院内寛解[#Headers],0)),0)</f>
        <v>0</v>
      </c>
      <c r="F28" s="213">
        <f t="shared" si="8"/>
        <v>0</v>
      </c>
      <c r="G28" s="234">
        <f>IFERROR(INDEX(年齢階層×在院期間区分F3＿寛解・院内寛解[#All],MATCH($AL28,年齢階層×在院期間区分F3＿寛解・院内寛解[[#All],[行ラベル]],0),MATCH($AV$3,年齢階層×在院期間区分F3＿寛解・院内寛解[#Headers],0)),0)+IFERROR(INDEX(年齢階層×在院期間区分F3＿寛解・院内寛解[#All],MATCH($AL28,年齢階層×在院期間区分F3＿寛解・院内寛解[[#All],[行ラベル]],0),MATCH($AW$3,年齢階層×在院期間区分F3＿寛解・院内寛解[#Headers],0)),0)+IFERROR(INDEX(年齢階層×在院期間区分F3＿寛解・院内寛解[#All],MATCH($AL28,年齢階層×在院期間区分F3＿寛解・院内寛解[[#All],[行ラベル]],0),MATCH($AX$3,年齢階層×在院期間区分F3＿寛解・院内寛解[#Headers],0)),0)+IFERROR(INDEX(年齢階層×在院期間区分F3＿寛解・院内寛解[#All],MATCH($AL28,年齢階層×在院期間区分F3＿寛解・院内寛解[[#All],[行ラベル]],0),MATCH($AY$3,年齢階層×在院期間区分F3＿寛解・院内寛解[#Headers],0)),0)+IFERROR(INDEX(年齢階層×在院期間区分F3＿寛解・院内寛解[#All],MATCH($AL28,年齢階層×在院期間区分F3＿寛解・院内寛解[[#All],[行ラベル]],0),MATCH($AZ$3,年齢階層×在院期間区分F3＿寛解・院内寛解[#Headers],0)),0)</f>
        <v>0</v>
      </c>
      <c r="H28" s="213">
        <f t="shared" si="9"/>
        <v>0</v>
      </c>
      <c r="I28" s="211">
        <f>IFERROR(INDEX(年齢階層×在院期間区分F3＿寛解・院内寛解[#All],MATCH($AL28,年齢階層×在院期間区分F3＿寛解・院内寛解[[#All],[行ラベル]],0),MATCH($BA$3,年齢階層×在院期間区分F3＿寛解・院内寛解[#Headers],0)),0)+IFERROR(INDEX(年齢階層×在院期間区分F3＿寛解・院内寛解[#All],MATCH($AL28,年齢階層×在院期間区分F3＿寛解・院内寛解[[#All],[行ラベル]],0),MATCH($BB$3,年齢階層×在院期間区分F3＿寛解・院内寛解[#Headers],0)),0)</f>
        <v>1</v>
      </c>
      <c r="J28" s="213">
        <f t="shared" si="10"/>
        <v>9.0909090909090912E-2</v>
      </c>
      <c r="K28" s="211">
        <f t="shared" si="11"/>
        <v>3</v>
      </c>
      <c r="L28" s="213">
        <f t="shared" si="12"/>
        <v>9.1463414634146336E-3</v>
      </c>
      <c r="M28" s="78"/>
      <c r="O28" s="54" t="s">
        <v>10</v>
      </c>
      <c r="P28" s="66">
        <v>1</v>
      </c>
      <c r="Q28" s="66">
        <v>0</v>
      </c>
      <c r="R28" s="66">
        <v>0</v>
      </c>
      <c r="S28" s="66">
        <v>1</v>
      </c>
      <c r="T28" s="66">
        <v>0</v>
      </c>
      <c r="U28" s="66">
        <v>0</v>
      </c>
      <c r="V28" s="66">
        <v>0</v>
      </c>
      <c r="W28" s="66">
        <v>0</v>
      </c>
      <c r="X28" s="66">
        <v>0</v>
      </c>
      <c r="Y28" s="66">
        <v>0</v>
      </c>
      <c r="Z28" s="66">
        <v>0</v>
      </c>
      <c r="AA28" s="66">
        <v>0</v>
      </c>
      <c r="AB28" s="66">
        <v>0</v>
      </c>
      <c r="AC28" s="66">
        <v>1</v>
      </c>
      <c r="AD28" s="66">
        <v>0</v>
      </c>
      <c r="AE28" s="66"/>
      <c r="AF28" s="22"/>
      <c r="AG28" s="22"/>
      <c r="AL28" s="54" t="s">
        <v>10</v>
      </c>
    </row>
    <row r="29" spans="2:54" ht="18.75" customHeight="1" thickTop="1" thickBot="1" x14ac:dyDescent="0.2">
      <c r="B29" s="235" t="s">
        <v>162</v>
      </c>
      <c r="C29" s="236">
        <f t="shared" ref="C29:L29" si="13">SUM(C20:C28)</f>
        <v>250</v>
      </c>
      <c r="D29" s="243">
        <f t="shared" si="13"/>
        <v>1</v>
      </c>
      <c r="E29" s="236">
        <f t="shared" si="13"/>
        <v>53</v>
      </c>
      <c r="F29" s="243">
        <f t="shared" si="13"/>
        <v>1</v>
      </c>
      <c r="G29" s="236">
        <f t="shared" si="13"/>
        <v>14</v>
      </c>
      <c r="H29" s="243">
        <f t="shared" si="13"/>
        <v>1</v>
      </c>
      <c r="I29" s="236">
        <f t="shared" si="13"/>
        <v>11</v>
      </c>
      <c r="J29" s="243">
        <f t="shared" si="13"/>
        <v>1</v>
      </c>
      <c r="K29" s="236">
        <f t="shared" si="13"/>
        <v>328</v>
      </c>
      <c r="L29" s="243">
        <f t="shared" si="13"/>
        <v>1</v>
      </c>
      <c r="O29" s="430" t="s">
        <v>309</v>
      </c>
      <c r="P29" s="488" t="s">
        <v>183</v>
      </c>
      <c r="Q29" s="488" t="s">
        <v>184</v>
      </c>
      <c r="R29" s="488" t="s">
        <v>185</v>
      </c>
      <c r="S29" s="488" t="s">
        <v>186</v>
      </c>
      <c r="T29" s="488" t="s">
        <v>187</v>
      </c>
      <c r="U29" s="488" t="s">
        <v>188</v>
      </c>
      <c r="V29" s="488" t="s">
        <v>189</v>
      </c>
      <c r="W29" s="488" t="s">
        <v>190</v>
      </c>
      <c r="X29" s="488" t="s">
        <v>191</v>
      </c>
      <c r="Y29" s="488" t="s">
        <v>192</v>
      </c>
      <c r="Z29" s="488" t="s">
        <v>193</v>
      </c>
      <c r="AA29" s="488" t="s">
        <v>194</v>
      </c>
      <c r="AB29" s="488" t="s">
        <v>196</v>
      </c>
      <c r="AC29" s="488" t="s">
        <v>197</v>
      </c>
      <c r="AD29" s="488" t="s">
        <v>198</v>
      </c>
      <c r="AE29" s="487" t="s">
        <v>369</v>
      </c>
      <c r="AF29" s="22"/>
      <c r="AG29" s="22"/>
      <c r="AL29" s="22"/>
    </row>
    <row r="30" spans="2:54" ht="18.75" customHeight="1" thickTop="1" x14ac:dyDescent="0.15">
      <c r="B30" s="247" t="s">
        <v>93</v>
      </c>
      <c r="C30" s="248">
        <f>IFERROR(INDEX(年齢階層×在院期間区分F3_65歳未満以上＿寛解・院内寛解[#All],MATCH($AL30,年齢階層×在院期間区分F3_65歳未満以上＿寛解・院内寛解[[#All],[列1]],0),MATCH($AM$3,年齢階層×在院期間区分F3_65歳未満以上＿寛解・院内寛解[#Headers],0)),0)+IFERROR(INDEX(年齢階層×在院期間区分F3_65歳未満以上＿寛解・院内寛解[#All],MATCH($AL30,年齢階層×在院期間区分F3_65歳未満以上＿寛解・院内寛解[[#All],[列1]],0),MATCH($AN$3,年齢階層×在院期間区分F3_65歳未満以上＿寛解・院内寛解[#Headers],0)),0)+IFERROR(INDEX(年齢階層×在院期間区分F3_65歳未満以上＿寛解・院内寛解[#All],MATCH($AL30,年齢階層×在院期間区分F3_65歳未満以上＿寛解・院内寛解[[#All],[列1]],0),MATCH($AO$3,年齢階層×在院期間区分F3_65歳未満以上＿寛解・院内寛解[#Headers],0)),0)+IFERROR(INDEX(年齢階層×在院期間区分F3_65歳未満以上＿寛解・院内寛解[#All],MATCH($AL30,年齢階層×在院期間区分F3_65歳未満以上＿寛解・院内寛解[[#All],[列1]],0),MATCH($AP$3,年齢階層×在院期間区分F3_65歳未満以上＿寛解・院内寛解[#Headers],0)),0)</f>
        <v>131</v>
      </c>
      <c r="D30" s="224">
        <f>IFERROR(C30/$C$29,"-")</f>
        <v>0.52400000000000002</v>
      </c>
      <c r="E30" s="248">
        <f>IFERROR(INDEX(年齢階層×在院期間区分F3_65歳未満以上＿寛解・院内寛解[#All],MATCH($AL30,年齢階層×在院期間区分F3_65歳未満以上＿寛解・院内寛解[[#All],[列1]],0),MATCH($AQ$3,年齢階層×在院期間区分F3_65歳未満以上＿寛解・院内寛解[#Headers],0)),0)+IFERROR(INDEX(年齢階層×在院期間区分F3_65歳未満以上＿寛解・院内寛解[#All],MATCH($AL30,年齢階層×在院期間区分F3_65歳未満以上＿寛解・院内寛解[[#All],[列1]],0),MATCH($AR$3,年齢階層×在院期間区分F3_65歳未満以上＿寛解・院内寛解[#Headers],0)),0)+IFERROR(INDEX(年齢階層×在院期間区分F3_65歳未満以上＿寛解・院内寛解[#All],MATCH($AL30,年齢階層×在院期間区分F3_65歳未満以上＿寛解・院内寛解[[#All],[列1]],0),MATCH($AS$3,年齢階層×在院期間区分F3_65歳未満以上＿寛解・院内寛解[#Headers],0)),0)+IFERROR(INDEX(年齢階層×在院期間区分F3_65歳未満以上＿寛解・院内寛解[#All],MATCH($AL30,年齢階層×在院期間区分F3_65歳未満以上＿寛解・院内寛解[[#All],[列1]],0),MATCH($AT$3,年齢階層×在院期間区分F3_65歳未満以上＿寛解・院内寛解[#Headers],0)),0)+IFERROR(INDEX(年齢階層×在院期間区分F3_65歳未満以上＿寛解・院内寛解[#All],MATCH($AL30,年齢階層×在院期間区分F3_65歳未満以上＿寛解・院内寛解[[#All],[列1]],0),MATCH($AU$3,年齢階層×在院期間区分F3_65歳未満以上＿寛解・院内寛解[#Headers],0)),0)</f>
        <v>13</v>
      </c>
      <c r="F30" s="224">
        <f>IFERROR(E30/$E$29,"-")</f>
        <v>0.24528301886792453</v>
      </c>
      <c r="G30" s="248">
        <f>IFERROR(INDEX(年齢階層×在院期間区分F3_65歳未満以上＿寛解・院内寛解[#All],MATCH($AL30,年齢階層×在院期間区分F3_65歳未満以上＿寛解・院内寛解[[#All],[列1]],0),MATCH($AV$3,年齢階層×在院期間区分F3_65歳未満以上＿寛解・院内寛解[#Headers],0)),0)+IFERROR(INDEX(年齢階層×在院期間区分F3_65歳未満以上＿寛解・院内寛解[#All],MATCH($AL30,年齢階層×在院期間区分F3_65歳未満以上＿寛解・院内寛解[[#All],[列1]],0),MATCH($AW$3,年齢階層×在院期間区分F3_65歳未満以上＿寛解・院内寛解[#Headers],0)),0)+IFERROR(INDEX(年齢階層×在院期間区分F3_65歳未満以上＿寛解・院内寛解[#All],MATCH($AL30,年齢階層×在院期間区分F3_65歳未満以上＿寛解・院内寛解[[#All],[列1]],0),MATCH($AX$3,年齢階層×在院期間区分F3_65歳未満以上＿寛解・院内寛解[#Headers],0)),0)+IFERROR(INDEX(年齢階層×在院期間区分F3_65歳未満以上＿寛解・院内寛解[#All],MATCH($AL30,年齢階層×在院期間区分F3_65歳未満以上＿寛解・院内寛解[[#All],[列1]],0),MATCH($AY$3,年齢階層×在院期間区分F3_65歳未満以上＿寛解・院内寛解[#Headers],0)),0)+IFERROR(INDEX(年齢階層×在院期間区分F3_65歳未満以上＿寛解・院内寛解[#All],MATCH($AL30,年齢階層×在院期間区分F3_65歳未満以上＿寛解・院内寛解[[#All],[列1]],0),MATCH($AZ$3,年齢階層×在院期間区分F3_65歳未満以上＿寛解・院内寛解[#Headers],0)),0)</f>
        <v>2</v>
      </c>
      <c r="H30" s="224">
        <f>IFERROR(G30/$G$29,"-")</f>
        <v>0.14285714285714285</v>
      </c>
      <c r="I30" s="248">
        <f>IFERROR(INDEX(年齢階層×在院期間区分F3_65歳未満以上＿寛解・院内寛解[#All],MATCH($AL30,年齢階層×在院期間区分F3_65歳未満以上＿寛解・院内寛解[[#All],[列1]],0),MATCH($BA$3,年齢階層×在院期間区分F3_65歳未満以上＿寛解・院内寛解[#Headers],0)),0)+IFERROR(INDEX(年齢階層×在院期間区分F3_65歳未満以上＿寛解・院内寛解[#All],MATCH($AL30,年齢階層×在院期間区分F3_65歳未満以上＿寛解・院内寛解[[#All],[列1]],0),MATCH($BB$3,年齢階層×在院期間区分F3_65歳未満以上＿寛解・院内寛解[#Headers],0)),0)</f>
        <v>1</v>
      </c>
      <c r="J30" s="224">
        <f>IFERROR(I30/$I$29,"-")</f>
        <v>9.0909090909090912E-2</v>
      </c>
      <c r="K30" s="248">
        <f>C30+E30+G30+I30</f>
        <v>147</v>
      </c>
      <c r="L30" s="224">
        <f>IFERROR(K30/$K$29,"-")</f>
        <v>0.44817073170731708</v>
      </c>
      <c r="O30" s="54" t="s">
        <v>307</v>
      </c>
      <c r="P30" s="66">
        <v>50</v>
      </c>
      <c r="Q30" s="66">
        <v>52</v>
      </c>
      <c r="R30" s="66">
        <v>16</v>
      </c>
      <c r="S30" s="66">
        <v>13</v>
      </c>
      <c r="T30" s="66">
        <v>6</v>
      </c>
      <c r="U30" s="66">
        <v>3</v>
      </c>
      <c r="V30" s="66">
        <v>3</v>
      </c>
      <c r="W30" s="66">
        <v>1</v>
      </c>
      <c r="X30" s="66">
        <v>0</v>
      </c>
      <c r="Y30" s="66">
        <v>1</v>
      </c>
      <c r="Z30" s="66">
        <v>1</v>
      </c>
      <c r="AA30" s="66">
        <v>0</v>
      </c>
      <c r="AB30" s="66">
        <v>0</v>
      </c>
      <c r="AC30" s="66">
        <v>0</v>
      </c>
      <c r="AD30" s="66">
        <v>1</v>
      </c>
      <c r="AE30" s="66"/>
      <c r="AF30" s="22"/>
      <c r="AG30" s="22"/>
      <c r="AL30" s="83" t="s">
        <v>157</v>
      </c>
    </row>
    <row r="31" spans="2:54" ht="18.75" customHeight="1" x14ac:dyDescent="0.15">
      <c r="B31" s="249" t="s">
        <v>89</v>
      </c>
      <c r="C31" s="248">
        <f>IFERROR(INDEX(年齢階層×在院期間区分F3_65歳未満以上＿寛解・院内寛解[#All],MATCH($AL31,年齢階層×在院期間区分F3_65歳未満以上＿寛解・院内寛解[[#All],[列1]],0),MATCH($AM$3,年齢階層×在院期間区分F3_65歳未満以上＿寛解・院内寛解[#Headers],0)),0)+IFERROR(INDEX(年齢階層×在院期間区分F3_65歳未満以上＿寛解・院内寛解[#All],MATCH($AL31,年齢階層×在院期間区分F3_65歳未満以上＿寛解・院内寛解[[#All],[列1]],0),MATCH($AN$3,年齢階層×在院期間区分F3_65歳未満以上＿寛解・院内寛解[#Headers],0)),0)+IFERROR(INDEX(年齢階層×在院期間区分F3_65歳未満以上＿寛解・院内寛解[#All],MATCH($AL31,年齢階層×在院期間区分F3_65歳未満以上＿寛解・院内寛解[[#All],[列1]],0),MATCH($AO$3,年齢階層×在院期間区分F3_65歳未満以上＿寛解・院内寛解[#Headers],0)),0)+IFERROR(INDEX(年齢階層×在院期間区分F3_65歳未満以上＿寛解・院内寛解[#All],MATCH($AL31,年齢階層×在院期間区分F3_65歳未満以上＿寛解・院内寛解[[#All],[列1]],0),MATCH($AP$3,年齢階層×在院期間区分F3_65歳未満以上＿寛解・院内寛解[#Headers],0)),0)</f>
        <v>119</v>
      </c>
      <c r="D31" s="241">
        <f>IFERROR(C31/$C$29,"-")</f>
        <v>0.47599999999999998</v>
      </c>
      <c r="E31" s="248">
        <f>IFERROR(INDEX(年齢階層×在院期間区分F3_65歳未満以上＿寛解・院内寛解[#All],MATCH($AL31,年齢階層×在院期間区分F3_65歳未満以上＿寛解・院内寛解[[#All],[列1]],0),MATCH($AQ$3,年齢階層×在院期間区分F3_65歳未満以上＿寛解・院内寛解[#Headers],0)),0)+IFERROR(INDEX(年齢階層×在院期間区分F3_65歳未満以上＿寛解・院内寛解[#All],MATCH($AL31,年齢階層×在院期間区分F3_65歳未満以上＿寛解・院内寛解[[#All],[列1]],0),MATCH($AR$3,年齢階層×在院期間区分F3_65歳未満以上＿寛解・院内寛解[#Headers],0)),0)+IFERROR(INDEX(年齢階層×在院期間区分F3_65歳未満以上＿寛解・院内寛解[#All],MATCH($AL31,年齢階層×在院期間区分F3_65歳未満以上＿寛解・院内寛解[[#All],[列1]],0),MATCH($AS$3,年齢階層×在院期間区分F3_65歳未満以上＿寛解・院内寛解[#Headers],0)),0)+IFERROR(INDEX(年齢階層×在院期間区分F3_65歳未満以上＿寛解・院内寛解[#All],MATCH($AL31,年齢階層×在院期間区分F3_65歳未満以上＿寛解・院内寛解[[#All],[列1]],0),MATCH($AT$3,年齢階層×在院期間区分F3_65歳未満以上＿寛解・院内寛解[#Headers],0)),0)+IFERROR(INDEX(年齢階層×在院期間区分F3_65歳未満以上＿寛解・院内寛解[#All],MATCH($AL31,年齢階層×在院期間区分F3_65歳未満以上＿寛解・院内寛解[[#All],[列1]],0),MATCH($AU$3,年齢階層×在院期間区分F3_65歳未満以上＿寛解・院内寛解[#Headers],0)),0)</f>
        <v>40</v>
      </c>
      <c r="F31" s="241">
        <f>IFERROR(E31/$E$29,"-")</f>
        <v>0.75471698113207553</v>
      </c>
      <c r="G31" s="248">
        <f>IFERROR(INDEX(年齢階層×在院期間区分F3_65歳未満以上＿寛解・院内寛解[#All],MATCH($AL31,年齢階層×在院期間区分F3_65歳未満以上＿寛解・院内寛解[[#All],[列1]],0),MATCH($AV$3,年齢階層×在院期間区分F3_65歳未満以上＿寛解・院内寛解[#Headers],0)),0)+IFERROR(INDEX(年齢階層×在院期間区分F3_65歳未満以上＿寛解・院内寛解[#All],MATCH($AL31,年齢階層×在院期間区分F3_65歳未満以上＿寛解・院内寛解[[#All],[列1]],0),MATCH($AW$3,年齢階層×在院期間区分F3_65歳未満以上＿寛解・院内寛解[#Headers],0)),0)+IFERROR(INDEX(年齢階層×在院期間区分F3_65歳未満以上＿寛解・院内寛解[#All],MATCH($AL31,年齢階層×在院期間区分F3_65歳未満以上＿寛解・院内寛解[[#All],[列1]],0),MATCH($AX$3,年齢階層×在院期間区分F3_65歳未満以上＿寛解・院内寛解[#Headers],0)),0)+IFERROR(INDEX(年齢階層×在院期間区分F3_65歳未満以上＿寛解・院内寛解[#All],MATCH($AL31,年齢階層×在院期間区分F3_65歳未満以上＿寛解・院内寛解[[#All],[列1]],0),MATCH($AY$3,年齢階層×在院期間区分F3_65歳未満以上＿寛解・院内寛解[#Headers],0)),0)+IFERROR(INDEX(年齢階層×在院期間区分F3_65歳未満以上＿寛解・院内寛解[#All],MATCH($AL31,年齢階層×在院期間区分F3_65歳未満以上＿寛解・院内寛解[[#All],[列1]],0),MATCH($AZ$3,年齢階層×在院期間区分F3_65歳未満以上＿寛解・院内寛解[#Headers],0)),0)</f>
        <v>12</v>
      </c>
      <c r="H31" s="241">
        <f>IFERROR(G31/$G$29,"-")</f>
        <v>0.8571428571428571</v>
      </c>
      <c r="I31" s="248">
        <f>IFERROR(INDEX(年齢階層×在院期間区分F3_65歳未満以上＿寛解・院内寛解[#All],MATCH($AL31,年齢階層×在院期間区分F3_65歳未満以上＿寛解・院内寛解[[#All],[列1]],0),MATCH($BA$3,年齢階層×在院期間区分F3_65歳未満以上＿寛解・院内寛解[#Headers],0)),0)+IFERROR(INDEX(年齢階層×在院期間区分F3_65歳未満以上＿寛解・院内寛解[#All],MATCH($AL31,年齢階層×在院期間区分F3_65歳未満以上＿寛解・院内寛解[[#All],[列1]],0),MATCH($BB$3,年齢階層×在院期間区分F3_65歳未満以上＿寛解・院内寛解[#Headers],0)),0)</f>
        <v>10</v>
      </c>
      <c r="J31" s="241">
        <f>IFERROR(I31/$I$29,"-")</f>
        <v>0.90909090909090906</v>
      </c>
      <c r="K31" s="248">
        <f>C31+E31+G31+I31</f>
        <v>181</v>
      </c>
      <c r="L31" s="241">
        <f>IFERROR(K31/$K$29,"-")</f>
        <v>0.55182926829268297</v>
      </c>
      <c r="O31" s="83" t="s">
        <v>308</v>
      </c>
      <c r="P31" s="66">
        <v>40</v>
      </c>
      <c r="Q31" s="66">
        <v>38</v>
      </c>
      <c r="R31" s="66">
        <v>18</v>
      </c>
      <c r="S31" s="66">
        <v>23</v>
      </c>
      <c r="T31" s="66">
        <v>10</v>
      </c>
      <c r="U31" s="66">
        <v>5</v>
      </c>
      <c r="V31" s="66">
        <v>11</v>
      </c>
      <c r="W31" s="66">
        <v>10</v>
      </c>
      <c r="X31" s="66">
        <v>4</v>
      </c>
      <c r="Y31" s="66">
        <v>4</v>
      </c>
      <c r="Z31" s="66">
        <v>2</v>
      </c>
      <c r="AA31" s="66">
        <v>3</v>
      </c>
      <c r="AB31" s="66">
        <v>3</v>
      </c>
      <c r="AC31" s="66">
        <v>9</v>
      </c>
      <c r="AD31" s="66">
        <v>1</v>
      </c>
      <c r="AE31" s="66"/>
      <c r="AL31" s="83" t="s">
        <v>88</v>
      </c>
    </row>
    <row r="32" spans="2:54" x14ac:dyDescent="0.15">
      <c r="F32" s="67"/>
      <c r="H32" s="67"/>
      <c r="J32" s="67"/>
      <c r="K32" s="45"/>
    </row>
    <row r="34" spans="2:19" x14ac:dyDescent="0.15">
      <c r="C34" s="53"/>
      <c r="D34" s="62"/>
      <c r="E34" s="62"/>
      <c r="F34" s="62"/>
      <c r="G34" s="62"/>
      <c r="H34" s="62"/>
      <c r="I34" s="62"/>
      <c r="J34" s="62"/>
      <c r="K34" s="62"/>
      <c r="L34" s="62"/>
      <c r="M34" s="62"/>
      <c r="N34" s="62"/>
      <c r="O34" s="62"/>
      <c r="P34" s="62"/>
      <c r="Q34" s="62"/>
      <c r="R34" s="53"/>
    </row>
    <row r="35" spans="2:19" x14ac:dyDescent="0.15">
      <c r="B35" s="38"/>
      <c r="C35" s="23"/>
      <c r="D35" s="23"/>
      <c r="E35" s="23"/>
      <c r="F35" s="23"/>
      <c r="G35" s="23"/>
      <c r="H35" s="23"/>
      <c r="I35" s="23"/>
      <c r="J35" s="23"/>
      <c r="K35" s="23"/>
      <c r="L35" s="23"/>
      <c r="M35" s="23"/>
      <c r="N35" s="23"/>
      <c r="O35" s="23"/>
      <c r="P35" s="23"/>
      <c r="Q35" s="23"/>
      <c r="R35" s="23"/>
      <c r="S35" s="23"/>
    </row>
    <row r="36" spans="2:19" x14ac:dyDescent="0.15">
      <c r="B36" s="38"/>
      <c r="C36" s="23"/>
      <c r="D36" s="23"/>
      <c r="E36" s="23"/>
      <c r="F36" s="23"/>
      <c r="G36" s="23"/>
      <c r="H36" s="23"/>
      <c r="I36" s="23"/>
      <c r="J36" s="23"/>
      <c r="K36" s="23"/>
      <c r="L36" s="23"/>
      <c r="M36" s="23"/>
      <c r="N36" s="23"/>
      <c r="O36" s="23"/>
      <c r="P36" s="23"/>
      <c r="Q36" s="23"/>
      <c r="R36" s="23"/>
      <c r="S36" s="23"/>
    </row>
    <row r="37" spans="2:19" x14ac:dyDescent="0.15">
      <c r="B37" s="79"/>
      <c r="C37" s="80"/>
      <c r="D37" s="80"/>
      <c r="E37" s="80"/>
      <c r="F37" s="80"/>
      <c r="G37" s="80"/>
      <c r="H37" s="80"/>
      <c r="I37" s="80"/>
      <c r="J37" s="80"/>
      <c r="K37" s="80"/>
      <c r="L37" s="80"/>
      <c r="M37" s="80"/>
      <c r="N37" s="80"/>
      <c r="O37" s="80"/>
      <c r="P37" s="80"/>
      <c r="Q37" s="80"/>
      <c r="R37" s="80"/>
      <c r="S37" s="80"/>
    </row>
    <row r="38" spans="2:19" ht="35.25" customHeight="1" x14ac:dyDescent="0.15"/>
    <row r="39" spans="2:19" x14ac:dyDescent="0.15">
      <c r="B39" s="38"/>
      <c r="C39" s="23"/>
      <c r="D39" s="23"/>
      <c r="E39" s="23"/>
      <c r="F39" s="23"/>
      <c r="G39" s="23"/>
      <c r="H39" s="23"/>
      <c r="I39" s="23"/>
      <c r="J39" s="23"/>
      <c r="K39" s="23"/>
      <c r="L39" s="23"/>
      <c r="M39" s="23"/>
      <c r="N39" s="23"/>
      <c r="O39" s="23"/>
      <c r="P39" s="23"/>
      <c r="Q39" s="23"/>
      <c r="R39" s="23"/>
      <c r="S39" s="23"/>
    </row>
    <row r="40" spans="2:19" x14ac:dyDescent="0.15">
      <c r="B40" s="38"/>
      <c r="C40" s="23"/>
      <c r="D40" s="23"/>
      <c r="E40" s="23"/>
      <c r="F40" s="23"/>
      <c r="G40" s="23"/>
      <c r="H40" s="23"/>
      <c r="I40" s="23"/>
      <c r="J40" s="23"/>
      <c r="K40" s="23"/>
      <c r="L40" s="23"/>
      <c r="M40" s="23"/>
      <c r="N40" s="23"/>
      <c r="O40" s="23"/>
      <c r="P40" s="23"/>
      <c r="Q40" s="23"/>
      <c r="R40" s="23"/>
      <c r="S40" s="23"/>
    </row>
    <row r="41" spans="2:19" x14ac:dyDescent="0.15">
      <c r="B41" s="38"/>
      <c r="C41" s="23"/>
      <c r="D41" s="23"/>
      <c r="E41" s="23"/>
      <c r="F41" s="23"/>
      <c r="G41" s="23"/>
      <c r="H41" s="23"/>
      <c r="I41" s="23"/>
      <c r="J41" s="23"/>
      <c r="K41" s="23"/>
      <c r="L41" s="23"/>
      <c r="M41" s="23"/>
      <c r="N41" s="23"/>
      <c r="O41" s="23"/>
      <c r="P41" s="23"/>
      <c r="Q41" s="23"/>
      <c r="R41" s="23"/>
      <c r="S41" s="23"/>
    </row>
  </sheetData>
  <mergeCells count="14">
    <mergeCell ref="B2:B3"/>
    <mergeCell ref="C2:L2"/>
    <mergeCell ref="C3:D3"/>
    <mergeCell ref="E3:F3"/>
    <mergeCell ref="G3:H3"/>
    <mergeCell ref="I3:J3"/>
    <mergeCell ref="K3:L3"/>
    <mergeCell ref="B18:B19"/>
    <mergeCell ref="C18:L18"/>
    <mergeCell ref="C19:D19"/>
    <mergeCell ref="E19:F19"/>
    <mergeCell ref="G19:H19"/>
    <mergeCell ref="I19:J19"/>
    <mergeCell ref="K19:L19"/>
  </mergeCells>
  <phoneticPr fontId="2"/>
  <printOptions horizontalCentered="1"/>
  <pageMargins left="0.70866141732283472" right="0.70866141732283472" top="0.74803149606299213" bottom="0.74803149606299213" header="0.31496062992125984" footer="0.31496062992125984"/>
  <pageSetup paperSize="9" scale="93"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29697" r:id="rId4" name="Button 1">
              <controlPr defaultSize="0" print="0" autoFill="0" autoPict="0" macro="[0]!データ削除24">
                <anchor moveWithCells="1" sizeWithCells="1">
                  <from>
                    <xdr:col>31</xdr:col>
                    <xdr:colOff>361950</xdr:colOff>
                    <xdr:row>2</xdr:row>
                    <xdr:rowOff>180975</xdr:rowOff>
                  </from>
                  <to>
                    <xdr:col>34</xdr:col>
                    <xdr:colOff>504825</xdr:colOff>
                    <xdr:row>5</xdr:row>
                    <xdr:rowOff>38100</xdr:rowOff>
                  </to>
                </anchor>
              </controlPr>
            </control>
          </mc:Choice>
        </mc:AlternateContent>
      </controls>
    </mc:Choice>
  </mc:AlternateContent>
  <tableParts count="4">
    <tablePart r:id="rId5"/>
    <tablePart r:id="rId6"/>
    <tablePart r:id="rId7"/>
    <tablePart r:id="rId8"/>
  </tablePart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499984740745262"/>
    <pageSetUpPr fitToPage="1"/>
  </sheetPr>
  <dimension ref="A1:AF42"/>
  <sheetViews>
    <sheetView view="pageBreakPreview" zoomScale="120" zoomScaleNormal="100" zoomScaleSheetLayoutView="120" workbookViewId="0">
      <selection activeCell="L1" sqref="L1:AF1048576"/>
    </sheetView>
  </sheetViews>
  <sheetFormatPr defaultColWidth="13.75" defaultRowHeight="18.75" x14ac:dyDescent="0.15"/>
  <cols>
    <col min="1" max="1" width="15.625" style="1" customWidth="1"/>
    <col min="2" max="10" width="8.75" style="1" customWidth="1"/>
    <col min="11" max="11" width="8" style="1" customWidth="1"/>
    <col min="12" max="12" width="7.375" style="1" hidden="1" customWidth="1"/>
    <col min="13" max="32" width="4.75" style="1" hidden="1" customWidth="1"/>
    <col min="33" max="33" width="4.75" style="1" customWidth="1"/>
    <col min="34" max="16384" width="13.75" style="1"/>
  </cols>
  <sheetData>
    <row r="1" spans="1:31" s="3" customFormat="1" ht="19.5" x14ac:dyDescent="0.15">
      <c r="A1" s="2" t="s">
        <v>381</v>
      </c>
    </row>
    <row r="2" spans="1:31" x14ac:dyDescent="0.15">
      <c r="A2" s="4"/>
    </row>
    <row r="3" spans="1:31" ht="18.75" customHeight="1" x14ac:dyDescent="0.15">
      <c r="A3" s="508"/>
      <c r="B3" s="508" t="s">
        <v>382</v>
      </c>
      <c r="C3" s="508" t="s">
        <v>383</v>
      </c>
      <c r="D3" s="508" t="s">
        <v>384</v>
      </c>
      <c r="E3" s="508" t="s">
        <v>385</v>
      </c>
      <c r="F3" s="508" t="s">
        <v>386</v>
      </c>
      <c r="G3" s="508" t="s">
        <v>387</v>
      </c>
      <c r="H3" s="508" t="s">
        <v>388</v>
      </c>
      <c r="I3" s="508" t="s">
        <v>389</v>
      </c>
      <c r="J3" s="508" t="s">
        <v>62</v>
      </c>
      <c r="L3" s="43" t="s">
        <v>371</v>
      </c>
      <c r="M3" s="43" t="s">
        <v>390</v>
      </c>
      <c r="N3" s="43" t="s">
        <v>391</v>
      </c>
      <c r="O3" s="43" t="s">
        <v>392</v>
      </c>
      <c r="P3" s="43" t="s">
        <v>393</v>
      </c>
      <c r="Q3" s="43" t="s">
        <v>394</v>
      </c>
      <c r="R3" s="43" t="s">
        <v>395</v>
      </c>
      <c r="S3" s="43" t="s">
        <v>396</v>
      </c>
      <c r="T3" s="43" t="s">
        <v>397</v>
      </c>
      <c r="U3" s="43" t="s">
        <v>398</v>
      </c>
      <c r="V3" s="43" t="s">
        <v>399</v>
      </c>
      <c r="W3" s="43" t="s">
        <v>400</v>
      </c>
      <c r="X3" s="43" t="s">
        <v>401</v>
      </c>
      <c r="Y3" s="43" t="s">
        <v>402</v>
      </c>
      <c r="Z3" s="43" t="s">
        <v>403</v>
      </c>
      <c r="AA3" s="43" t="s">
        <v>404</v>
      </c>
      <c r="AB3" s="43" t="s">
        <v>405</v>
      </c>
      <c r="AC3" s="43" t="s">
        <v>406</v>
      </c>
      <c r="AD3" s="43" t="s">
        <v>407</v>
      </c>
      <c r="AE3" s="43" t="s">
        <v>263</v>
      </c>
    </row>
    <row r="4" spans="1:31" ht="18.75" customHeight="1" x14ac:dyDescent="0.15">
      <c r="A4" s="695" t="s">
        <v>2</v>
      </c>
      <c r="B4" s="509">
        <f>M4+N4+O4</f>
        <v>8</v>
      </c>
      <c r="C4" s="509">
        <f>P4+Q4</f>
        <v>3</v>
      </c>
      <c r="D4" s="509">
        <f>R4+S4+T4+U4</f>
        <v>33</v>
      </c>
      <c r="E4" s="509">
        <f>V4+W4</f>
        <v>6</v>
      </c>
      <c r="F4" s="509">
        <f>X4+Y4</f>
        <v>3</v>
      </c>
      <c r="G4" s="509">
        <f>Z4+AA4+AB4</f>
        <v>5</v>
      </c>
      <c r="H4" s="509">
        <f>AC4</f>
        <v>25</v>
      </c>
      <c r="I4" s="509">
        <f>AD4</f>
        <v>42</v>
      </c>
      <c r="J4" s="510">
        <f>SUM(B4:I4)</f>
        <v>125</v>
      </c>
      <c r="L4" s="511" t="s">
        <v>2</v>
      </c>
      <c r="M4" s="512"/>
      <c r="N4" s="512">
        <v>5</v>
      </c>
      <c r="O4" s="512">
        <v>3</v>
      </c>
      <c r="P4" s="512"/>
      <c r="Q4" s="512">
        <v>3</v>
      </c>
      <c r="R4" s="512">
        <v>32</v>
      </c>
      <c r="S4" s="512"/>
      <c r="T4" s="512">
        <v>1</v>
      </c>
      <c r="U4" s="512"/>
      <c r="V4" s="512">
        <v>2</v>
      </c>
      <c r="W4" s="512">
        <v>4</v>
      </c>
      <c r="X4" s="512"/>
      <c r="Y4" s="512">
        <v>3</v>
      </c>
      <c r="Z4" s="512">
        <v>1</v>
      </c>
      <c r="AA4" s="512">
        <v>3</v>
      </c>
      <c r="AB4" s="512">
        <v>1</v>
      </c>
      <c r="AC4" s="512">
        <v>25</v>
      </c>
      <c r="AD4" s="512">
        <v>42</v>
      </c>
      <c r="AE4" s="513">
        <f>SUM(M4:AD4)</f>
        <v>125</v>
      </c>
    </row>
    <row r="5" spans="1:31" ht="18.75" customHeight="1" x14ac:dyDescent="0.15">
      <c r="A5" s="697"/>
      <c r="B5" s="514">
        <f>B4/B$22</f>
        <v>4.4817927170868344E-3</v>
      </c>
      <c r="C5" s="514">
        <f t="shared" ref="C5:J5" si="0">C4/C$22</f>
        <v>1.4756517461878996E-3</v>
      </c>
      <c r="D5" s="514">
        <f t="shared" si="0"/>
        <v>2.3012552301255231E-2</v>
      </c>
      <c r="E5" s="514">
        <f t="shared" si="0"/>
        <v>4.3859649122807015E-3</v>
      </c>
      <c r="F5" s="514">
        <f t="shared" si="0"/>
        <v>2.3076923076923079E-3</v>
      </c>
      <c r="G5" s="514">
        <f t="shared" si="0"/>
        <v>9.2455621301775143E-4</v>
      </c>
      <c r="H5" s="514">
        <f t="shared" si="0"/>
        <v>0.13157894736842105</v>
      </c>
      <c r="I5" s="514">
        <f t="shared" si="0"/>
        <v>1.9653720168460457E-2</v>
      </c>
      <c r="J5" s="514">
        <f t="shared" si="0"/>
        <v>7.9846694346854038E-3</v>
      </c>
      <c r="L5" s="511" t="s">
        <v>3</v>
      </c>
      <c r="M5" s="512">
        <v>5</v>
      </c>
      <c r="N5" s="512">
        <v>31</v>
      </c>
      <c r="O5" s="512">
        <v>4</v>
      </c>
      <c r="P5" s="512">
        <v>14</v>
      </c>
      <c r="Q5" s="512">
        <v>10</v>
      </c>
      <c r="R5" s="512">
        <v>30</v>
      </c>
      <c r="S5" s="512">
        <v>4</v>
      </c>
      <c r="T5" s="512">
        <v>5</v>
      </c>
      <c r="U5" s="512"/>
      <c r="V5" s="512">
        <v>16</v>
      </c>
      <c r="W5" s="512">
        <v>20</v>
      </c>
      <c r="X5" s="512">
        <v>9</v>
      </c>
      <c r="Y5" s="512">
        <v>14</v>
      </c>
      <c r="Z5" s="512">
        <v>10</v>
      </c>
      <c r="AA5" s="512">
        <v>51</v>
      </c>
      <c r="AB5" s="512">
        <v>18</v>
      </c>
      <c r="AC5" s="512">
        <v>18</v>
      </c>
      <c r="AD5" s="512">
        <v>59</v>
      </c>
      <c r="AE5" s="513">
        <f t="shared" ref="AE5:AE12" si="1">SUM(M5:AD5)</f>
        <v>318</v>
      </c>
    </row>
    <row r="6" spans="1:31" ht="18.75" customHeight="1" x14ac:dyDescent="0.15">
      <c r="A6" s="695" t="s">
        <v>3</v>
      </c>
      <c r="B6" s="509">
        <f>M5+N5+O5</f>
        <v>40</v>
      </c>
      <c r="C6" s="509">
        <f>P5+Q5</f>
        <v>24</v>
      </c>
      <c r="D6" s="509">
        <f>R5+S5+T5+U5</f>
        <v>39</v>
      </c>
      <c r="E6" s="509">
        <f>V5+W5</f>
        <v>36</v>
      </c>
      <c r="F6" s="509">
        <f>X5+Y5</f>
        <v>23</v>
      </c>
      <c r="G6" s="509">
        <f>Z5+AA5+AB5</f>
        <v>79</v>
      </c>
      <c r="H6" s="509">
        <f>AC5</f>
        <v>18</v>
      </c>
      <c r="I6" s="509">
        <f>AD5</f>
        <v>59</v>
      </c>
      <c r="J6" s="510">
        <f>SUM(B6:I6)</f>
        <v>318</v>
      </c>
      <c r="L6" s="511" t="s">
        <v>4</v>
      </c>
      <c r="M6" s="512">
        <v>6</v>
      </c>
      <c r="N6" s="512">
        <v>69</v>
      </c>
      <c r="O6" s="512">
        <v>12</v>
      </c>
      <c r="P6" s="512">
        <v>31</v>
      </c>
      <c r="Q6" s="512">
        <v>31</v>
      </c>
      <c r="R6" s="512">
        <v>62</v>
      </c>
      <c r="S6" s="512">
        <v>15</v>
      </c>
      <c r="T6" s="512">
        <v>8</v>
      </c>
      <c r="U6" s="512">
        <v>3</v>
      </c>
      <c r="V6" s="512">
        <v>44</v>
      </c>
      <c r="W6" s="512">
        <v>44</v>
      </c>
      <c r="X6" s="512">
        <v>21</v>
      </c>
      <c r="Y6" s="512">
        <v>28</v>
      </c>
      <c r="Z6" s="512">
        <v>46</v>
      </c>
      <c r="AA6" s="512">
        <v>87</v>
      </c>
      <c r="AB6" s="512">
        <v>36</v>
      </c>
      <c r="AC6" s="512">
        <v>25</v>
      </c>
      <c r="AD6" s="512">
        <v>101</v>
      </c>
      <c r="AE6" s="513">
        <f t="shared" si="1"/>
        <v>669</v>
      </c>
    </row>
    <row r="7" spans="1:31" ht="18.75" customHeight="1" x14ac:dyDescent="0.15">
      <c r="A7" s="696"/>
      <c r="B7" s="514">
        <f>B6/B$22</f>
        <v>2.2408963585434174E-2</v>
      </c>
      <c r="C7" s="514">
        <f t="shared" ref="C7:J7" si="2">C6/C$22</f>
        <v>1.1805213969503197E-2</v>
      </c>
      <c r="D7" s="514">
        <f t="shared" si="2"/>
        <v>2.7196652719665274E-2</v>
      </c>
      <c r="E7" s="514">
        <f t="shared" si="2"/>
        <v>2.6315789473684209E-2</v>
      </c>
      <c r="F7" s="514">
        <f t="shared" si="2"/>
        <v>1.7692307692307691E-2</v>
      </c>
      <c r="G7" s="514">
        <f t="shared" si="2"/>
        <v>1.4607988165680473E-2</v>
      </c>
      <c r="H7" s="514">
        <f t="shared" si="2"/>
        <v>9.4736842105263161E-2</v>
      </c>
      <c r="I7" s="514">
        <f t="shared" si="2"/>
        <v>2.7608797379503978E-2</v>
      </c>
      <c r="J7" s="514">
        <f t="shared" si="2"/>
        <v>2.0312999041839669E-2</v>
      </c>
      <c r="L7" s="511" t="s">
        <v>5</v>
      </c>
      <c r="M7" s="512">
        <v>26</v>
      </c>
      <c r="N7" s="512">
        <v>122</v>
      </c>
      <c r="O7" s="512">
        <v>33</v>
      </c>
      <c r="P7" s="512">
        <v>88</v>
      </c>
      <c r="Q7" s="512">
        <v>56</v>
      </c>
      <c r="R7" s="512">
        <v>128</v>
      </c>
      <c r="S7" s="512">
        <v>44</v>
      </c>
      <c r="T7" s="512">
        <v>23</v>
      </c>
      <c r="U7" s="512">
        <v>18</v>
      </c>
      <c r="V7" s="512">
        <v>99</v>
      </c>
      <c r="W7" s="512">
        <v>67</v>
      </c>
      <c r="X7" s="512">
        <v>39</v>
      </c>
      <c r="Y7" s="512">
        <v>83</v>
      </c>
      <c r="Z7" s="512">
        <v>113</v>
      </c>
      <c r="AA7" s="512">
        <v>214</v>
      </c>
      <c r="AB7" s="512">
        <v>105</v>
      </c>
      <c r="AC7" s="512">
        <v>29</v>
      </c>
      <c r="AD7" s="512">
        <v>229</v>
      </c>
      <c r="AE7" s="513">
        <f t="shared" si="1"/>
        <v>1516</v>
      </c>
    </row>
    <row r="8" spans="1:31" ht="18.75" customHeight="1" x14ac:dyDescent="0.15">
      <c r="A8" s="695" t="s">
        <v>4</v>
      </c>
      <c r="B8" s="509">
        <f>M6+N6+O6</f>
        <v>87</v>
      </c>
      <c r="C8" s="509">
        <f>P6+Q6</f>
        <v>62</v>
      </c>
      <c r="D8" s="509">
        <f>R6+S6+T6+U6</f>
        <v>88</v>
      </c>
      <c r="E8" s="509">
        <f>V6+W6</f>
        <v>88</v>
      </c>
      <c r="F8" s="509">
        <f>X6+Y6</f>
        <v>49</v>
      </c>
      <c r="G8" s="509">
        <f>Z6+AA6+AB6</f>
        <v>169</v>
      </c>
      <c r="H8" s="509">
        <f>AC6</f>
        <v>25</v>
      </c>
      <c r="I8" s="509">
        <f>AD6</f>
        <v>101</v>
      </c>
      <c r="J8" s="510">
        <f>SUM(B8:I8)</f>
        <v>669</v>
      </c>
      <c r="L8" s="511" t="s">
        <v>6</v>
      </c>
      <c r="M8" s="512">
        <v>62</v>
      </c>
      <c r="N8" s="512">
        <v>157</v>
      </c>
      <c r="O8" s="512">
        <v>71</v>
      </c>
      <c r="P8" s="512">
        <v>213</v>
      </c>
      <c r="Q8" s="512">
        <v>106</v>
      </c>
      <c r="R8" s="512">
        <v>141</v>
      </c>
      <c r="S8" s="512">
        <v>44</v>
      </c>
      <c r="T8" s="512">
        <v>38</v>
      </c>
      <c r="U8" s="512">
        <v>26</v>
      </c>
      <c r="V8" s="512">
        <v>142</v>
      </c>
      <c r="W8" s="512">
        <v>106</v>
      </c>
      <c r="X8" s="512">
        <v>84</v>
      </c>
      <c r="Y8" s="512">
        <v>155</v>
      </c>
      <c r="Z8" s="512">
        <v>240</v>
      </c>
      <c r="AA8" s="512">
        <v>325</v>
      </c>
      <c r="AB8" s="512">
        <v>177</v>
      </c>
      <c r="AC8" s="512">
        <v>30</v>
      </c>
      <c r="AD8" s="512">
        <v>339</v>
      </c>
      <c r="AE8" s="513">
        <f t="shared" si="1"/>
        <v>2456</v>
      </c>
    </row>
    <row r="9" spans="1:31" ht="18.75" customHeight="1" x14ac:dyDescent="0.15">
      <c r="A9" s="696"/>
      <c r="B9" s="514">
        <f>B8/B$22</f>
        <v>4.8739495798319328E-2</v>
      </c>
      <c r="C9" s="514">
        <f t="shared" ref="C9:J9" si="3">C8/C$22</f>
        <v>3.0496802754549926E-2</v>
      </c>
      <c r="D9" s="514">
        <f t="shared" si="3"/>
        <v>6.1366806136680614E-2</v>
      </c>
      <c r="E9" s="514">
        <f t="shared" si="3"/>
        <v>6.4327485380116955E-2</v>
      </c>
      <c r="F9" s="514">
        <f t="shared" si="3"/>
        <v>3.7692307692307692E-2</v>
      </c>
      <c r="G9" s="514">
        <f t="shared" si="3"/>
        <v>3.125E-2</v>
      </c>
      <c r="H9" s="514">
        <f t="shared" si="3"/>
        <v>0.13157894736842105</v>
      </c>
      <c r="I9" s="514">
        <f t="shared" si="3"/>
        <v>4.7262517547964435E-2</v>
      </c>
      <c r="J9" s="514">
        <f t="shared" si="3"/>
        <v>4.2733950814436282E-2</v>
      </c>
      <c r="L9" s="511" t="s">
        <v>7</v>
      </c>
      <c r="M9" s="512">
        <v>112</v>
      </c>
      <c r="N9" s="512">
        <v>156</v>
      </c>
      <c r="O9" s="512">
        <v>83</v>
      </c>
      <c r="P9" s="512">
        <v>220</v>
      </c>
      <c r="Q9" s="512">
        <v>115</v>
      </c>
      <c r="R9" s="512">
        <v>102</v>
      </c>
      <c r="S9" s="512">
        <v>39</v>
      </c>
      <c r="T9" s="512">
        <v>61</v>
      </c>
      <c r="U9" s="512">
        <v>33</v>
      </c>
      <c r="V9" s="512">
        <v>148</v>
      </c>
      <c r="W9" s="512">
        <v>108</v>
      </c>
      <c r="X9" s="512">
        <v>101</v>
      </c>
      <c r="Y9" s="512">
        <v>181</v>
      </c>
      <c r="Z9" s="512">
        <v>314</v>
      </c>
      <c r="AA9" s="512">
        <v>442</v>
      </c>
      <c r="AB9" s="512">
        <v>202</v>
      </c>
      <c r="AC9" s="512">
        <v>29</v>
      </c>
      <c r="AD9" s="512">
        <v>360</v>
      </c>
      <c r="AE9" s="513">
        <f t="shared" si="1"/>
        <v>2806</v>
      </c>
    </row>
    <row r="10" spans="1:31" ht="18.75" customHeight="1" x14ac:dyDescent="0.15">
      <c r="A10" s="695" t="s">
        <v>5</v>
      </c>
      <c r="B10" s="509">
        <f>M7+N7+O7</f>
        <v>181</v>
      </c>
      <c r="C10" s="509">
        <f>P7+Q7</f>
        <v>144</v>
      </c>
      <c r="D10" s="509">
        <f>R7+S7+T7+U7</f>
        <v>213</v>
      </c>
      <c r="E10" s="509">
        <f>V7+W7</f>
        <v>166</v>
      </c>
      <c r="F10" s="509">
        <f>X7+Y7</f>
        <v>122</v>
      </c>
      <c r="G10" s="509">
        <f>Z7+AA7+AB7</f>
        <v>432</v>
      </c>
      <c r="H10" s="509">
        <f>AC7</f>
        <v>29</v>
      </c>
      <c r="I10" s="509">
        <f>AD7</f>
        <v>229</v>
      </c>
      <c r="J10" s="510">
        <f>SUM(B10:I10)</f>
        <v>1516</v>
      </c>
      <c r="L10" s="511" t="s">
        <v>8</v>
      </c>
      <c r="M10" s="512">
        <v>171</v>
      </c>
      <c r="N10" s="512">
        <v>210</v>
      </c>
      <c r="O10" s="512">
        <v>100</v>
      </c>
      <c r="P10" s="512">
        <v>353</v>
      </c>
      <c r="Q10" s="512">
        <v>198</v>
      </c>
      <c r="R10" s="512">
        <v>161</v>
      </c>
      <c r="S10" s="512">
        <v>52</v>
      </c>
      <c r="T10" s="512">
        <v>67</v>
      </c>
      <c r="U10" s="512">
        <v>68</v>
      </c>
      <c r="V10" s="512">
        <v>193</v>
      </c>
      <c r="W10" s="512">
        <v>128</v>
      </c>
      <c r="X10" s="512">
        <v>134</v>
      </c>
      <c r="Y10" s="512">
        <v>215</v>
      </c>
      <c r="Z10" s="512">
        <v>438</v>
      </c>
      <c r="AA10" s="512">
        <v>630</v>
      </c>
      <c r="AB10" s="512">
        <v>341</v>
      </c>
      <c r="AC10" s="512">
        <v>22</v>
      </c>
      <c r="AD10" s="512">
        <v>544</v>
      </c>
      <c r="AE10" s="513">
        <f t="shared" si="1"/>
        <v>4025</v>
      </c>
    </row>
    <row r="11" spans="1:31" ht="18.75" customHeight="1" x14ac:dyDescent="0.15">
      <c r="A11" s="696"/>
      <c r="B11" s="514">
        <f>B10/B$22</f>
        <v>0.10140056022408964</v>
      </c>
      <c r="C11" s="514">
        <f t="shared" ref="C11:J11" si="4">C10/C$22</f>
        <v>7.0831283817019183E-2</v>
      </c>
      <c r="D11" s="514">
        <f t="shared" si="4"/>
        <v>0.14853556485355648</v>
      </c>
      <c r="E11" s="514">
        <f t="shared" si="4"/>
        <v>0.12134502923976608</v>
      </c>
      <c r="F11" s="514">
        <f t="shared" si="4"/>
        <v>9.3846153846153843E-2</v>
      </c>
      <c r="G11" s="514">
        <f t="shared" si="4"/>
        <v>7.9881656804733733E-2</v>
      </c>
      <c r="H11" s="514">
        <f t="shared" si="4"/>
        <v>0.15263157894736842</v>
      </c>
      <c r="I11" s="514">
        <f t="shared" si="4"/>
        <v>0.10715956948993917</v>
      </c>
      <c r="J11" s="514">
        <f t="shared" si="4"/>
        <v>9.6838070903864579E-2</v>
      </c>
      <c r="L11" s="511" t="s">
        <v>9</v>
      </c>
      <c r="M11" s="512">
        <v>137</v>
      </c>
      <c r="N11" s="512">
        <v>142</v>
      </c>
      <c r="O11" s="512">
        <v>27</v>
      </c>
      <c r="P11" s="512">
        <v>321</v>
      </c>
      <c r="Q11" s="512">
        <v>151</v>
      </c>
      <c r="R11" s="512">
        <v>99</v>
      </c>
      <c r="S11" s="512">
        <v>26</v>
      </c>
      <c r="T11" s="512">
        <v>39</v>
      </c>
      <c r="U11" s="512">
        <v>43</v>
      </c>
      <c r="V11" s="512">
        <v>130</v>
      </c>
      <c r="W11" s="512">
        <v>83</v>
      </c>
      <c r="X11" s="512">
        <v>71</v>
      </c>
      <c r="Y11" s="512">
        <v>119</v>
      </c>
      <c r="Z11" s="512">
        <v>424</v>
      </c>
      <c r="AA11" s="512">
        <v>555</v>
      </c>
      <c r="AB11" s="512">
        <v>301</v>
      </c>
      <c r="AC11" s="512">
        <v>12</v>
      </c>
      <c r="AD11" s="512">
        <v>395</v>
      </c>
      <c r="AE11" s="513">
        <f t="shared" si="1"/>
        <v>3075</v>
      </c>
    </row>
    <row r="12" spans="1:31" ht="18.75" customHeight="1" x14ac:dyDescent="0.15">
      <c r="A12" s="695" t="s">
        <v>6</v>
      </c>
      <c r="B12" s="509">
        <f>M8+N8+O8</f>
        <v>290</v>
      </c>
      <c r="C12" s="509">
        <f>P8+Q8</f>
        <v>319</v>
      </c>
      <c r="D12" s="509">
        <f>R8+S8+T8+U8</f>
        <v>249</v>
      </c>
      <c r="E12" s="509">
        <f>V8+W8</f>
        <v>248</v>
      </c>
      <c r="F12" s="509">
        <f>X8+Y8</f>
        <v>239</v>
      </c>
      <c r="G12" s="509">
        <f>Z8+AA8+AB8</f>
        <v>742</v>
      </c>
      <c r="H12" s="509">
        <f>AC8</f>
        <v>30</v>
      </c>
      <c r="I12" s="509">
        <f>AD8</f>
        <v>339</v>
      </c>
      <c r="J12" s="510">
        <f>SUM(B12:I12)</f>
        <v>2456</v>
      </c>
      <c r="L12" s="511" t="s">
        <v>10</v>
      </c>
      <c r="M12" s="512">
        <v>18</v>
      </c>
      <c r="N12" s="512">
        <v>22</v>
      </c>
      <c r="O12" s="512">
        <v>1</v>
      </c>
      <c r="P12" s="512">
        <v>107</v>
      </c>
      <c r="Q12" s="512">
        <v>16</v>
      </c>
      <c r="R12" s="512">
        <v>12</v>
      </c>
      <c r="S12" s="512">
        <v>5</v>
      </c>
      <c r="T12" s="512">
        <v>2</v>
      </c>
      <c r="U12" s="512">
        <v>3</v>
      </c>
      <c r="V12" s="512">
        <v>17</v>
      </c>
      <c r="W12" s="512">
        <v>17</v>
      </c>
      <c r="X12" s="512">
        <v>11</v>
      </c>
      <c r="Y12" s="512">
        <v>32</v>
      </c>
      <c r="Z12" s="512">
        <v>92</v>
      </c>
      <c r="AA12" s="512">
        <v>175</v>
      </c>
      <c r="AB12" s="512">
        <v>67</v>
      </c>
      <c r="AC12" s="512"/>
      <c r="AD12" s="512">
        <v>68</v>
      </c>
      <c r="AE12" s="513">
        <f t="shared" si="1"/>
        <v>665</v>
      </c>
    </row>
    <row r="13" spans="1:31" ht="18.75" customHeight="1" x14ac:dyDescent="0.15">
      <c r="A13" s="696"/>
      <c r="B13" s="514">
        <f>B12/B$22</f>
        <v>0.16246498599439776</v>
      </c>
      <c r="C13" s="514">
        <f t="shared" ref="C13:J13" si="5">C12/C$22</f>
        <v>0.15691096901131332</v>
      </c>
      <c r="D13" s="514">
        <f t="shared" si="5"/>
        <v>0.17364016736401675</v>
      </c>
      <c r="E13" s="514">
        <f t="shared" si="5"/>
        <v>0.18128654970760233</v>
      </c>
      <c r="F13" s="514">
        <f t="shared" si="5"/>
        <v>0.18384615384615385</v>
      </c>
      <c r="G13" s="514">
        <f t="shared" si="5"/>
        <v>0.13720414201183431</v>
      </c>
      <c r="H13" s="514">
        <f t="shared" si="5"/>
        <v>0.15789473684210525</v>
      </c>
      <c r="I13" s="514">
        <f t="shared" si="5"/>
        <v>0.15863359850257369</v>
      </c>
      <c r="J13" s="514">
        <f t="shared" si="5"/>
        <v>0.15688278505269881</v>
      </c>
      <c r="L13" s="511" t="s">
        <v>263</v>
      </c>
      <c r="M13" s="512">
        <f>SUM(M4:M12)</f>
        <v>537</v>
      </c>
      <c r="N13" s="512">
        <f t="shared" ref="N13:AD13" si="6">SUM(N4:N12)</f>
        <v>914</v>
      </c>
      <c r="O13" s="512">
        <f t="shared" si="6"/>
        <v>334</v>
      </c>
      <c r="P13" s="512">
        <f t="shared" si="6"/>
        <v>1347</v>
      </c>
      <c r="Q13" s="512">
        <f t="shared" si="6"/>
        <v>686</v>
      </c>
      <c r="R13" s="512">
        <f t="shared" si="6"/>
        <v>767</v>
      </c>
      <c r="S13" s="512">
        <f t="shared" si="6"/>
        <v>229</v>
      </c>
      <c r="T13" s="512">
        <f t="shared" si="6"/>
        <v>244</v>
      </c>
      <c r="U13" s="512">
        <f t="shared" si="6"/>
        <v>194</v>
      </c>
      <c r="V13" s="512">
        <f t="shared" si="6"/>
        <v>791</v>
      </c>
      <c r="W13" s="512">
        <f t="shared" si="6"/>
        <v>577</v>
      </c>
      <c r="X13" s="512">
        <f t="shared" si="6"/>
        <v>470</v>
      </c>
      <c r="Y13" s="512">
        <f t="shared" si="6"/>
        <v>830</v>
      </c>
      <c r="Z13" s="512">
        <f t="shared" si="6"/>
        <v>1678</v>
      </c>
      <c r="AA13" s="512">
        <f t="shared" si="6"/>
        <v>2482</v>
      </c>
      <c r="AB13" s="512">
        <f t="shared" si="6"/>
        <v>1248</v>
      </c>
      <c r="AC13" s="512">
        <f t="shared" si="6"/>
        <v>190</v>
      </c>
      <c r="AD13" s="512">
        <f t="shared" si="6"/>
        <v>2137</v>
      </c>
      <c r="AE13" s="513">
        <f>SUM(AE4:AE12)</f>
        <v>15655</v>
      </c>
    </row>
    <row r="14" spans="1:31" ht="18.75" customHeight="1" x14ac:dyDescent="0.15">
      <c r="A14" s="695" t="s">
        <v>7</v>
      </c>
      <c r="B14" s="509">
        <f>M9+N9+O9</f>
        <v>351</v>
      </c>
      <c r="C14" s="509">
        <f>P9+Q9</f>
        <v>335</v>
      </c>
      <c r="D14" s="509">
        <f>R9+S9+T9+U9</f>
        <v>235</v>
      </c>
      <c r="E14" s="509">
        <f>V9+W9</f>
        <v>256</v>
      </c>
      <c r="F14" s="509">
        <f>X9+Y9</f>
        <v>282</v>
      </c>
      <c r="G14" s="509">
        <f>Z9+AA9+AB9</f>
        <v>958</v>
      </c>
      <c r="H14" s="509">
        <f>AC9</f>
        <v>29</v>
      </c>
      <c r="I14" s="509">
        <f>AD9</f>
        <v>360</v>
      </c>
      <c r="J14" s="510">
        <f>SUM(B14:I14)</f>
        <v>2806</v>
      </c>
    </row>
    <row r="15" spans="1:31" ht="18.75" customHeight="1" x14ac:dyDescent="0.15">
      <c r="A15" s="696"/>
      <c r="B15" s="514">
        <f>B14/B$22</f>
        <v>0.19663865546218487</v>
      </c>
      <c r="C15" s="514">
        <f t="shared" ref="C15:J15" si="7">C14/C$22</f>
        <v>0.1647811116576488</v>
      </c>
      <c r="D15" s="514">
        <f t="shared" si="7"/>
        <v>0.16387726638772665</v>
      </c>
      <c r="E15" s="514">
        <f t="shared" si="7"/>
        <v>0.1871345029239766</v>
      </c>
      <c r="F15" s="514">
        <f t="shared" si="7"/>
        <v>0.21692307692307691</v>
      </c>
      <c r="G15" s="514">
        <f t="shared" si="7"/>
        <v>0.17714497041420119</v>
      </c>
      <c r="H15" s="514">
        <f t="shared" si="7"/>
        <v>0.15263157894736842</v>
      </c>
      <c r="I15" s="514">
        <f t="shared" si="7"/>
        <v>0.16846045858680392</v>
      </c>
      <c r="J15" s="514">
        <f t="shared" si="7"/>
        <v>0.17923985946981794</v>
      </c>
      <c r="L15" s="511" t="s">
        <v>157</v>
      </c>
      <c r="M15" s="513">
        <v>145</v>
      </c>
      <c r="N15" s="513">
        <v>464</v>
      </c>
      <c r="O15" s="513">
        <v>159</v>
      </c>
      <c r="P15" s="513">
        <v>451</v>
      </c>
      <c r="Q15" s="513">
        <v>255</v>
      </c>
      <c r="R15" s="513">
        <v>427</v>
      </c>
      <c r="S15" s="513">
        <v>125</v>
      </c>
      <c r="T15" s="513">
        <v>93</v>
      </c>
      <c r="U15" s="513">
        <v>62</v>
      </c>
      <c r="V15" s="513">
        <v>367</v>
      </c>
      <c r="W15" s="513">
        <v>293</v>
      </c>
      <c r="X15" s="513">
        <v>193</v>
      </c>
      <c r="Y15" s="513">
        <v>375</v>
      </c>
      <c r="Z15" s="513">
        <v>562</v>
      </c>
      <c r="AA15" s="513">
        <v>856</v>
      </c>
      <c r="AB15" s="513">
        <v>414</v>
      </c>
      <c r="AC15" s="513">
        <v>141</v>
      </c>
      <c r="AD15" s="513">
        <v>948</v>
      </c>
      <c r="AE15" s="513">
        <v>6330</v>
      </c>
    </row>
    <row r="16" spans="1:31" ht="18.75" customHeight="1" x14ac:dyDescent="0.15">
      <c r="A16" s="695" t="s">
        <v>8</v>
      </c>
      <c r="B16" s="509">
        <f>M10+N10+O10</f>
        <v>481</v>
      </c>
      <c r="C16" s="509">
        <f>P10+Q10</f>
        <v>551</v>
      </c>
      <c r="D16" s="509">
        <f>R10+S10+T10+U10</f>
        <v>348</v>
      </c>
      <c r="E16" s="509">
        <f>V10+W10</f>
        <v>321</v>
      </c>
      <c r="F16" s="509">
        <f>X10+Y10</f>
        <v>349</v>
      </c>
      <c r="G16" s="509">
        <f>Z10+AA10+AB10</f>
        <v>1409</v>
      </c>
      <c r="H16" s="509">
        <f>AC10</f>
        <v>22</v>
      </c>
      <c r="I16" s="509">
        <f>AD10</f>
        <v>544</v>
      </c>
      <c r="J16" s="510">
        <f>SUM(B16:I16)</f>
        <v>4025</v>
      </c>
      <c r="L16" s="511" t="s">
        <v>266</v>
      </c>
      <c r="M16" s="513">
        <v>392</v>
      </c>
      <c r="N16" s="513">
        <v>450</v>
      </c>
      <c r="O16" s="513">
        <v>175</v>
      </c>
      <c r="P16" s="513">
        <v>896</v>
      </c>
      <c r="Q16" s="513">
        <v>431</v>
      </c>
      <c r="R16" s="513">
        <v>340</v>
      </c>
      <c r="S16" s="513">
        <v>104</v>
      </c>
      <c r="T16" s="513">
        <v>151</v>
      </c>
      <c r="U16" s="513">
        <v>132</v>
      </c>
      <c r="V16" s="513">
        <v>424</v>
      </c>
      <c r="W16" s="513">
        <v>284</v>
      </c>
      <c r="X16" s="513">
        <v>277</v>
      </c>
      <c r="Y16" s="513">
        <v>455</v>
      </c>
      <c r="Z16" s="513">
        <v>1116</v>
      </c>
      <c r="AA16" s="513">
        <v>1626</v>
      </c>
      <c r="AB16" s="513">
        <v>834</v>
      </c>
      <c r="AC16" s="513">
        <v>49</v>
      </c>
      <c r="AD16" s="513">
        <v>1189</v>
      </c>
      <c r="AE16" s="513">
        <v>9325</v>
      </c>
    </row>
    <row r="17" spans="1:19" ht="18.75" customHeight="1" x14ac:dyDescent="0.15">
      <c r="A17" s="696"/>
      <c r="B17" s="514">
        <f>B16/B$22</f>
        <v>0.26946778711484592</v>
      </c>
      <c r="C17" s="514">
        <f t="shared" ref="C17:J17" si="8">C16/C$22</f>
        <v>0.27102803738317754</v>
      </c>
      <c r="D17" s="514">
        <f t="shared" si="8"/>
        <v>0.24267782426778242</v>
      </c>
      <c r="E17" s="514">
        <f t="shared" si="8"/>
        <v>0.23464912280701755</v>
      </c>
      <c r="F17" s="514">
        <f t="shared" si="8"/>
        <v>0.26846153846153847</v>
      </c>
      <c r="G17" s="514">
        <f t="shared" si="8"/>
        <v>0.26053994082840237</v>
      </c>
      <c r="H17" s="514">
        <f t="shared" si="8"/>
        <v>0.11578947368421053</v>
      </c>
      <c r="I17" s="514">
        <f t="shared" si="8"/>
        <v>0.25456247075339261</v>
      </c>
      <c r="J17" s="514">
        <f t="shared" si="8"/>
        <v>0.25710635579687002</v>
      </c>
    </row>
    <row r="18" spans="1:19" ht="18.75" customHeight="1" x14ac:dyDescent="0.15">
      <c r="A18" s="695" t="s">
        <v>9</v>
      </c>
      <c r="B18" s="509">
        <f>M11+N11+O11</f>
        <v>306</v>
      </c>
      <c r="C18" s="509">
        <f>P11+Q11</f>
        <v>472</v>
      </c>
      <c r="D18" s="509">
        <f>R11+S11+T11+U11</f>
        <v>207</v>
      </c>
      <c r="E18" s="509">
        <f>V11+W11</f>
        <v>213</v>
      </c>
      <c r="F18" s="509">
        <f>X11+Y11</f>
        <v>190</v>
      </c>
      <c r="G18" s="509">
        <f>Z11+AA11+AB11</f>
        <v>1280</v>
      </c>
      <c r="H18" s="509">
        <f>AC11</f>
        <v>12</v>
      </c>
      <c r="I18" s="509">
        <f>AD11</f>
        <v>395</v>
      </c>
      <c r="J18" s="510">
        <f>SUM(B18:I18)</f>
        <v>3075</v>
      </c>
    </row>
    <row r="19" spans="1:19" ht="18.75" customHeight="1" x14ac:dyDescent="0.15">
      <c r="A19" s="696"/>
      <c r="B19" s="514">
        <f>B18/B$22</f>
        <v>0.17142857142857143</v>
      </c>
      <c r="C19" s="514">
        <f t="shared" ref="C19:J19" si="9">C18/C$22</f>
        <v>0.2321692080668962</v>
      </c>
      <c r="D19" s="514">
        <f t="shared" si="9"/>
        <v>0.14435146443514643</v>
      </c>
      <c r="E19" s="514">
        <f t="shared" si="9"/>
        <v>0.15570175438596492</v>
      </c>
      <c r="F19" s="514">
        <f t="shared" si="9"/>
        <v>0.14615384615384616</v>
      </c>
      <c r="G19" s="514">
        <f t="shared" si="9"/>
        <v>0.23668639053254437</v>
      </c>
      <c r="H19" s="514">
        <f t="shared" si="9"/>
        <v>6.3157894736842107E-2</v>
      </c>
      <c r="I19" s="514">
        <f t="shared" si="9"/>
        <v>0.18483855872718766</v>
      </c>
      <c r="J19" s="514">
        <f t="shared" si="9"/>
        <v>0.19642286809326093</v>
      </c>
    </row>
    <row r="20" spans="1:19" ht="18.75" customHeight="1" x14ac:dyDescent="0.15">
      <c r="A20" s="695" t="s">
        <v>10</v>
      </c>
      <c r="B20" s="509">
        <f>M12+N12+O12</f>
        <v>41</v>
      </c>
      <c r="C20" s="509">
        <f>P12+Q12</f>
        <v>123</v>
      </c>
      <c r="D20" s="509">
        <f>R12+S12+T12+U12</f>
        <v>22</v>
      </c>
      <c r="E20" s="509">
        <f>V12+W12</f>
        <v>34</v>
      </c>
      <c r="F20" s="509">
        <f>X12+Y12</f>
        <v>43</v>
      </c>
      <c r="G20" s="509">
        <f>Z12+AA12+AB12</f>
        <v>334</v>
      </c>
      <c r="H20" s="509">
        <f>AC12</f>
        <v>0</v>
      </c>
      <c r="I20" s="509">
        <f>AD12</f>
        <v>68</v>
      </c>
      <c r="J20" s="510">
        <f>SUM(B20:I20)</f>
        <v>665</v>
      </c>
    </row>
    <row r="21" spans="1:19" ht="18.75" customHeight="1" x14ac:dyDescent="0.15">
      <c r="A21" s="696"/>
      <c r="B21" s="514">
        <f>B20/B$22</f>
        <v>2.296918767507003E-2</v>
      </c>
      <c r="C21" s="514">
        <f t="shared" ref="C21:J21" si="10">C20/C$22</f>
        <v>6.0501721593703886E-2</v>
      </c>
      <c r="D21" s="514">
        <f t="shared" si="10"/>
        <v>1.5341701534170154E-2</v>
      </c>
      <c r="E21" s="514">
        <f t="shared" si="10"/>
        <v>2.4853801169590642E-2</v>
      </c>
      <c r="F21" s="514">
        <f t="shared" si="10"/>
        <v>3.307692307692308E-2</v>
      </c>
      <c r="G21" s="514">
        <f t="shared" si="10"/>
        <v>6.1760355029585802E-2</v>
      </c>
      <c r="H21" s="514">
        <f t="shared" si="10"/>
        <v>0</v>
      </c>
      <c r="I21" s="514">
        <f t="shared" si="10"/>
        <v>3.1820308844174076E-2</v>
      </c>
      <c r="J21" s="514">
        <f t="shared" si="10"/>
        <v>4.247844139252635E-2</v>
      </c>
    </row>
    <row r="22" spans="1:19" ht="18.75" customHeight="1" x14ac:dyDescent="0.15">
      <c r="A22" s="698" t="s">
        <v>162</v>
      </c>
      <c r="B22" s="515">
        <f>M13+N13+O13</f>
        <v>1785</v>
      </c>
      <c r="C22" s="515">
        <f>P13+Q13</f>
        <v>2033</v>
      </c>
      <c r="D22" s="515">
        <f>R13+S13+T13+U13</f>
        <v>1434</v>
      </c>
      <c r="E22" s="515">
        <f>V13+W13</f>
        <v>1368</v>
      </c>
      <c r="F22" s="515">
        <f>X13+Y13</f>
        <v>1300</v>
      </c>
      <c r="G22" s="515">
        <f>Z13+AA13+AB13</f>
        <v>5408</v>
      </c>
      <c r="H22" s="515">
        <f>AC13</f>
        <v>190</v>
      </c>
      <c r="I22" s="515">
        <f>AD13</f>
        <v>2137</v>
      </c>
      <c r="J22" s="516">
        <f>SUM(B22:I22)</f>
        <v>15655</v>
      </c>
    </row>
    <row r="23" spans="1:19" ht="18.75" customHeight="1" x14ac:dyDescent="0.15">
      <c r="A23" s="696"/>
      <c r="B23" s="517">
        <f>SUM(B5,B7,B9,B11,B13,B15,B17,B19,B21)</f>
        <v>1</v>
      </c>
      <c r="C23" s="517">
        <f t="shared" ref="C23:J23" si="11">SUM(C5,C7,C9,C11,C13,C15,C17,C19,C21)</f>
        <v>1</v>
      </c>
      <c r="D23" s="517">
        <f t="shared" si="11"/>
        <v>1.0000000000000002</v>
      </c>
      <c r="E23" s="517">
        <f t="shared" si="11"/>
        <v>1</v>
      </c>
      <c r="F23" s="517">
        <f t="shared" si="11"/>
        <v>1</v>
      </c>
      <c r="G23" s="517">
        <f t="shared" si="11"/>
        <v>1</v>
      </c>
      <c r="H23" s="517">
        <f t="shared" si="11"/>
        <v>1.0000000000000002</v>
      </c>
      <c r="I23" s="517">
        <f t="shared" si="11"/>
        <v>1</v>
      </c>
      <c r="J23" s="517">
        <f t="shared" si="11"/>
        <v>1</v>
      </c>
    </row>
    <row r="24" spans="1:19" ht="18.75" customHeight="1" x14ac:dyDescent="0.15">
      <c r="A24" s="695" t="s">
        <v>90</v>
      </c>
      <c r="B24" s="510">
        <f>M15+N15+O15</f>
        <v>768</v>
      </c>
      <c r="C24" s="510">
        <f>P15+Q15</f>
        <v>706</v>
      </c>
      <c r="D24" s="510">
        <f>R15+S15+T15+U15</f>
        <v>707</v>
      </c>
      <c r="E24" s="510">
        <f>V15+W15</f>
        <v>660</v>
      </c>
      <c r="F24" s="510">
        <f>X15+Y15</f>
        <v>568</v>
      </c>
      <c r="G24" s="510">
        <f>Z15+AA15+AB15</f>
        <v>1832</v>
      </c>
      <c r="H24" s="510">
        <f>AC15</f>
        <v>141</v>
      </c>
      <c r="I24" s="510">
        <f>AD15</f>
        <v>948</v>
      </c>
      <c r="J24" s="510">
        <f>SUM(B24:I24)</f>
        <v>6330</v>
      </c>
    </row>
    <row r="25" spans="1:19" ht="18.75" customHeight="1" x14ac:dyDescent="0.15">
      <c r="A25" s="696"/>
      <c r="B25" s="518">
        <f>B24/B$22</f>
        <v>0.43025210084033616</v>
      </c>
      <c r="C25" s="518">
        <f t="shared" ref="C25:J25" si="12">C24/C$22</f>
        <v>0.34727004426955238</v>
      </c>
      <c r="D25" s="518">
        <f t="shared" si="12"/>
        <v>0.49302649930264991</v>
      </c>
      <c r="E25" s="518">
        <f t="shared" si="12"/>
        <v>0.48245614035087719</v>
      </c>
      <c r="F25" s="518">
        <f t="shared" si="12"/>
        <v>0.43692307692307691</v>
      </c>
      <c r="G25" s="518">
        <f t="shared" si="12"/>
        <v>0.33875739644970415</v>
      </c>
      <c r="H25" s="518">
        <f t="shared" si="12"/>
        <v>0.74210526315789471</v>
      </c>
      <c r="I25" s="518">
        <f t="shared" si="12"/>
        <v>0.44361254094525038</v>
      </c>
      <c r="J25" s="518">
        <f t="shared" si="12"/>
        <v>0.40434366017246887</v>
      </c>
    </row>
    <row r="26" spans="1:19" ht="18.75" customHeight="1" x14ac:dyDescent="0.15">
      <c r="A26" s="695" t="s">
        <v>91</v>
      </c>
      <c r="B26" s="509">
        <f>M16+N16+O16</f>
        <v>1017</v>
      </c>
      <c r="C26" s="509">
        <f>P16+Q16</f>
        <v>1327</v>
      </c>
      <c r="D26" s="509">
        <f>R16+S16+T16+U16</f>
        <v>727</v>
      </c>
      <c r="E26" s="509">
        <f>V16+W16</f>
        <v>708</v>
      </c>
      <c r="F26" s="509">
        <f>X16+Y16</f>
        <v>732</v>
      </c>
      <c r="G26" s="509">
        <f>Z16+AA16+AB16</f>
        <v>3576</v>
      </c>
      <c r="H26" s="509">
        <f>AC16</f>
        <v>49</v>
      </c>
      <c r="I26" s="509">
        <f>AD16</f>
        <v>1189</v>
      </c>
      <c r="J26" s="510">
        <f>SUM(B26:I26)</f>
        <v>9325</v>
      </c>
    </row>
    <row r="27" spans="1:19" ht="18.75" customHeight="1" x14ac:dyDescent="0.15">
      <c r="A27" s="696"/>
      <c r="B27" s="518">
        <f>B26/B$22</f>
        <v>0.56974789915966384</v>
      </c>
      <c r="C27" s="518">
        <f t="shared" ref="C27:J27" si="13">C26/C$22</f>
        <v>0.65272995573044756</v>
      </c>
      <c r="D27" s="518">
        <f t="shared" si="13"/>
        <v>0.50697350069735003</v>
      </c>
      <c r="E27" s="518">
        <f t="shared" si="13"/>
        <v>0.51754385964912286</v>
      </c>
      <c r="F27" s="518">
        <f t="shared" si="13"/>
        <v>0.56307692307692303</v>
      </c>
      <c r="G27" s="518">
        <f t="shared" si="13"/>
        <v>0.66124260355029585</v>
      </c>
      <c r="H27" s="518">
        <f t="shared" si="13"/>
        <v>0.25789473684210529</v>
      </c>
      <c r="I27" s="518">
        <f t="shared" si="13"/>
        <v>0.55638745905474962</v>
      </c>
      <c r="J27" s="518">
        <f t="shared" si="13"/>
        <v>0.59565633982753119</v>
      </c>
    </row>
    <row r="29" spans="1:19" x14ac:dyDescent="0.15">
      <c r="A29" s="54"/>
    </row>
    <row r="31" spans="1:19" x14ac:dyDescent="0.15">
      <c r="A31" s="378"/>
      <c r="B31" s="378"/>
      <c r="C31" s="378"/>
      <c r="D31" s="378"/>
      <c r="E31" s="378"/>
      <c r="F31" s="378"/>
      <c r="G31" s="378"/>
      <c r="H31" s="378"/>
      <c r="I31" s="378"/>
      <c r="J31" s="378"/>
      <c r="K31" s="378"/>
      <c r="L31" s="378"/>
      <c r="M31" s="378"/>
      <c r="N31" s="378"/>
      <c r="O31" s="378"/>
      <c r="P31" s="378"/>
      <c r="Q31" s="378"/>
      <c r="R31" s="378"/>
      <c r="S31" s="378"/>
    </row>
    <row r="32" spans="1:19" x14ac:dyDescent="0.15">
      <c r="A32" s="34"/>
      <c r="B32" s="39"/>
      <c r="C32" s="39"/>
      <c r="D32" s="39"/>
      <c r="E32" s="39"/>
      <c r="F32" s="39"/>
      <c r="G32" s="39"/>
      <c r="H32" s="39"/>
      <c r="I32" s="39"/>
      <c r="J32" s="39"/>
      <c r="K32" s="39"/>
      <c r="L32" s="39"/>
      <c r="M32" s="39"/>
      <c r="N32" s="39"/>
      <c r="O32" s="39"/>
      <c r="P32" s="39"/>
      <c r="Q32" s="39"/>
      <c r="R32" s="39"/>
      <c r="S32" s="39"/>
    </row>
    <row r="33" spans="1:19" x14ac:dyDescent="0.15">
      <c r="A33" s="34"/>
      <c r="B33" s="39"/>
      <c r="C33" s="39"/>
      <c r="D33" s="39"/>
      <c r="E33" s="39"/>
      <c r="F33" s="39"/>
      <c r="G33" s="39"/>
      <c r="H33" s="39"/>
      <c r="I33" s="39"/>
      <c r="J33" s="39"/>
      <c r="K33" s="39"/>
      <c r="L33" s="39"/>
      <c r="M33" s="39"/>
      <c r="N33" s="39"/>
      <c r="O33" s="39"/>
      <c r="P33" s="39"/>
      <c r="Q33" s="39"/>
      <c r="R33" s="39"/>
      <c r="S33" s="39"/>
    </row>
    <row r="34" spans="1:19" x14ac:dyDescent="0.15">
      <c r="A34" s="34"/>
      <c r="B34" s="39"/>
      <c r="C34" s="39"/>
      <c r="D34" s="39"/>
      <c r="E34" s="39"/>
      <c r="F34" s="39"/>
      <c r="G34" s="39"/>
      <c r="H34" s="39"/>
      <c r="I34" s="39"/>
      <c r="J34" s="39"/>
      <c r="K34" s="39"/>
      <c r="L34" s="39"/>
      <c r="M34" s="39"/>
      <c r="N34" s="39"/>
      <c r="O34" s="39"/>
      <c r="P34" s="39"/>
      <c r="Q34" s="39"/>
      <c r="R34" s="39"/>
      <c r="S34" s="39"/>
    </row>
    <row r="35" spans="1:19" x14ac:dyDescent="0.15">
      <c r="A35" s="34"/>
      <c r="B35" s="39"/>
      <c r="C35" s="39"/>
      <c r="D35" s="39"/>
      <c r="E35" s="39"/>
      <c r="F35" s="39"/>
      <c r="G35" s="39"/>
      <c r="H35" s="39"/>
      <c r="I35" s="39"/>
      <c r="J35" s="39"/>
      <c r="K35" s="39"/>
      <c r="L35" s="39"/>
      <c r="M35" s="39"/>
      <c r="N35" s="39"/>
      <c r="O35" s="39"/>
      <c r="P35" s="39"/>
      <c r="Q35" s="39"/>
      <c r="R35" s="39"/>
      <c r="S35" s="39"/>
    </row>
    <row r="36" spans="1:19" x14ac:dyDescent="0.15">
      <c r="A36" s="34"/>
      <c r="B36" s="39"/>
      <c r="C36" s="39"/>
      <c r="D36" s="39"/>
      <c r="E36" s="39"/>
      <c r="F36" s="39"/>
      <c r="G36" s="39"/>
      <c r="H36" s="39"/>
      <c r="I36" s="39"/>
      <c r="J36" s="39"/>
      <c r="K36" s="39"/>
      <c r="L36" s="39"/>
      <c r="M36" s="39"/>
      <c r="N36" s="39"/>
      <c r="O36" s="39"/>
      <c r="P36" s="39"/>
      <c r="Q36" s="39"/>
      <c r="R36" s="39"/>
      <c r="S36" s="39"/>
    </row>
    <row r="37" spans="1:19" x14ac:dyDescent="0.15">
      <c r="A37" s="34"/>
      <c r="B37" s="39"/>
      <c r="C37" s="39"/>
      <c r="D37" s="39"/>
      <c r="E37" s="39"/>
      <c r="F37" s="39"/>
      <c r="G37" s="39"/>
      <c r="H37" s="39"/>
      <c r="I37" s="39"/>
      <c r="J37" s="39"/>
      <c r="K37" s="39"/>
      <c r="L37" s="39"/>
      <c r="M37" s="39"/>
      <c r="N37" s="39"/>
      <c r="O37" s="39"/>
      <c r="P37" s="39"/>
      <c r="Q37" s="39"/>
      <c r="R37" s="39"/>
      <c r="S37" s="39"/>
    </row>
    <row r="38" spans="1:19" x14ac:dyDescent="0.15">
      <c r="A38" s="34"/>
      <c r="B38" s="39"/>
      <c r="C38" s="39"/>
      <c r="D38" s="39"/>
      <c r="E38" s="39"/>
      <c r="F38" s="39"/>
      <c r="G38" s="39"/>
      <c r="H38" s="39"/>
      <c r="I38" s="39"/>
      <c r="J38" s="39"/>
      <c r="K38" s="39"/>
      <c r="L38" s="39"/>
      <c r="M38" s="39"/>
      <c r="N38" s="39"/>
      <c r="O38" s="39"/>
      <c r="P38" s="39"/>
      <c r="Q38" s="39"/>
      <c r="R38" s="39"/>
      <c r="S38" s="39"/>
    </row>
    <row r="39" spans="1:19" x14ac:dyDescent="0.15">
      <c r="A39" s="34"/>
      <c r="B39" s="39"/>
      <c r="C39" s="39"/>
      <c r="D39" s="39"/>
      <c r="E39" s="39"/>
      <c r="F39" s="39"/>
      <c r="G39" s="39"/>
      <c r="H39" s="39"/>
      <c r="I39" s="39"/>
      <c r="J39" s="39"/>
      <c r="K39" s="39"/>
      <c r="L39" s="39"/>
      <c r="M39" s="39"/>
      <c r="N39" s="39"/>
      <c r="O39" s="39"/>
      <c r="P39" s="39"/>
      <c r="Q39" s="39"/>
      <c r="R39" s="39"/>
      <c r="S39" s="39"/>
    </row>
    <row r="40" spans="1:19" x14ac:dyDescent="0.15">
      <c r="A40" s="34"/>
      <c r="B40" s="39"/>
      <c r="C40" s="39"/>
      <c r="D40" s="39"/>
      <c r="E40" s="39"/>
      <c r="F40" s="39"/>
      <c r="G40" s="39"/>
      <c r="H40" s="39"/>
      <c r="I40" s="39"/>
      <c r="J40" s="39"/>
      <c r="K40" s="39"/>
      <c r="L40" s="39"/>
      <c r="M40" s="39"/>
      <c r="N40" s="39"/>
      <c r="O40" s="39"/>
      <c r="P40" s="39"/>
      <c r="Q40" s="39"/>
      <c r="R40" s="39"/>
      <c r="S40" s="39"/>
    </row>
    <row r="41" spans="1:19" x14ac:dyDescent="0.15">
      <c r="A41" s="378"/>
      <c r="B41" s="378"/>
      <c r="C41" s="378"/>
      <c r="D41" s="378"/>
      <c r="E41" s="378"/>
      <c r="F41" s="378"/>
      <c r="G41" s="378"/>
      <c r="H41" s="378"/>
      <c r="I41" s="378"/>
      <c r="J41" s="378"/>
      <c r="K41" s="378"/>
      <c r="L41" s="378"/>
      <c r="M41" s="378"/>
      <c r="N41" s="378"/>
      <c r="O41" s="378"/>
      <c r="P41" s="378"/>
      <c r="Q41" s="378"/>
      <c r="R41" s="378"/>
      <c r="S41" s="378"/>
    </row>
    <row r="42" spans="1:19" x14ac:dyDescent="0.15">
      <c r="A42" s="34"/>
      <c r="B42" s="39"/>
      <c r="C42" s="39"/>
      <c r="D42" s="39"/>
      <c r="E42" s="39"/>
      <c r="F42" s="39"/>
      <c r="G42" s="39"/>
      <c r="H42" s="39"/>
      <c r="I42" s="39"/>
      <c r="J42" s="39"/>
      <c r="K42" s="39"/>
      <c r="L42" s="39"/>
      <c r="M42" s="39"/>
      <c r="N42" s="39"/>
      <c r="O42" s="39"/>
      <c r="P42" s="39"/>
      <c r="Q42" s="39"/>
      <c r="R42" s="39"/>
      <c r="S42" s="39"/>
    </row>
  </sheetData>
  <mergeCells count="12">
    <mergeCell ref="A26:A27"/>
    <mergeCell ref="A4:A5"/>
    <mergeCell ref="A6:A7"/>
    <mergeCell ref="A8:A9"/>
    <mergeCell ref="A10:A11"/>
    <mergeCell ref="A12:A13"/>
    <mergeCell ref="A14:A15"/>
    <mergeCell ref="A16:A17"/>
    <mergeCell ref="A18:A19"/>
    <mergeCell ref="A20:A21"/>
    <mergeCell ref="A22:A23"/>
    <mergeCell ref="A24:A25"/>
  </mergeCells>
  <phoneticPr fontId="2"/>
  <printOptions horizontalCentered="1"/>
  <pageMargins left="0.70866141732283472" right="0.70866141732283472" top="0.74803149606299213" bottom="0.74803149606299213" header="0.31496062992125984" footer="0.31496062992125984"/>
  <pageSetup paperSize="9" scale="94"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499984740745262"/>
    <pageSetUpPr fitToPage="1"/>
  </sheetPr>
  <dimension ref="A1:AE26"/>
  <sheetViews>
    <sheetView view="pageBreakPreview" zoomScale="120" zoomScaleNormal="100" zoomScaleSheetLayoutView="120" workbookViewId="0">
      <selection activeCell="L1" sqref="L1:AF1048576"/>
    </sheetView>
  </sheetViews>
  <sheetFormatPr defaultColWidth="13.75" defaultRowHeight="18.75" x14ac:dyDescent="0.15"/>
  <cols>
    <col min="1" max="1" width="15.625" style="1" customWidth="1"/>
    <col min="2" max="10" width="8.75" style="1" customWidth="1"/>
    <col min="11" max="11" width="7.625" style="1" customWidth="1"/>
    <col min="12" max="12" width="14.5" style="1" hidden="1" customWidth="1"/>
    <col min="13" max="31" width="6.625" style="1" hidden="1" customWidth="1"/>
    <col min="32" max="32" width="0" style="1" hidden="1" customWidth="1"/>
    <col min="33" max="16384" width="13.75" style="1"/>
  </cols>
  <sheetData>
    <row r="1" spans="1:31" s="3" customFormat="1" ht="19.5" x14ac:dyDescent="0.15">
      <c r="A1" s="2" t="s">
        <v>408</v>
      </c>
    </row>
    <row r="2" spans="1:31" x14ac:dyDescent="0.15">
      <c r="A2" s="4"/>
    </row>
    <row r="3" spans="1:31" ht="18.75" customHeight="1" x14ac:dyDescent="0.15">
      <c r="A3" s="508"/>
      <c r="B3" s="508" t="s">
        <v>382</v>
      </c>
      <c r="C3" s="508" t="s">
        <v>383</v>
      </c>
      <c r="D3" s="508" t="s">
        <v>384</v>
      </c>
      <c r="E3" s="508" t="s">
        <v>385</v>
      </c>
      <c r="F3" s="508" t="s">
        <v>386</v>
      </c>
      <c r="G3" s="508" t="s">
        <v>387</v>
      </c>
      <c r="H3" s="508" t="s">
        <v>388</v>
      </c>
      <c r="I3" s="508" t="s">
        <v>389</v>
      </c>
      <c r="J3" s="508" t="s">
        <v>62</v>
      </c>
      <c r="L3" s="511" t="s">
        <v>371</v>
      </c>
      <c r="M3" s="511" t="s">
        <v>390</v>
      </c>
      <c r="N3" s="511" t="s">
        <v>391</v>
      </c>
      <c r="O3" s="511" t="s">
        <v>392</v>
      </c>
      <c r="P3" s="511" t="s">
        <v>393</v>
      </c>
      <c r="Q3" s="511" t="s">
        <v>394</v>
      </c>
      <c r="R3" s="511" t="s">
        <v>395</v>
      </c>
      <c r="S3" s="511" t="s">
        <v>396</v>
      </c>
      <c r="T3" s="511" t="s">
        <v>397</v>
      </c>
      <c r="U3" s="511" t="s">
        <v>398</v>
      </c>
      <c r="V3" s="511" t="s">
        <v>399</v>
      </c>
      <c r="W3" s="511" t="s">
        <v>400</v>
      </c>
      <c r="X3" s="511" t="s">
        <v>401</v>
      </c>
      <c r="Y3" s="511" t="s">
        <v>402</v>
      </c>
      <c r="Z3" s="511" t="s">
        <v>403</v>
      </c>
      <c r="AA3" s="511" t="s">
        <v>404</v>
      </c>
      <c r="AB3" s="511" t="s">
        <v>405</v>
      </c>
      <c r="AC3" s="511" t="s">
        <v>406</v>
      </c>
      <c r="AD3" s="511" t="s">
        <v>407</v>
      </c>
      <c r="AE3" s="511" t="s">
        <v>263</v>
      </c>
    </row>
    <row r="4" spans="1:31" ht="18.75" customHeight="1" x14ac:dyDescent="0.15">
      <c r="A4" s="519" t="s">
        <v>409</v>
      </c>
      <c r="B4" s="509">
        <f>M4+N4+O4+M10+N10+O10</f>
        <v>12</v>
      </c>
      <c r="C4" s="509">
        <f>P4+Q4+P10+Q10</f>
        <v>0</v>
      </c>
      <c r="D4" s="509">
        <f>R4+S4+T4+U4+R10+S10+T10+U10</f>
        <v>15</v>
      </c>
      <c r="E4" s="509">
        <f>V4+W4+V10+W10</f>
        <v>20</v>
      </c>
      <c r="F4" s="509">
        <f>X4+Y4+X10+Y10</f>
        <v>1</v>
      </c>
      <c r="G4" s="509">
        <f>Z4+AA4+AB4+Z10+AA10+AB10</f>
        <v>18</v>
      </c>
      <c r="H4" s="509">
        <f>AC4+AC10</f>
        <v>5</v>
      </c>
      <c r="I4" s="509">
        <f>AD4+AD10</f>
        <v>20</v>
      </c>
      <c r="J4" s="510">
        <f>SUM(B4:I4)</f>
        <v>91</v>
      </c>
      <c r="L4" s="520" t="s">
        <v>374</v>
      </c>
      <c r="M4" s="60"/>
      <c r="N4" s="60">
        <v>12</v>
      </c>
      <c r="O4" s="60"/>
      <c r="P4" s="60"/>
      <c r="Q4" s="60"/>
      <c r="R4" s="60">
        <v>10</v>
      </c>
      <c r="S4" s="60">
        <v>5</v>
      </c>
      <c r="T4" s="60"/>
      <c r="U4" s="60"/>
      <c r="V4" s="60">
        <v>1</v>
      </c>
      <c r="W4" s="60">
        <v>19</v>
      </c>
      <c r="X4" s="60">
        <v>1</v>
      </c>
      <c r="Y4" s="60"/>
      <c r="Z4" s="60">
        <v>5</v>
      </c>
      <c r="AA4" s="60">
        <v>10</v>
      </c>
      <c r="AB4" s="60">
        <v>2</v>
      </c>
      <c r="AC4" s="60">
        <v>4</v>
      </c>
      <c r="AD4" s="60">
        <v>20</v>
      </c>
      <c r="AE4" s="60">
        <f>SUM(M4:AD4)</f>
        <v>89</v>
      </c>
    </row>
    <row r="5" spans="1:31" ht="18.75" customHeight="1" x14ac:dyDescent="0.15">
      <c r="A5" s="521" t="s">
        <v>377</v>
      </c>
      <c r="B5" s="514">
        <f t="shared" ref="B5:J5" si="0">B4/B$14</f>
        <v>6.7226890756302525E-3</v>
      </c>
      <c r="C5" s="514">
        <f t="shared" si="0"/>
        <v>0</v>
      </c>
      <c r="D5" s="514">
        <f t="shared" si="0"/>
        <v>1.0460251046025104E-2</v>
      </c>
      <c r="E5" s="514">
        <f t="shared" si="0"/>
        <v>1.4619883040935672E-2</v>
      </c>
      <c r="F5" s="514">
        <f t="shared" si="0"/>
        <v>7.6923076923076923E-4</v>
      </c>
      <c r="G5" s="514">
        <f t="shared" si="0"/>
        <v>3.3284023668639054E-3</v>
      </c>
      <c r="H5" s="514">
        <f t="shared" si="0"/>
        <v>2.6315789473684209E-2</v>
      </c>
      <c r="I5" s="514">
        <f t="shared" si="0"/>
        <v>9.358914365933552E-3</v>
      </c>
      <c r="J5" s="514">
        <f t="shared" si="0"/>
        <v>5.812839348450974E-3</v>
      </c>
      <c r="L5" s="520" t="s">
        <v>15</v>
      </c>
      <c r="M5" s="60">
        <v>310</v>
      </c>
      <c r="N5" s="60">
        <v>408</v>
      </c>
      <c r="O5" s="60">
        <v>160</v>
      </c>
      <c r="P5" s="60">
        <v>1051</v>
      </c>
      <c r="Q5" s="60">
        <v>339</v>
      </c>
      <c r="R5" s="60">
        <v>429</v>
      </c>
      <c r="S5" s="60">
        <v>178</v>
      </c>
      <c r="T5" s="60">
        <v>130</v>
      </c>
      <c r="U5" s="60">
        <v>55</v>
      </c>
      <c r="V5" s="60">
        <v>468</v>
      </c>
      <c r="W5" s="60">
        <v>273</v>
      </c>
      <c r="X5" s="60">
        <v>154</v>
      </c>
      <c r="Y5" s="60">
        <v>435</v>
      </c>
      <c r="Z5" s="60">
        <v>604</v>
      </c>
      <c r="AA5" s="60">
        <v>1107</v>
      </c>
      <c r="AB5" s="60">
        <v>861</v>
      </c>
      <c r="AC5" s="60">
        <v>108</v>
      </c>
      <c r="AD5" s="60">
        <v>1321</v>
      </c>
      <c r="AE5" s="60">
        <f t="shared" ref="AE5:AE10" si="1">SUM(M5:AD5)</f>
        <v>8391</v>
      </c>
    </row>
    <row r="6" spans="1:31" ht="18.75" customHeight="1" x14ac:dyDescent="0.15">
      <c r="A6" s="695" t="s">
        <v>15</v>
      </c>
      <c r="B6" s="509">
        <f>M5+N5+O5</f>
        <v>878</v>
      </c>
      <c r="C6" s="509">
        <f>P5+Q5</f>
        <v>1390</v>
      </c>
      <c r="D6" s="509">
        <f>R5+S5+T5+U5</f>
        <v>792</v>
      </c>
      <c r="E6" s="509">
        <f>V5+W5</f>
        <v>741</v>
      </c>
      <c r="F6" s="509">
        <f>X5+Y5</f>
        <v>589</v>
      </c>
      <c r="G6" s="509">
        <f>Z5+AA5+AB5</f>
        <v>2572</v>
      </c>
      <c r="H6" s="509">
        <f>AC5</f>
        <v>108</v>
      </c>
      <c r="I6" s="509">
        <f>AD5</f>
        <v>1321</v>
      </c>
      <c r="J6" s="510">
        <f>SUM(B6:I6)</f>
        <v>8391</v>
      </c>
      <c r="L6" s="520" t="s">
        <v>16</v>
      </c>
      <c r="M6" s="60">
        <v>227</v>
      </c>
      <c r="N6" s="60">
        <v>492</v>
      </c>
      <c r="O6" s="60">
        <v>174</v>
      </c>
      <c r="P6" s="60">
        <v>296</v>
      </c>
      <c r="Q6" s="60">
        <v>347</v>
      </c>
      <c r="R6" s="60">
        <v>299</v>
      </c>
      <c r="S6" s="60">
        <v>46</v>
      </c>
      <c r="T6" s="60">
        <v>113</v>
      </c>
      <c r="U6" s="60">
        <v>139</v>
      </c>
      <c r="V6" s="60">
        <v>322</v>
      </c>
      <c r="W6" s="60">
        <v>285</v>
      </c>
      <c r="X6" s="60">
        <v>314</v>
      </c>
      <c r="Y6" s="60">
        <v>395</v>
      </c>
      <c r="Z6" s="60">
        <v>1066</v>
      </c>
      <c r="AA6" s="60">
        <v>1364</v>
      </c>
      <c r="AB6" s="60">
        <v>384</v>
      </c>
      <c r="AC6" s="60">
        <v>76</v>
      </c>
      <c r="AD6" s="60">
        <v>794</v>
      </c>
      <c r="AE6" s="60">
        <f t="shared" si="1"/>
        <v>7133</v>
      </c>
    </row>
    <row r="7" spans="1:31" ht="18.75" customHeight="1" x14ac:dyDescent="0.15">
      <c r="A7" s="696"/>
      <c r="B7" s="514">
        <f t="shared" ref="B7:J7" si="2">B6/B$14</f>
        <v>0.49187675070028009</v>
      </c>
      <c r="C7" s="514">
        <f t="shared" si="2"/>
        <v>0.68371864240039348</v>
      </c>
      <c r="D7" s="514">
        <f t="shared" si="2"/>
        <v>0.55230125523012552</v>
      </c>
      <c r="E7" s="514">
        <f t="shared" si="2"/>
        <v>0.54166666666666663</v>
      </c>
      <c r="F7" s="514">
        <f t="shared" si="2"/>
        <v>0.4530769230769231</v>
      </c>
      <c r="G7" s="514">
        <f t="shared" si="2"/>
        <v>0.47559171597633138</v>
      </c>
      <c r="H7" s="514">
        <f t="shared" si="2"/>
        <v>0.56842105263157894</v>
      </c>
      <c r="I7" s="514">
        <f t="shared" si="2"/>
        <v>0.61815629386991111</v>
      </c>
      <c r="J7" s="514">
        <f t="shared" si="2"/>
        <v>0.53599488981156185</v>
      </c>
      <c r="L7" s="520" t="s">
        <v>17</v>
      </c>
      <c r="M7" s="60"/>
      <c r="N7" s="60">
        <v>1</v>
      </c>
      <c r="O7" s="60"/>
      <c r="P7" s="60"/>
      <c r="Q7" s="60"/>
      <c r="R7" s="60"/>
      <c r="S7" s="60"/>
      <c r="T7" s="60"/>
      <c r="U7" s="60"/>
      <c r="V7" s="60"/>
      <c r="W7" s="60"/>
      <c r="X7" s="60">
        <v>1</v>
      </c>
      <c r="Y7" s="60"/>
      <c r="Z7" s="60"/>
      <c r="AA7" s="60"/>
      <c r="AB7" s="60">
        <v>1</v>
      </c>
      <c r="AC7" s="60"/>
      <c r="AD7" s="60">
        <v>1</v>
      </c>
      <c r="AE7" s="60">
        <f t="shared" si="1"/>
        <v>4</v>
      </c>
    </row>
    <row r="8" spans="1:31" ht="18.75" customHeight="1" x14ac:dyDescent="0.15">
      <c r="A8" s="695" t="s">
        <v>16</v>
      </c>
      <c r="B8" s="509">
        <f>M6+N6+O6</f>
        <v>893</v>
      </c>
      <c r="C8" s="509">
        <f>P6+Q6</f>
        <v>643</v>
      </c>
      <c r="D8" s="509">
        <f>R6+S6+T6+U6</f>
        <v>597</v>
      </c>
      <c r="E8" s="509">
        <f>V6+W6</f>
        <v>607</v>
      </c>
      <c r="F8" s="509">
        <f>X6+Y6</f>
        <v>709</v>
      </c>
      <c r="G8" s="509">
        <f>Z6+AA6+AB6</f>
        <v>2814</v>
      </c>
      <c r="H8" s="509">
        <f>AC6</f>
        <v>76</v>
      </c>
      <c r="I8" s="509">
        <f>AD6</f>
        <v>794</v>
      </c>
      <c r="J8" s="510">
        <f>SUM(B8:I8)</f>
        <v>7133</v>
      </c>
      <c r="L8" s="520" t="s">
        <v>375</v>
      </c>
      <c r="M8" s="60"/>
      <c r="N8" s="60">
        <v>1</v>
      </c>
      <c r="O8" s="60"/>
      <c r="P8" s="60"/>
      <c r="Q8" s="60"/>
      <c r="R8" s="60"/>
      <c r="S8" s="60"/>
      <c r="T8" s="60">
        <v>1</v>
      </c>
      <c r="U8" s="60"/>
      <c r="V8" s="60"/>
      <c r="W8" s="60"/>
      <c r="X8" s="60"/>
      <c r="Y8" s="60"/>
      <c r="Z8" s="60">
        <v>3</v>
      </c>
      <c r="AA8" s="60"/>
      <c r="AB8" s="60"/>
      <c r="AC8" s="60">
        <v>1</v>
      </c>
      <c r="AD8" s="60">
        <v>1</v>
      </c>
      <c r="AE8" s="60">
        <f t="shared" si="1"/>
        <v>7</v>
      </c>
    </row>
    <row r="9" spans="1:31" ht="18.75" customHeight="1" x14ac:dyDescent="0.15">
      <c r="A9" s="696"/>
      <c r="B9" s="514">
        <f t="shared" ref="B9:J9" si="3">B8/B$14</f>
        <v>0.50028011204481793</v>
      </c>
      <c r="C9" s="514">
        <f t="shared" si="3"/>
        <v>0.31628135759960652</v>
      </c>
      <c r="D9" s="514">
        <f t="shared" si="3"/>
        <v>0.41631799163179917</v>
      </c>
      <c r="E9" s="514">
        <f t="shared" si="3"/>
        <v>0.44371345029239767</v>
      </c>
      <c r="F9" s="514">
        <f t="shared" si="3"/>
        <v>0.54538461538461536</v>
      </c>
      <c r="G9" s="514">
        <f t="shared" si="3"/>
        <v>0.52034023668639051</v>
      </c>
      <c r="H9" s="514">
        <f t="shared" si="3"/>
        <v>0.4</v>
      </c>
      <c r="I9" s="514">
        <f t="shared" si="3"/>
        <v>0.37154890032756199</v>
      </c>
      <c r="J9" s="514">
        <f t="shared" si="3"/>
        <v>0.45563717662088787</v>
      </c>
      <c r="L9" s="520" t="s">
        <v>376</v>
      </c>
      <c r="M9" s="60"/>
      <c r="N9" s="60"/>
      <c r="O9" s="60"/>
      <c r="P9" s="60"/>
      <c r="Q9" s="60"/>
      <c r="R9" s="60">
        <v>29</v>
      </c>
      <c r="S9" s="60"/>
      <c r="T9" s="60"/>
      <c r="U9" s="60"/>
      <c r="V9" s="60"/>
      <c r="W9" s="60"/>
      <c r="X9" s="60"/>
      <c r="Y9" s="60"/>
      <c r="Z9" s="60"/>
      <c r="AA9" s="60"/>
      <c r="AB9" s="60"/>
      <c r="AC9" s="60"/>
      <c r="AD9" s="60"/>
      <c r="AE9" s="60">
        <f t="shared" si="1"/>
        <v>29</v>
      </c>
    </row>
    <row r="10" spans="1:31" ht="18.75" customHeight="1" x14ac:dyDescent="0.15">
      <c r="A10" s="695" t="s">
        <v>17</v>
      </c>
      <c r="B10" s="509">
        <f>M7+N7+O7</f>
        <v>1</v>
      </c>
      <c r="C10" s="509">
        <f>P7+Q7</f>
        <v>0</v>
      </c>
      <c r="D10" s="509">
        <f>R7+S7+T7+U7</f>
        <v>0</v>
      </c>
      <c r="E10" s="509">
        <f>V7+W7</f>
        <v>0</v>
      </c>
      <c r="F10" s="509">
        <f>X7+Y7</f>
        <v>1</v>
      </c>
      <c r="G10" s="509">
        <f>Z7+AA7+AB7</f>
        <v>1</v>
      </c>
      <c r="H10" s="509">
        <f>AC7</f>
        <v>0</v>
      </c>
      <c r="I10" s="509">
        <f>AD7</f>
        <v>1</v>
      </c>
      <c r="J10" s="510">
        <f>SUM(B10:I10)</f>
        <v>4</v>
      </c>
      <c r="L10" s="520" t="s">
        <v>377</v>
      </c>
      <c r="M10" s="60"/>
      <c r="N10" s="60"/>
      <c r="O10" s="60"/>
      <c r="P10" s="60"/>
      <c r="Q10" s="60"/>
      <c r="R10" s="60"/>
      <c r="S10" s="60"/>
      <c r="T10" s="60"/>
      <c r="U10" s="60"/>
      <c r="V10" s="60"/>
      <c r="W10" s="60"/>
      <c r="X10" s="60"/>
      <c r="Y10" s="60"/>
      <c r="Z10" s="60"/>
      <c r="AA10" s="60">
        <v>1</v>
      </c>
      <c r="AB10" s="60"/>
      <c r="AC10" s="60">
        <v>1</v>
      </c>
      <c r="AD10" s="60"/>
      <c r="AE10" s="60">
        <f t="shared" si="1"/>
        <v>2</v>
      </c>
    </row>
    <row r="11" spans="1:31" ht="18.75" customHeight="1" x14ac:dyDescent="0.15">
      <c r="A11" s="696"/>
      <c r="B11" s="514">
        <f t="shared" ref="B11:J11" si="4">B10/B$14</f>
        <v>5.602240896358543E-4</v>
      </c>
      <c r="C11" s="514">
        <f t="shared" si="4"/>
        <v>0</v>
      </c>
      <c r="D11" s="514">
        <f t="shared" si="4"/>
        <v>0</v>
      </c>
      <c r="E11" s="514">
        <f t="shared" si="4"/>
        <v>0</v>
      </c>
      <c r="F11" s="514">
        <f t="shared" si="4"/>
        <v>7.6923076923076923E-4</v>
      </c>
      <c r="G11" s="514">
        <f t="shared" si="4"/>
        <v>1.8491124260355029E-4</v>
      </c>
      <c r="H11" s="514">
        <f t="shared" si="4"/>
        <v>0</v>
      </c>
      <c r="I11" s="514">
        <f t="shared" si="4"/>
        <v>4.6794571829667761E-4</v>
      </c>
      <c r="J11" s="514">
        <f t="shared" si="4"/>
        <v>2.5550942190993294E-4</v>
      </c>
      <c r="L11" s="520" t="s">
        <v>263</v>
      </c>
      <c r="M11" s="60">
        <v>537</v>
      </c>
      <c r="N11" s="60">
        <v>914</v>
      </c>
      <c r="O11" s="60">
        <v>334</v>
      </c>
      <c r="P11" s="60">
        <v>1347</v>
      </c>
      <c r="Q11" s="60">
        <v>686</v>
      </c>
      <c r="R11" s="60">
        <v>767</v>
      </c>
      <c r="S11" s="60">
        <v>229</v>
      </c>
      <c r="T11" s="60">
        <v>244</v>
      </c>
      <c r="U11" s="60">
        <v>194</v>
      </c>
      <c r="V11" s="60">
        <v>791</v>
      </c>
      <c r="W11" s="60">
        <v>577</v>
      </c>
      <c r="X11" s="60">
        <v>470</v>
      </c>
      <c r="Y11" s="60">
        <v>830</v>
      </c>
      <c r="Z11" s="60">
        <v>1678</v>
      </c>
      <c r="AA11" s="60">
        <v>2482</v>
      </c>
      <c r="AB11" s="60">
        <v>1248</v>
      </c>
      <c r="AC11" s="60">
        <v>190</v>
      </c>
      <c r="AD11" s="60">
        <v>2137</v>
      </c>
      <c r="AE11" s="60">
        <f>SUM(AE4:AE10)</f>
        <v>15655</v>
      </c>
    </row>
    <row r="12" spans="1:31" ht="18.75" customHeight="1" x14ac:dyDescent="0.15">
      <c r="A12" s="695" t="s">
        <v>18</v>
      </c>
      <c r="B12" s="509">
        <f>M8+N8+O8+M9+N9+O9</f>
        <v>1</v>
      </c>
      <c r="C12" s="509">
        <f>P9+Q9+P8+Q8</f>
        <v>0</v>
      </c>
      <c r="D12" s="509">
        <f>R8+S8+T8+U8+R9+S9+T9+U9</f>
        <v>30</v>
      </c>
      <c r="E12" s="509">
        <f>V8+W8+V9+W9</f>
        <v>0</v>
      </c>
      <c r="F12" s="509">
        <f>X9+Y9+X8+Y8</f>
        <v>0</v>
      </c>
      <c r="G12" s="509">
        <f>Z8+AA8+AB8+Z9+AA9+AB9</f>
        <v>3</v>
      </c>
      <c r="H12" s="509">
        <f>AC8+AC9</f>
        <v>1</v>
      </c>
      <c r="I12" s="509">
        <f>AD9+AD8</f>
        <v>1</v>
      </c>
      <c r="J12" s="510">
        <f>SUM(B12:I12)</f>
        <v>36</v>
      </c>
    </row>
    <row r="13" spans="1:31" ht="18.75" customHeight="1" x14ac:dyDescent="0.15">
      <c r="A13" s="696"/>
      <c r="B13" s="514">
        <f t="shared" ref="B13:J13" si="5">B12/B$14</f>
        <v>5.602240896358543E-4</v>
      </c>
      <c r="C13" s="514">
        <f t="shared" si="5"/>
        <v>0</v>
      </c>
      <c r="D13" s="514">
        <f t="shared" si="5"/>
        <v>2.0920502092050208E-2</v>
      </c>
      <c r="E13" s="514">
        <f t="shared" si="5"/>
        <v>0</v>
      </c>
      <c r="F13" s="514">
        <f t="shared" si="5"/>
        <v>0</v>
      </c>
      <c r="G13" s="514">
        <f t="shared" si="5"/>
        <v>5.547337278106509E-4</v>
      </c>
      <c r="H13" s="514">
        <f t="shared" si="5"/>
        <v>5.263157894736842E-3</v>
      </c>
      <c r="I13" s="514">
        <f t="shared" si="5"/>
        <v>4.6794571829667761E-4</v>
      </c>
      <c r="J13" s="514">
        <f t="shared" si="5"/>
        <v>2.2995847971893964E-3</v>
      </c>
    </row>
    <row r="14" spans="1:31" ht="18.75" customHeight="1" x14ac:dyDescent="0.15">
      <c r="A14" s="698" t="s">
        <v>162</v>
      </c>
      <c r="B14" s="515">
        <f>M11+N11+O11</f>
        <v>1785</v>
      </c>
      <c r="C14" s="515">
        <f>P11+Q11</f>
        <v>2033</v>
      </c>
      <c r="D14" s="515">
        <f>R11+S11+T11+U11</f>
        <v>1434</v>
      </c>
      <c r="E14" s="515">
        <f>V11+W11</f>
        <v>1368</v>
      </c>
      <c r="F14" s="515">
        <f>X11+Y11</f>
        <v>1300</v>
      </c>
      <c r="G14" s="515">
        <f>Z11+AA11+AB11</f>
        <v>5408</v>
      </c>
      <c r="H14" s="515">
        <f>AC11</f>
        <v>190</v>
      </c>
      <c r="I14" s="515">
        <f>AD11</f>
        <v>2137</v>
      </c>
      <c r="J14" s="516">
        <f>SUM(B14:I14)</f>
        <v>15655</v>
      </c>
    </row>
    <row r="15" spans="1:31" ht="18.75" customHeight="1" x14ac:dyDescent="0.15">
      <c r="A15" s="696"/>
      <c r="B15" s="517">
        <f>SUM(B5,B7,B9,B11,B13)</f>
        <v>1</v>
      </c>
      <c r="C15" s="517">
        <f t="shared" ref="C15:J15" si="6">SUM(C5,C7,C9,C11,C13)</f>
        <v>1</v>
      </c>
      <c r="D15" s="517">
        <f t="shared" si="6"/>
        <v>1</v>
      </c>
      <c r="E15" s="517">
        <f t="shared" si="6"/>
        <v>1</v>
      </c>
      <c r="F15" s="517">
        <f t="shared" si="6"/>
        <v>0.99999999999999989</v>
      </c>
      <c r="G15" s="517">
        <f t="shared" si="6"/>
        <v>1</v>
      </c>
      <c r="H15" s="517">
        <f t="shared" si="6"/>
        <v>1</v>
      </c>
      <c r="I15" s="517">
        <f t="shared" si="6"/>
        <v>1</v>
      </c>
      <c r="J15" s="517">
        <f t="shared" si="6"/>
        <v>1</v>
      </c>
    </row>
    <row r="18" spans="1:19" x14ac:dyDescent="0.15">
      <c r="A18" s="378"/>
      <c r="B18" s="378"/>
      <c r="C18" s="378"/>
      <c r="D18" s="378"/>
      <c r="E18" s="378"/>
      <c r="F18" s="378"/>
      <c r="G18" s="378"/>
      <c r="H18" s="378"/>
      <c r="I18" s="378"/>
    </row>
    <row r="19" spans="1:19" x14ac:dyDescent="0.15">
      <c r="A19" s="378"/>
      <c r="B19" s="378"/>
      <c r="C19" s="378"/>
      <c r="D19" s="378"/>
      <c r="E19" s="378"/>
      <c r="F19" s="378"/>
      <c r="G19" s="378"/>
      <c r="H19" s="378"/>
      <c r="I19" s="378"/>
      <c r="J19" s="378"/>
      <c r="K19" s="378"/>
      <c r="L19" s="378"/>
      <c r="M19" s="378"/>
      <c r="N19" s="378"/>
      <c r="O19" s="378"/>
      <c r="P19" s="378"/>
      <c r="Q19" s="378"/>
      <c r="R19" s="378"/>
      <c r="S19" s="378"/>
    </row>
    <row r="20" spans="1:19" x14ac:dyDescent="0.15">
      <c r="A20" s="412"/>
      <c r="B20" s="522"/>
      <c r="C20" s="522"/>
      <c r="D20" s="522"/>
      <c r="E20" s="522"/>
      <c r="F20" s="522"/>
      <c r="G20" s="522"/>
      <c r="H20" s="522"/>
      <c r="I20" s="522"/>
      <c r="J20" s="522"/>
      <c r="K20" s="522"/>
      <c r="L20" s="522"/>
      <c r="M20" s="522"/>
      <c r="N20" s="522"/>
      <c r="O20" s="522"/>
      <c r="P20" s="522"/>
      <c r="Q20" s="522"/>
      <c r="R20" s="522"/>
      <c r="S20" s="522"/>
    </row>
    <row r="21" spans="1:19" x14ac:dyDescent="0.15">
      <c r="A21" s="412"/>
      <c r="B21" s="522"/>
      <c r="C21" s="522"/>
      <c r="D21" s="522"/>
      <c r="E21" s="522"/>
      <c r="F21" s="522"/>
      <c r="G21" s="522"/>
      <c r="H21" s="522"/>
      <c r="I21" s="522"/>
      <c r="J21" s="522"/>
      <c r="K21" s="522"/>
      <c r="L21" s="522"/>
      <c r="M21" s="522"/>
      <c r="N21" s="522"/>
      <c r="O21" s="522"/>
      <c r="P21" s="522"/>
      <c r="Q21" s="522"/>
      <c r="R21" s="522"/>
      <c r="S21" s="522"/>
    </row>
    <row r="22" spans="1:19" x14ac:dyDescent="0.15">
      <c r="A22" s="412"/>
      <c r="B22" s="61"/>
      <c r="C22" s="61"/>
      <c r="D22" s="61"/>
      <c r="E22" s="61"/>
      <c r="F22" s="61"/>
      <c r="G22" s="61"/>
      <c r="H22" s="61"/>
      <c r="I22" s="61"/>
      <c r="J22" s="61"/>
      <c r="K22" s="61"/>
      <c r="L22" s="61"/>
      <c r="M22" s="61"/>
      <c r="N22" s="61"/>
      <c r="O22" s="61"/>
      <c r="P22" s="61"/>
      <c r="Q22" s="61"/>
      <c r="R22" s="61"/>
      <c r="S22" s="61"/>
    </row>
    <row r="23" spans="1:19" x14ac:dyDescent="0.15">
      <c r="A23" s="412"/>
      <c r="B23" s="40"/>
      <c r="C23" s="61"/>
      <c r="D23" s="61"/>
      <c r="E23" s="61"/>
      <c r="F23" s="61"/>
      <c r="G23" s="61"/>
      <c r="H23" s="61"/>
      <c r="I23" s="61"/>
      <c r="J23" s="61"/>
      <c r="K23" s="61"/>
      <c r="L23" s="61"/>
      <c r="M23" s="61"/>
      <c r="N23" s="61"/>
      <c r="O23" s="61"/>
      <c r="P23" s="61"/>
      <c r="Q23" s="61"/>
      <c r="R23" s="61"/>
      <c r="S23" s="61"/>
    </row>
    <row r="24" spans="1:19" x14ac:dyDescent="0.15">
      <c r="A24" s="412"/>
      <c r="B24" s="523"/>
      <c r="C24" s="522"/>
      <c r="D24" s="522"/>
      <c r="E24" s="522"/>
      <c r="F24" s="522"/>
      <c r="G24" s="522"/>
      <c r="H24" s="522"/>
      <c r="I24" s="522"/>
      <c r="J24" s="522"/>
      <c r="K24" s="522"/>
      <c r="L24" s="522"/>
      <c r="M24" s="522"/>
      <c r="N24" s="522"/>
      <c r="O24" s="522"/>
      <c r="P24" s="522"/>
      <c r="Q24" s="522"/>
      <c r="R24" s="522"/>
      <c r="S24" s="522"/>
    </row>
    <row r="25" spans="1:19" x14ac:dyDescent="0.15">
      <c r="A25" s="412"/>
      <c r="B25" s="523"/>
      <c r="C25" s="522"/>
      <c r="D25" s="522"/>
      <c r="E25" s="522"/>
      <c r="F25" s="522"/>
      <c r="G25" s="522"/>
      <c r="H25" s="522"/>
      <c r="I25" s="522"/>
      <c r="J25" s="522"/>
      <c r="K25" s="522"/>
      <c r="L25" s="522"/>
      <c r="M25" s="522"/>
      <c r="N25" s="522"/>
      <c r="O25" s="522"/>
      <c r="P25" s="522"/>
      <c r="Q25" s="522"/>
      <c r="R25" s="522"/>
      <c r="S25" s="522"/>
    </row>
    <row r="26" spans="1:19" x14ac:dyDescent="0.15">
      <c r="A26" s="54"/>
      <c r="B26" s="61"/>
      <c r="C26" s="61"/>
      <c r="D26" s="61"/>
      <c r="E26" s="61"/>
      <c r="F26" s="61"/>
      <c r="G26" s="61"/>
      <c r="H26" s="61"/>
      <c r="I26" s="61"/>
      <c r="J26" s="61"/>
      <c r="K26" s="61"/>
      <c r="L26" s="61"/>
      <c r="M26" s="61"/>
      <c r="N26" s="61"/>
      <c r="O26" s="61"/>
      <c r="P26" s="61"/>
      <c r="Q26" s="61"/>
      <c r="R26" s="61"/>
      <c r="S26" s="61"/>
    </row>
  </sheetData>
  <mergeCells count="5">
    <mergeCell ref="A6:A7"/>
    <mergeCell ref="A8:A9"/>
    <mergeCell ref="A10:A11"/>
    <mergeCell ref="A12:A13"/>
    <mergeCell ref="A14:A15"/>
  </mergeCells>
  <phoneticPr fontId="2"/>
  <printOptions horizontalCentered="1"/>
  <pageMargins left="0.70866141732283472" right="0.70866141732283472" top="0.74803149606299213" bottom="0.74803149606299213" header="0.31496062992125984" footer="0.31496062992125984"/>
  <pageSetup paperSize="9" scale="94"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499984740745262"/>
    <pageSetUpPr fitToPage="1"/>
  </sheetPr>
  <dimension ref="A1:AE55"/>
  <sheetViews>
    <sheetView view="pageBreakPreview" zoomScaleNormal="100" zoomScaleSheetLayoutView="100" workbookViewId="0">
      <selection activeCell="L1" sqref="L1:AF1048576"/>
    </sheetView>
  </sheetViews>
  <sheetFormatPr defaultColWidth="13.75" defaultRowHeight="18.75" x14ac:dyDescent="0.15"/>
  <cols>
    <col min="1" max="1" width="27.5" style="1" customWidth="1"/>
    <col min="2" max="10" width="8.75" style="1" customWidth="1"/>
    <col min="11" max="11" width="8.625" style="1" customWidth="1"/>
    <col min="12" max="12" width="33.125" style="1" hidden="1" customWidth="1"/>
    <col min="13" max="17" width="4.75" style="1" hidden="1" customWidth="1"/>
    <col min="18" max="18" width="4.875" style="1" hidden="1" customWidth="1"/>
    <col min="19" max="31" width="4.75" style="1" hidden="1" customWidth="1"/>
    <col min="32" max="32" width="0" style="1" hidden="1" customWidth="1"/>
    <col min="33" max="16384" width="13.75" style="1"/>
  </cols>
  <sheetData>
    <row r="1" spans="1:31" s="3" customFormat="1" ht="19.5" x14ac:dyDescent="0.15">
      <c r="A1" s="2" t="s">
        <v>410</v>
      </c>
    </row>
    <row r="2" spans="1:31" x14ac:dyDescent="0.15">
      <c r="A2" s="4"/>
    </row>
    <row r="3" spans="1:31" ht="18.75" customHeight="1" x14ac:dyDescent="0.15">
      <c r="A3" s="508"/>
      <c r="B3" s="508" t="s">
        <v>382</v>
      </c>
      <c r="C3" s="508" t="s">
        <v>383</v>
      </c>
      <c r="D3" s="508" t="s">
        <v>384</v>
      </c>
      <c r="E3" s="508" t="s">
        <v>385</v>
      </c>
      <c r="F3" s="508" t="s">
        <v>386</v>
      </c>
      <c r="G3" s="508" t="s">
        <v>387</v>
      </c>
      <c r="H3" s="508" t="s">
        <v>388</v>
      </c>
      <c r="I3" s="508" t="s">
        <v>389</v>
      </c>
      <c r="J3" s="508" t="s">
        <v>62</v>
      </c>
      <c r="K3" s="524"/>
    </row>
    <row r="4" spans="1:31" ht="18.75" customHeight="1" x14ac:dyDescent="0.15">
      <c r="A4" s="699" t="s">
        <v>411</v>
      </c>
      <c r="B4" s="509">
        <f>B6+B8+B10</f>
        <v>349</v>
      </c>
      <c r="C4" s="509">
        <f>C6+C8+C10</f>
        <v>678</v>
      </c>
      <c r="D4" s="509">
        <f t="shared" ref="D4:I4" si="0">D6+D8+D10</f>
        <v>291</v>
      </c>
      <c r="E4" s="509">
        <f t="shared" si="0"/>
        <v>320</v>
      </c>
      <c r="F4" s="509">
        <f t="shared" si="0"/>
        <v>237</v>
      </c>
      <c r="G4" s="509">
        <f t="shared" si="0"/>
        <v>1890</v>
      </c>
      <c r="H4" s="509">
        <f>H6+H8+H10</f>
        <v>10</v>
      </c>
      <c r="I4" s="509">
        <f t="shared" si="0"/>
        <v>509</v>
      </c>
      <c r="J4" s="510">
        <f>SUM(B4:I4)</f>
        <v>4284</v>
      </c>
      <c r="K4" s="8"/>
      <c r="L4" s="34" t="s">
        <v>63</v>
      </c>
      <c r="M4" s="43" t="s">
        <v>390</v>
      </c>
      <c r="N4" s="43" t="s">
        <v>391</v>
      </c>
      <c r="O4" s="43" t="s">
        <v>392</v>
      </c>
      <c r="P4" s="43" t="s">
        <v>393</v>
      </c>
      <c r="Q4" s="43" t="s">
        <v>394</v>
      </c>
      <c r="R4" s="43" t="s">
        <v>395</v>
      </c>
      <c r="S4" s="43" t="s">
        <v>396</v>
      </c>
      <c r="T4" s="43" t="s">
        <v>397</v>
      </c>
      <c r="U4" s="43" t="s">
        <v>398</v>
      </c>
      <c r="V4" s="43" t="s">
        <v>399</v>
      </c>
      <c r="W4" s="43" t="s">
        <v>400</v>
      </c>
      <c r="X4" s="43" t="s">
        <v>401</v>
      </c>
      <c r="Y4" s="43" t="s">
        <v>402</v>
      </c>
      <c r="Z4" s="43" t="s">
        <v>403</v>
      </c>
      <c r="AA4" s="43" t="s">
        <v>404</v>
      </c>
      <c r="AB4" s="43" t="s">
        <v>405</v>
      </c>
      <c r="AC4" s="43" t="s">
        <v>406</v>
      </c>
      <c r="AD4" s="43" t="s">
        <v>407</v>
      </c>
      <c r="AE4" s="43" t="s">
        <v>263</v>
      </c>
    </row>
    <row r="5" spans="1:31" ht="18.75" customHeight="1" x14ac:dyDescent="0.15">
      <c r="A5" s="700"/>
      <c r="B5" s="514">
        <f>B4/B$34</f>
        <v>0.19551820728291316</v>
      </c>
      <c r="C5" s="514">
        <f t="shared" ref="C5:I5" si="1">C4/C$34</f>
        <v>0.33349729463846534</v>
      </c>
      <c r="D5" s="514">
        <f t="shared" si="1"/>
        <v>0.20292887029288703</v>
      </c>
      <c r="E5" s="514">
        <f t="shared" si="1"/>
        <v>0.23391812865497075</v>
      </c>
      <c r="F5" s="514">
        <f t="shared" si="1"/>
        <v>0.18230769230769231</v>
      </c>
      <c r="G5" s="514">
        <f t="shared" si="1"/>
        <v>0.34948224852071008</v>
      </c>
      <c r="H5" s="514">
        <f t="shared" si="1"/>
        <v>5.2631578947368418E-2</v>
      </c>
      <c r="I5" s="514">
        <f t="shared" si="1"/>
        <v>0.2381843706130089</v>
      </c>
      <c r="J5" s="514">
        <f>J4/J$34</f>
        <v>0.27365059086553817</v>
      </c>
      <c r="K5" s="525"/>
      <c r="L5" s="526" t="s">
        <v>412</v>
      </c>
      <c r="M5" s="513">
        <v>93</v>
      </c>
      <c r="N5" s="513">
        <v>47</v>
      </c>
      <c r="O5" s="513">
        <v>4</v>
      </c>
      <c r="P5" s="513">
        <v>272</v>
      </c>
      <c r="Q5" s="513">
        <v>110</v>
      </c>
      <c r="R5" s="513">
        <v>63</v>
      </c>
      <c r="S5" s="513">
        <v>18</v>
      </c>
      <c r="T5" s="513">
        <v>29</v>
      </c>
      <c r="U5" s="513">
        <v>8</v>
      </c>
      <c r="V5" s="513">
        <v>85</v>
      </c>
      <c r="W5" s="513">
        <v>75</v>
      </c>
      <c r="X5" s="513">
        <v>29</v>
      </c>
      <c r="Y5" s="513">
        <v>80</v>
      </c>
      <c r="Z5" s="513">
        <v>202</v>
      </c>
      <c r="AA5" s="513">
        <v>442</v>
      </c>
      <c r="AB5" s="513">
        <v>200</v>
      </c>
      <c r="AC5" s="513">
        <v>1</v>
      </c>
      <c r="AD5" s="513">
        <v>262</v>
      </c>
      <c r="AE5" s="513">
        <f>SUM(M5:AD5)</f>
        <v>2020</v>
      </c>
    </row>
    <row r="6" spans="1:31" ht="18.75" customHeight="1" x14ac:dyDescent="0.15">
      <c r="A6" s="701" t="s">
        <v>413</v>
      </c>
      <c r="B6" s="509">
        <f>M5+N5+O5</f>
        <v>144</v>
      </c>
      <c r="C6" s="509">
        <f>P5+Q5</f>
        <v>382</v>
      </c>
      <c r="D6" s="509">
        <f>R5+S5+T5+U5</f>
        <v>118</v>
      </c>
      <c r="E6" s="509">
        <f>V5+W5</f>
        <v>160</v>
      </c>
      <c r="F6" s="509">
        <f>X5+Y5</f>
        <v>109</v>
      </c>
      <c r="G6" s="509">
        <f>Z5+AA5+AB5</f>
        <v>844</v>
      </c>
      <c r="H6" s="509">
        <f>AC5</f>
        <v>1</v>
      </c>
      <c r="I6" s="509">
        <f>AD5</f>
        <v>262</v>
      </c>
      <c r="J6" s="510">
        <f>SUM(B6:I6)</f>
        <v>2020</v>
      </c>
      <c r="K6" s="8"/>
      <c r="L6" s="526" t="s">
        <v>414</v>
      </c>
      <c r="M6" s="513">
        <v>13</v>
      </c>
      <c r="N6" s="513">
        <v>4</v>
      </c>
      <c r="O6" s="513"/>
      <c r="P6" s="513">
        <v>57</v>
      </c>
      <c r="Q6" s="513">
        <v>18</v>
      </c>
      <c r="R6" s="513">
        <v>27</v>
      </c>
      <c r="S6" s="513">
        <v>3</v>
      </c>
      <c r="T6" s="513">
        <v>3</v>
      </c>
      <c r="U6" s="513">
        <v>2</v>
      </c>
      <c r="V6" s="513">
        <v>7</v>
      </c>
      <c r="W6" s="513">
        <v>1</v>
      </c>
      <c r="X6" s="513">
        <v>1</v>
      </c>
      <c r="Y6" s="513">
        <v>4</v>
      </c>
      <c r="Z6" s="513">
        <v>17</v>
      </c>
      <c r="AA6" s="513">
        <v>90</v>
      </c>
      <c r="AB6" s="513">
        <v>66</v>
      </c>
      <c r="AC6" s="513"/>
      <c r="AD6" s="513">
        <v>19</v>
      </c>
      <c r="AE6" s="513">
        <f t="shared" ref="AE6:AE21" si="2">SUM(M6:AD6)</f>
        <v>332</v>
      </c>
    </row>
    <row r="7" spans="1:31" ht="18.75" customHeight="1" x14ac:dyDescent="0.15">
      <c r="A7" s="702"/>
      <c r="B7" s="514">
        <f>B6/B$34</f>
        <v>8.067226890756303E-2</v>
      </c>
      <c r="C7" s="514">
        <f t="shared" ref="C7:J7" si="3">C6/C$34</f>
        <v>0.18789965568125921</v>
      </c>
      <c r="D7" s="514">
        <f t="shared" si="3"/>
        <v>8.2287308228730829E-2</v>
      </c>
      <c r="E7" s="514">
        <f t="shared" si="3"/>
        <v>0.11695906432748537</v>
      </c>
      <c r="F7" s="514">
        <f t="shared" si="3"/>
        <v>8.3846153846153848E-2</v>
      </c>
      <c r="G7" s="514">
        <f t="shared" si="3"/>
        <v>0.15606508875739644</v>
      </c>
      <c r="H7" s="514">
        <f t="shared" si="3"/>
        <v>5.263157894736842E-3</v>
      </c>
      <c r="I7" s="514">
        <f t="shared" si="3"/>
        <v>0.12260177819372953</v>
      </c>
      <c r="J7" s="514">
        <f t="shared" si="3"/>
        <v>0.12903225806451613</v>
      </c>
      <c r="K7" s="525"/>
      <c r="L7" s="526" t="s">
        <v>415</v>
      </c>
      <c r="M7" s="513">
        <v>55</v>
      </c>
      <c r="N7" s="513">
        <v>114</v>
      </c>
      <c r="O7" s="513">
        <v>19</v>
      </c>
      <c r="P7" s="513">
        <v>166</v>
      </c>
      <c r="Q7" s="513">
        <v>55</v>
      </c>
      <c r="R7" s="513">
        <v>52</v>
      </c>
      <c r="S7" s="513">
        <v>45</v>
      </c>
      <c r="T7" s="513">
        <v>16</v>
      </c>
      <c r="U7" s="513">
        <v>25</v>
      </c>
      <c r="V7" s="513">
        <v>94</v>
      </c>
      <c r="W7" s="513">
        <v>58</v>
      </c>
      <c r="X7" s="513">
        <v>45</v>
      </c>
      <c r="Y7" s="513">
        <v>78</v>
      </c>
      <c r="Z7" s="513">
        <v>342</v>
      </c>
      <c r="AA7" s="513">
        <v>317</v>
      </c>
      <c r="AB7" s="513">
        <v>214</v>
      </c>
      <c r="AC7" s="513">
        <v>9</v>
      </c>
      <c r="AD7" s="513">
        <v>228</v>
      </c>
      <c r="AE7" s="513">
        <f t="shared" si="2"/>
        <v>1932</v>
      </c>
    </row>
    <row r="8" spans="1:31" ht="18.75" customHeight="1" x14ac:dyDescent="0.15">
      <c r="A8" s="701" t="s">
        <v>416</v>
      </c>
      <c r="B8" s="509">
        <f>M6+N6+O6</f>
        <v>17</v>
      </c>
      <c r="C8" s="509">
        <f>P6+Q6</f>
        <v>75</v>
      </c>
      <c r="D8" s="509">
        <f>R6+S6+T6+U6</f>
        <v>35</v>
      </c>
      <c r="E8" s="509">
        <f>V6+W6</f>
        <v>8</v>
      </c>
      <c r="F8" s="509">
        <f>X6+Y6</f>
        <v>5</v>
      </c>
      <c r="G8" s="509">
        <f>Z6+AA6+AB6</f>
        <v>173</v>
      </c>
      <c r="H8" s="509">
        <f>AC6</f>
        <v>0</v>
      </c>
      <c r="I8" s="509">
        <f>AD6</f>
        <v>19</v>
      </c>
      <c r="J8" s="510">
        <f>SUM(B8:I8)</f>
        <v>332</v>
      </c>
      <c r="K8" s="8"/>
      <c r="L8" s="526" t="s">
        <v>417</v>
      </c>
      <c r="M8" s="513">
        <v>17</v>
      </c>
      <c r="N8" s="513">
        <v>17</v>
      </c>
      <c r="O8" s="513">
        <v>1</v>
      </c>
      <c r="P8" s="513">
        <v>25</v>
      </c>
      <c r="Q8" s="513">
        <v>68</v>
      </c>
      <c r="R8" s="513">
        <v>11</v>
      </c>
      <c r="S8" s="513">
        <v>3</v>
      </c>
      <c r="T8" s="513">
        <v>5</v>
      </c>
      <c r="U8" s="513">
        <v>4</v>
      </c>
      <c r="V8" s="513">
        <v>11</v>
      </c>
      <c r="W8" s="513"/>
      <c r="X8" s="513">
        <v>17</v>
      </c>
      <c r="Y8" s="513">
        <v>34</v>
      </c>
      <c r="Z8" s="513">
        <v>309</v>
      </c>
      <c r="AA8" s="513">
        <v>105</v>
      </c>
      <c r="AB8" s="513">
        <v>36</v>
      </c>
      <c r="AC8" s="513">
        <v>5</v>
      </c>
      <c r="AD8" s="513">
        <v>71</v>
      </c>
      <c r="AE8" s="513">
        <f>SUM(M8:AD8)</f>
        <v>739</v>
      </c>
    </row>
    <row r="9" spans="1:31" ht="18.75" customHeight="1" x14ac:dyDescent="0.15">
      <c r="A9" s="702"/>
      <c r="B9" s="514">
        <f>B8/B$34</f>
        <v>9.5238095238095247E-3</v>
      </c>
      <c r="C9" s="514">
        <f t="shared" ref="C9:J9" si="4">C8/C$34</f>
        <v>3.6891293654697489E-2</v>
      </c>
      <c r="D9" s="514">
        <f t="shared" si="4"/>
        <v>2.4407252440725245E-2</v>
      </c>
      <c r="E9" s="514">
        <f t="shared" si="4"/>
        <v>5.8479532163742687E-3</v>
      </c>
      <c r="F9" s="514">
        <f t="shared" si="4"/>
        <v>3.8461538461538464E-3</v>
      </c>
      <c r="G9" s="514">
        <f t="shared" si="4"/>
        <v>3.1989644970414198E-2</v>
      </c>
      <c r="H9" s="514">
        <f t="shared" si="4"/>
        <v>0</v>
      </c>
      <c r="I9" s="514">
        <f t="shared" si="4"/>
        <v>8.8909686476368738E-3</v>
      </c>
      <c r="J9" s="514">
        <f t="shared" si="4"/>
        <v>2.1207282018524433E-2</v>
      </c>
      <c r="K9" s="525"/>
      <c r="L9" s="526" t="s">
        <v>201</v>
      </c>
      <c r="M9" s="513"/>
      <c r="N9" s="513">
        <v>2</v>
      </c>
      <c r="O9" s="513"/>
      <c r="P9" s="513"/>
      <c r="Q9" s="513"/>
      <c r="R9" s="513">
        <v>9</v>
      </c>
      <c r="S9" s="513">
        <v>1</v>
      </c>
      <c r="T9" s="513">
        <v>1</v>
      </c>
      <c r="U9" s="513"/>
      <c r="V9" s="513">
        <v>2</v>
      </c>
      <c r="W9" s="513">
        <v>1</v>
      </c>
      <c r="X9" s="513"/>
      <c r="Y9" s="513">
        <v>2</v>
      </c>
      <c r="Z9" s="513">
        <v>1</v>
      </c>
      <c r="AA9" s="513">
        <v>12</v>
      </c>
      <c r="AB9" s="513">
        <v>1</v>
      </c>
      <c r="AC9" s="513">
        <v>1</v>
      </c>
      <c r="AD9" s="513">
        <v>4</v>
      </c>
      <c r="AE9" s="513">
        <f t="shared" si="2"/>
        <v>37</v>
      </c>
    </row>
    <row r="10" spans="1:31" ht="18.75" customHeight="1" x14ac:dyDescent="0.15">
      <c r="A10" s="701" t="s">
        <v>418</v>
      </c>
      <c r="B10" s="509">
        <f>M7+N7+O7</f>
        <v>188</v>
      </c>
      <c r="C10" s="509">
        <f>P7+Q7</f>
        <v>221</v>
      </c>
      <c r="D10" s="509">
        <f>R7+S7+T7+U7</f>
        <v>138</v>
      </c>
      <c r="E10" s="509">
        <f>V7+W7</f>
        <v>152</v>
      </c>
      <c r="F10" s="509">
        <f>X7+Y7</f>
        <v>123</v>
      </c>
      <c r="G10" s="509">
        <f>Z7+AA7+AB7</f>
        <v>873</v>
      </c>
      <c r="H10" s="509">
        <f>AC7</f>
        <v>9</v>
      </c>
      <c r="I10" s="509">
        <f>AD7</f>
        <v>228</v>
      </c>
      <c r="J10" s="510">
        <f>SUM(B10:I10)</f>
        <v>1932</v>
      </c>
      <c r="K10" s="8"/>
      <c r="L10" s="526" t="s">
        <v>202</v>
      </c>
      <c r="M10" s="513"/>
      <c r="N10" s="513">
        <v>2</v>
      </c>
      <c r="O10" s="513"/>
      <c r="P10" s="513">
        <v>3</v>
      </c>
      <c r="Q10" s="513"/>
      <c r="R10" s="513">
        <v>10</v>
      </c>
      <c r="S10" s="513">
        <v>1</v>
      </c>
      <c r="T10" s="513">
        <v>1</v>
      </c>
      <c r="U10" s="513"/>
      <c r="V10" s="513">
        <v>2</v>
      </c>
      <c r="W10" s="513">
        <v>4</v>
      </c>
      <c r="X10" s="513">
        <v>1</v>
      </c>
      <c r="Y10" s="513">
        <v>15</v>
      </c>
      <c r="Z10" s="513">
        <v>3</v>
      </c>
      <c r="AA10" s="513">
        <v>41</v>
      </c>
      <c r="AB10" s="513">
        <v>8</v>
      </c>
      <c r="AC10" s="513">
        <v>2</v>
      </c>
      <c r="AD10" s="513">
        <v>7</v>
      </c>
      <c r="AE10" s="513">
        <f t="shared" si="2"/>
        <v>100</v>
      </c>
    </row>
    <row r="11" spans="1:31" ht="26.25" customHeight="1" x14ac:dyDescent="0.15">
      <c r="A11" s="702"/>
      <c r="B11" s="514">
        <f>B10/B$34</f>
        <v>0.10532212885154062</v>
      </c>
      <c r="C11" s="514">
        <f t="shared" ref="C11:J11" si="5">C10/C$34</f>
        <v>0.10870634530250861</v>
      </c>
      <c r="D11" s="514">
        <f t="shared" si="5"/>
        <v>9.6234309623430964E-2</v>
      </c>
      <c r="E11" s="514">
        <f t="shared" si="5"/>
        <v>0.1111111111111111</v>
      </c>
      <c r="F11" s="514">
        <f t="shared" si="5"/>
        <v>9.4615384615384615E-2</v>
      </c>
      <c r="G11" s="514">
        <f t="shared" si="5"/>
        <v>0.16142751479289941</v>
      </c>
      <c r="H11" s="514">
        <f t="shared" si="5"/>
        <v>4.736842105263158E-2</v>
      </c>
      <c r="I11" s="514">
        <f t="shared" si="5"/>
        <v>0.10669162377164249</v>
      </c>
      <c r="J11" s="514">
        <f t="shared" si="5"/>
        <v>0.1234110507824976</v>
      </c>
      <c r="K11" s="525"/>
      <c r="L11" s="526" t="s">
        <v>419</v>
      </c>
      <c r="M11" s="513">
        <v>299</v>
      </c>
      <c r="N11" s="513">
        <v>558</v>
      </c>
      <c r="O11" s="513">
        <v>266</v>
      </c>
      <c r="P11" s="513">
        <v>694</v>
      </c>
      <c r="Q11" s="513">
        <v>295</v>
      </c>
      <c r="R11" s="513">
        <v>442</v>
      </c>
      <c r="S11" s="513">
        <v>133</v>
      </c>
      <c r="T11" s="513">
        <v>142</v>
      </c>
      <c r="U11" s="513">
        <v>130</v>
      </c>
      <c r="V11" s="513">
        <v>435</v>
      </c>
      <c r="W11" s="513">
        <v>332</v>
      </c>
      <c r="X11" s="513">
        <v>299</v>
      </c>
      <c r="Y11" s="513">
        <v>444</v>
      </c>
      <c r="Z11" s="513">
        <v>629</v>
      </c>
      <c r="AA11" s="513">
        <v>1102</v>
      </c>
      <c r="AB11" s="513">
        <v>561</v>
      </c>
      <c r="AC11" s="513">
        <v>66</v>
      </c>
      <c r="AD11" s="513">
        <v>1122</v>
      </c>
      <c r="AE11" s="513">
        <f t="shared" si="2"/>
        <v>7949</v>
      </c>
    </row>
    <row r="12" spans="1:31" ht="18.75" customHeight="1" x14ac:dyDescent="0.15">
      <c r="A12" s="699" t="s">
        <v>20</v>
      </c>
      <c r="B12" s="509">
        <f>M8+N8+O8+M9+N9+O9+O10+M10+N10</f>
        <v>39</v>
      </c>
      <c r="C12" s="509">
        <f>P8+Q8+P9+Q9+P10+Q10</f>
        <v>96</v>
      </c>
      <c r="D12" s="509">
        <f>R8+S8+T8+U8+R9+S9+T9+U9+R10+S10+T10+U10</f>
        <v>46</v>
      </c>
      <c r="E12" s="509">
        <f>V8+W8+V9+W9+V10+W10</f>
        <v>20</v>
      </c>
      <c r="F12" s="509">
        <f>X8+Y8+X9+Y9+X10+Y10</f>
        <v>69</v>
      </c>
      <c r="G12" s="509">
        <f>Z8+AA8+AB8+Z9+AA9+AB9+Z10+AA10+AB10</f>
        <v>516</v>
      </c>
      <c r="H12" s="509">
        <f>AC8+AC9+AC10</f>
        <v>8</v>
      </c>
      <c r="I12" s="509">
        <f>AD8+AD9+AD10</f>
        <v>82</v>
      </c>
      <c r="J12" s="510">
        <f>SUM(B12:I12)</f>
        <v>876</v>
      </c>
      <c r="K12" s="8"/>
      <c r="L12" s="526" t="s">
        <v>420</v>
      </c>
      <c r="M12" s="513">
        <v>20</v>
      </c>
      <c r="N12" s="513">
        <v>73</v>
      </c>
      <c r="O12" s="513">
        <v>13</v>
      </c>
      <c r="P12" s="513">
        <v>57</v>
      </c>
      <c r="Q12" s="513">
        <v>64</v>
      </c>
      <c r="R12" s="513">
        <v>33</v>
      </c>
      <c r="S12" s="513">
        <v>5</v>
      </c>
      <c r="T12" s="513">
        <v>23</v>
      </c>
      <c r="U12" s="513">
        <v>5</v>
      </c>
      <c r="V12" s="513">
        <v>42</v>
      </c>
      <c r="W12" s="513">
        <v>51</v>
      </c>
      <c r="X12" s="513">
        <v>39</v>
      </c>
      <c r="Y12" s="513">
        <v>40</v>
      </c>
      <c r="Z12" s="513">
        <v>51</v>
      </c>
      <c r="AA12" s="513">
        <v>95</v>
      </c>
      <c r="AB12" s="513">
        <v>38</v>
      </c>
      <c r="AC12" s="513">
        <v>18</v>
      </c>
      <c r="AD12" s="513">
        <v>97</v>
      </c>
      <c r="AE12" s="513">
        <f t="shared" si="2"/>
        <v>764</v>
      </c>
    </row>
    <row r="13" spans="1:31" ht="18.75" customHeight="1" x14ac:dyDescent="0.15">
      <c r="A13" s="700"/>
      <c r="B13" s="514">
        <f>B12/B$34</f>
        <v>2.1848739495798318E-2</v>
      </c>
      <c r="C13" s="514">
        <f t="shared" ref="C13:J13" si="6">C12/C$34</f>
        <v>4.7220855878012787E-2</v>
      </c>
      <c r="D13" s="514">
        <f t="shared" si="6"/>
        <v>3.2078103207810321E-2</v>
      </c>
      <c r="E13" s="514">
        <f t="shared" si="6"/>
        <v>1.4619883040935672E-2</v>
      </c>
      <c r="F13" s="514">
        <f t="shared" si="6"/>
        <v>5.3076923076923077E-2</v>
      </c>
      <c r="G13" s="514">
        <f t="shared" si="6"/>
        <v>9.5414201183431954E-2</v>
      </c>
      <c r="H13" s="514">
        <f t="shared" si="6"/>
        <v>4.2105263157894736E-2</v>
      </c>
      <c r="I13" s="514">
        <f t="shared" si="6"/>
        <v>3.8371548900327561E-2</v>
      </c>
      <c r="J13" s="514">
        <f t="shared" si="6"/>
        <v>5.5956563398275309E-2</v>
      </c>
      <c r="K13" s="525"/>
      <c r="L13" s="526" t="s">
        <v>421</v>
      </c>
      <c r="M13" s="513">
        <v>26</v>
      </c>
      <c r="N13" s="513">
        <v>24</v>
      </c>
      <c r="O13" s="513">
        <v>13</v>
      </c>
      <c r="P13" s="513">
        <v>24</v>
      </c>
      <c r="Q13" s="513">
        <v>20</v>
      </c>
      <c r="R13" s="513">
        <v>37</v>
      </c>
      <c r="S13" s="513">
        <v>8</v>
      </c>
      <c r="T13" s="513">
        <v>10</v>
      </c>
      <c r="U13" s="513">
        <v>11</v>
      </c>
      <c r="V13" s="513">
        <v>59</v>
      </c>
      <c r="W13" s="513">
        <v>4</v>
      </c>
      <c r="X13" s="513">
        <v>15</v>
      </c>
      <c r="Y13" s="513">
        <v>76</v>
      </c>
      <c r="Z13" s="513">
        <v>68</v>
      </c>
      <c r="AA13" s="513">
        <v>86</v>
      </c>
      <c r="AB13" s="513">
        <v>62</v>
      </c>
      <c r="AC13" s="513">
        <v>44</v>
      </c>
      <c r="AD13" s="513">
        <v>183</v>
      </c>
      <c r="AE13" s="513">
        <f t="shared" si="2"/>
        <v>770</v>
      </c>
    </row>
    <row r="14" spans="1:31" ht="18.75" customHeight="1" x14ac:dyDescent="0.15">
      <c r="A14" s="699" t="s">
        <v>21</v>
      </c>
      <c r="B14" s="527">
        <f>M11+N11+O11</f>
        <v>1123</v>
      </c>
      <c r="C14" s="527">
        <f>P11+Q11</f>
        <v>989</v>
      </c>
      <c r="D14" s="527">
        <f>R11+S11+T11+U11</f>
        <v>847</v>
      </c>
      <c r="E14" s="527">
        <f>V11+W11</f>
        <v>767</v>
      </c>
      <c r="F14" s="527">
        <f>X11+Y11</f>
        <v>743</v>
      </c>
      <c r="G14" s="527">
        <f>Z11+AA11+AB11</f>
        <v>2292</v>
      </c>
      <c r="H14" s="527">
        <f>AC11</f>
        <v>66</v>
      </c>
      <c r="I14" s="527">
        <f>AD11</f>
        <v>1122</v>
      </c>
      <c r="J14" s="528">
        <f>SUM(B14:I14)</f>
        <v>7949</v>
      </c>
      <c r="K14" s="8"/>
      <c r="L14" s="526" t="s">
        <v>422</v>
      </c>
      <c r="M14" s="513">
        <v>4</v>
      </c>
      <c r="N14" s="513">
        <v>19</v>
      </c>
      <c r="O14" s="513">
        <v>5</v>
      </c>
      <c r="P14" s="513">
        <v>5</v>
      </c>
      <c r="Q14" s="513">
        <v>15</v>
      </c>
      <c r="R14" s="513">
        <v>18</v>
      </c>
      <c r="S14" s="513">
        <v>9</v>
      </c>
      <c r="T14" s="513">
        <v>7</v>
      </c>
      <c r="U14" s="513">
        <v>3</v>
      </c>
      <c r="V14" s="513">
        <v>20</v>
      </c>
      <c r="W14" s="513">
        <v>15</v>
      </c>
      <c r="X14" s="513">
        <v>15</v>
      </c>
      <c r="Y14" s="513">
        <v>18</v>
      </c>
      <c r="Z14" s="513">
        <v>17</v>
      </c>
      <c r="AA14" s="513">
        <v>37</v>
      </c>
      <c r="AB14" s="513">
        <v>18</v>
      </c>
      <c r="AC14" s="513">
        <v>14</v>
      </c>
      <c r="AD14" s="513">
        <v>47</v>
      </c>
      <c r="AE14" s="513">
        <f t="shared" si="2"/>
        <v>286</v>
      </c>
    </row>
    <row r="15" spans="1:31" ht="18.75" customHeight="1" x14ac:dyDescent="0.15">
      <c r="A15" s="700"/>
      <c r="B15" s="514">
        <f>B14/B$34</f>
        <v>0.62913165266106441</v>
      </c>
      <c r="C15" s="514">
        <f t="shared" ref="C15:J15" si="7">C14/C$34</f>
        <v>0.4864731923266109</v>
      </c>
      <c r="D15" s="514">
        <f t="shared" si="7"/>
        <v>0.59065550906555087</v>
      </c>
      <c r="E15" s="514">
        <f t="shared" si="7"/>
        <v>0.56067251461988299</v>
      </c>
      <c r="F15" s="514">
        <f t="shared" si="7"/>
        <v>0.57153846153846155</v>
      </c>
      <c r="G15" s="514">
        <f t="shared" si="7"/>
        <v>0.42381656804733731</v>
      </c>
      <c r="H15" s="514">
        <f t="shared" si="7"/>
        <v>0.3473684210526316</v>
      </c>
      <c r="I15" s="514">
        <f t="shared" si="7"/>
        <v>0.52503509592887221</v>
      </c>
      <c r="J15" s="514">
        <f t="shared" si="7"/>
        <v>0.50776109869051422</v>
      </c>
      <c r="K15" s="525"/>
      <c r="L15" s="526" t="s">
        <v>423</v>
      </c>
      <c r="M15" s="513">
        <v>1</v>
      </c>
      <c r="N15" s="513">
        <v>1</v>
      </c>
      <c r="O15" s="513">
        <v>1</v>
      </c>
      <c r="P15" s="513">
        <v>2</v>
      </c>
      <c r="Q15" s="513">
        <v>4</v>
      </c>
      <c r="R15" s="513"/>
      <c r="S15" s="513"/>
      <c r="T15" s="513">
        <v>1</v>
      </c>
      <c r="U15" s="513"/>
      <c r="V15" s="513">
        <v>1</v>
      </c>
      <c r="W15" s="513">
        <v>1</v>
      </c>
      <c r="X15" s="513"/>
      <c r="Y15" s="513">
        <v>5</v>
      </c>
      <c r="Z15" s="513">
        <v>2</v>
      </c>
      <c r="AA15" s="513">
        <v>3</v>
      </c>
      <c r="AB15" s="513"/>
      <c r="AC15" s="513">
        <v>18</v>
      </c>
      <c r="AD15" s="513">
        <v>3</v>
      </c>
      <c r="AE15" s="513">
        <f t="shared" si="2"/>
        <v>43</v>
      </c>
    </row>
    <row r="16" spans="1:31" ht="18.75" customHeight="1" x14ac:dyDescent="0.15">
      <c r="A16" s="699" t="s">
        <v>22</v>
      </c>
      <c r="B16" s="509">
        <f>M12+N12+O12+O13+M13+N13</f>
        <v>169</v>
      </c>
      <c r="C16" s="509">
        <f>P12+Q12+P13+Q13</f>
        <v>165</v>
      </c>
      <c r="D16" s="509">
        <f>R12+S12+T12+U12+R13+S13+T13+U13</f>
        <v>132</v>
      </c>
      <c r="E16" s="509">
        <f>V12+W12+V13+W13</f>
        <v>156</v>
      </c>
      <c r="F16" s="509">
        <f>X12+Y12+X13+Y13</f>
        <v>170</v>
      </c>
      <c r="G16" s="509">
        <f>Z13+AA13+AB13+Z12+AA12+AB12</f>
        <v>400</v>
      </c>
      <c r="H16" s="509">
        <f>AC12+AC13</f>
        <v>62</v>
      </c>
      <c r="I16" s="509">
        <f>AD12+AD13</f>
        <v>280</v>
      </c>
      <c r="J16" s="510">
        <f>SUM(B16:I16)</f>
        <v>1534</v>
      </c>
      <c r="K16" s="8"/>
      <c r="L16" s="526" t="s">
        <v>424</v>
      </c>
      <c r="M16" s="513">
        <v>1</v>
      </c>
      <c r="N16" s="513">
        <v>1</v>
      </c>
      <c r="O16" s="513">
        <v>1</v>
      </c>
      <c r="P16" s="513"/>
      <c r="Q16" s="513">
        <v>2</v>
      </c>
      <c r="R16" s="513">
        <v>3</v>
      </c>
      <c r="S16" s="513"/>
      <c r="T16" s="513"/>
      <c r="U16" s="513"/>
      <c r="V16" s="513">
        <v>3</v>
      </c>
      <c r="W16" s="513">
        <v>3</v>
      </c>
      <c r="X16" s="513">
        <v>1</v>
      </c>
      <c r="Y16" s="513">
        <v>5</v>
      </c>
      <c r="Z16" s="513">
        <v>3</v>
      </c>
      <c r="AA16" s="513">
        <v>12</v>
      </c>
      <c r="AB16" s="513">
        <v>3</v>
      </c>
      <c r="AC16" s="513">
        <v>1</v>
      </c>
      <c r="AD16" s="513">
        <v>1</v>
      </c>
      <c r="AE16" s="513">
        <f t="shared" si="2"/>
        <v>40</v>
      </c>
    </row>
    <row r="17" spans="1:31" ht="18.75" customHeight="1" x14ac:dyDescent="0.15">
      <c r="A17" s="700"/>
      <c r="B17" s="514">
        <f>B16/B$34</f>
        <v>9.467787114845938E-2</v>
      </c>
      <c r="C17" s="514">
        <f t="shared" ref="C17:J17" si="8">C16/C$34</f>
        <v>8.1160846040334481E-2</v>
      </c>
      <c r="D17" s="514">
        <f t="shared" si="8"/>
        <v>9.2050209205020925E-2</v>
      </c>
      <c r="E17" s="514">
        <f t="shared" si="8"/>
        <v>0.11403508771929824</v>
      </c>
      <c r="F17" s="514">
        <f t="shared" si="8"/>
        <v>0.13076923076923078</v>
      </c>
      <c r="G17" s="514">
        <f t="shared" si="8"/>
        <v>7.3964497041420121E-2</v>
      </c>
      <c r="H17" s="514">
        <f t="shared" si="8"/>
        <v>0.32631578947368423</v>
      </c>
      <c r="I17" s="514">
        <f t="shared" si="8"/>
        <v>0.13102480112306972</v>
      </c>
      <c r="J17" s="514">
        <f t="shared" si="8"/>
        <v>9.7987863302459274E-2</v>
      </c>
      <c r="K17" s="525"/>
      <c r="L17" s="526" t="s">
        <v>425</v>
      </c>
      <c r="M17" s="513">
        <v>7</v>
      </c>
      <c r="N17" s="513">
        <v>10</v>
      </c>
      <c r="O17" s="513">
        <v>2</v>
      </c>
      <c r="P17" s="513">
        <v>20</v>
      </c>
      <c r="Q17" s="513">
        <v>17</v>
      </c>
      <c r="R17" s="513">
        <v>26</v>
      </c>
      <c r="S17" s="513"/>
      <c r="T17" s="513">
        <v>3</v>
      </c>
      <c r="U17" s="513">
        <v>3</v>
      </c>
      <c r="V17" s="513">
        <v>8</v>
      </c>
      <c r="W17" s="513">
        <v>5</v>
      </c>
      <c r="X17" s="513">
        <v>6</v>
      </c>
      <c r="Y17" s="513">
        <v>7</v>
      </c>
      <c r="Z17" s="513">
        <v>25</v>
      </c>
      <c r="AA17" s="513">
        <v>89</v>
      </c>
      <c r="AB17" s="513">
        <v>30</v>
      </c>
      <c r="AC17" s="513">
        <v>4</v>
      </c>
      <c r="AD17" s="513">
        <v>37</v>
      </c>
      <c r="AE17" s="513">
        <f t="shared" si="2"/>
        <v>299</v>
      </c>
    </row>
    <row r="18" spans="1:31" ht="18.75" customHeight="1" x14ac:dyDescent="0.15">
      <c r="A18" s="699" t="s">
        <v>254</v>
      </c>
      <c r="B18" s="509">
        <f>M14+N14+O14</f>
        <v>28</v>
      </c>
      <c r="C18" s="509">
        <f>P14+Q14</f>
        <v>20</v>
      </c>
      <c r="D18" s="509">
        <f>R14+S14+T14+U14</f>
        <v>37</v>
      </c>
      <c r="E18" s="509">
        <f>V14+W14</f>
        <v>35</v>
      </c>
      <c r="F18" s="509">
        <f>X14+Y14</f>
        <v>33</v>
      </c>
      <c r="G18" s="509">
        <f>Z14+AA14+AB14</f>
        <v>72</v>
      </c>
      <c r="H18" s="509">
        <f>AC14</f>
        <v>14</v>
      </c>
      <c r="I18" s="509">
        <f>AD14</f>
        <v>47</v>
      </c>
      <c r="J18" s="510">
        <f>SUM(B18:I18)</f>
        <v>286</v>
      </c>
      <c r="K18" s="8"/>
      <c r="L18" s="526" t="s">
        <v>426</v>
      </c>
      <c r="M18" s="513"/>
      <c r="N18" s="513">
        <v>9</v>
      </c>
      <c r="O18" s="513">
        <v>3</v>
      </c>
      <c r="P18" s="513">
        <v>6</v>
      </c>
      <c r="Q18" s="513">
        <v>5</v>
      </c>
      <c r="R18" s="513">
        <v>23</v>
      </c>
      <c r="S18" s="513">
        <v>1</v>
      </c>
      <c r="T18" s="513">
        <v>1</v>
      </c>
      <c r="U18" s="513"/>
      <c r="V18" s="513">
        <v>14</v>
      </c>
      <c r="W18" s="513">
        <v>3</v>
      </c>
      <c r="X18" s="513">
        <v>2</v>
      </c>
      <c r="Y18" s="513">
        <v>8</v>
      </c>
      <c r="Z18" s="513">
        <v>5</v>
      </c>
      <c r="AA18" s="513">
        <v>9</v>
      </c>
      <c r="AB18" s="513">
        <v>3</v>
      </c>
      <c r="AC18" s="513">
        <v>5</v>
      </c>
      <c r="AD18" s="513">
        <v>22</v>
      </c>
      <c r="AE18" s="513">
        <f t="shared" si="2"/>
        <v>119</v>
      </c>
    </row>
    <row r="19" spans="1:31" ht="18.75" customHeight="1" x14ac:dyDescent="0.15">
      <c r="A19" s="700"/>
      <c r="B19" s="514">
        <f>B18/B$34</f>
        <v>1.5686274509803921E-2</v>
      </c>
      <c r="C19" s="514">
        <f t="shared" ref="C19:J19" si="9">C18/C$34</f>
        <v>9.8376783079193314E-3</v>
      </c>
      <c r="D19" s="514">
        <f t="shared" si="9"/>
        <v>2.5801952580195259E-2</v>
      </c>
      <c r="E19" s="514">
        <f t="shared" si="9"/>
        <v>2.5584795321637425E-2</v>
      </c>
      <c r="F19" s="514">
        <f t="shared" si="9"/>
        <v>2.5384615384615384E-2</v>
      </c>
      <c r="G19" s="514">
        <f t="shared" si="9"/>
        <v>1.3313609467455622E-2</v>
      </c>
      <c r="H19" s="514">
        <f t="shared" si="9"/>
        <v>7.3684210526315783E-2</v>
      </c>
      <c r="I19" s="514">
        <f t="shared" si="9"/>
        <v>2.1993448759943846E-2</v>
      </c>
      <c r="J19" s="514">
        <f t="shared" si="9"/>
        <v>1.8268923666560206E-2</v>
      </c>
      <c r="K19" s="525"/>
      <c r="L19" s="526" t="s">
        <v>427</v>
      </c>
      <c r="M19" s="513"/>
      <c r="N19" s="513">
        <v>2</v>
      </c>
      <c r="O19" s="513">
        <v>4</v>
      </c>
      <c r="P19" s="513">
        <v>2</v>
      </c>
      <c r="Q19" s="513"/>
      <c r="R19" s="513">
        <v>10</v>
      </c>
      <c r="S19" s="513">
        <v>2</v>
      </c>
      <c r="T19" s="513"/>
      <c r="U19" s="513"/>
      <c r="V19" s="513">
        <v>1</v>
      </c>
      <c r="W19" s="513"/>
      <c r="X19" s="513"/>
      <c r="Y19" s="513">
        <v>3</v>
      </c>
      <c r="Z19" s="513"/>
      <c r="AA19" s="513">
        <v>1</v>
      </c>
      <c r="AB19" s="513"/>
      <c r="AC19" s="513">
        <v>1</v>
      </c>
      <c r="AD19" s="513">
        <v>13</v>
      </c>
      <c r="AE19" s="513">
        <f t="shared" si="2"/>
        <v>39</v>
      </c>
    </row>
    <row r="20" spans="1:31" ht="18.75" customHeight="1" x14ac:dyDescent="0.15">
      <c r="A20" s="699" t="s">
        <v>255</v>
      </c>
      <c r="B20" s="509">
        <f>M15+N15+O15</f>
        <v>3</v>
      </c>
      <c r="C20" s="509">
        <f>P15+Q15</f>
        <v>6</v>
      </c>
      <c r="D20" s="509">
        <f>R15+S15+T15+U15</f>
        <v>1</v>
      </c>
      <c r="E20" s="509">
        <f>V15+W15</f>
        <v>2</v>
      </c>
      <c r="F20" s="509">
        <f>X15+Y15</f>
        <v>5</v>
      </c>
      <c r="G20" s="509">
        <f>Z15+AA15+AB15</f>
        <v>5</v>
      </c>
      <c r="H20" s="509">
        <f>AC15</f>
        <v>18</v>
      </c>
      <c r="I20" s="509">
        <f>AD15</f>
        <v>3</v>
      </c>
      <c r="J20" s="510">
        <f>SUM(B20:I20)</f>
        <v>43</v>
      </c>
      <c r="K20" s="8"/>
      <c r="L20" s="526" t="s">
        <v>428</v>
      </c>
      <c r="M20" s="513">
        <v>1</v>
      </c>
      <c r="N20" s="513">
        <v>7</v>
      </c>
      <c r="O20" s="513"/>
      <c r="P20" s="513"/>
      <c r="Q20" s="513">
        <v>2</v>
      </c>
      <c r="R20" s="513">
        <v>3</v>
      </c>
      <c r="S20" s="513"/>
      <c r="T20" s="513">
        <v>1</v>
      </c>
      <c r="U20" s="513"/>
      <c r="V20" s="513">
        <v>1</v>
      </c>
      <c r="W20" s="513">
        <v>11</v>
      </c>
      <c r="X20" s="513"/>
      <c r="Y20" s="513">
        <v>3</v>
      </c>
      <c r="Z20" s="513">
        <v>1</v>
      </c>
      <c r="AA20" s="513">
        <v>10</v>
      </c>
      <c r="AB20" s="513">
        <v>2</v>
      </c>
      <c r="AC20" s="513"/>
      <c r="AD20" s="513">
        <v>6</v>
      </c>
      <c r="AE20" s="513">
        <f t="shared" si="2"/>
        <v>48</v>
      </c>
    </row>
    <row r="21" spans="1:31" ht="18.75" customHeight="1" x14ac:dyDescent="0.15">
      <c r="A21" s="700"/>
      <c r="B21" s="514">
        <f>B20/B$34</f>
        <v>1.6806722689075631E-3</v>
      </c>
      <c r="C21" s="514">
        <f t="shared" ref="C21:J21" si="10">C20/C$34</f>
        <v>2.9513034923757992E-3</v>
      </c>
      <c r="D21" s="514">
        <f t="shared" si="10"/>
        <v>6.9735006973500695E-4</v>
      </c>
      <c r="E21" s="514">
        <f t="shared" si="10"/>
        <v>1.4619883040935672E-3</v>
      </c>
      <c r="F21" s="514">
        <f t="shared" si="10"/>
        <v>3.8461538461538464E-3</v>
      </c>
      <c r="G21" s="514">
        <f t="shared" si="10"/>
        <v>9.2455621301775143E-4</v>
      </c>
      <c r="H21" s="514">
        <f t="shared" si="10"/>
        <v>9.4736842105263161E-2</v>
      </c>
      <c r="I21" s="514">
        <f t="shared" si="10"/>
        <v>1.4038371548900327E-3</v>
      </c>
      <c r="J21" s="514">
        <f t="shared" si="10"/>
        <v>2.7467262855317789E-3</v>
      </c>
      <c r="K21" s="525"/>
      <c r="L21" s="526" t="s">
        <v>18</v>
      </c>
      <c r="M21" s="513"/>
      <c r="N21" s="513">
        <v>24</v>
      </c>
      <c r="O21" s="513">
        <v>2</v>
      </c>
      <c r="P21" s="513">
        <v>14</v>
      </c>
      <c r="Q21" s="513">
        <v>11</v>
      </c>
      <c r="R21" s="513"/>
      <c r="S21" s="513"/>
      <c r="T21" s="513">
        <v>1</v>
      </c>
      <c r="U21" s="513">
        <v>3</v>
      </c>
      <c r="V21" s="513">
        <v>6</v>
      </c>
      <c r="W21" s="513">
        <v>13</v>
      </c>
      <c r="X21" s="513"/>
      <c r="Y21" s="513">
        <v>8</v>
      </c>
      <c r="Z21" s="513">
        <v>3</v>
      </c>
      <c r="AA21" s="513">
        <v>31</v>
      </c>
      <c r="AB21" s="513">
        <v>6</v>
      </c>
      <c r="AC21" s="513">
        <v>1</v>
      </c>
      <c r="AD21" s="513">
        <v>15</v>
      </c>
      <c r="AE21" s="513">
        <f t="shared" si="2"/>
        <v>138</v>
      </c>
    </row>
    <row r="22" spans="1:31" ht="18.75" customHeight="1" x14ac:dyDescent="0.15">
      <c r="A22" s="699" t="s">
        <v>429</v>
      </c>
      <c r="B22" s="509">
        <f>M16+N16+O16</f>
        <v>3</v>
      </c>
      <c r="C22" s="509">
        <f>P16+Q16</f>
        <v>2</v>
      </c>
      <c r="D22" s="509">
        <f>R16+S16+T16+U16</f>
        <v>3</v>
      </c>
      <c r="E22" s="509">
        <f>V16+W16</f>
        <v>6</v>
      </c>
      <c r="F22" s="509">
        <f>X16+Y16</f>
        <v>6</v>
      </c>
      <c r="G22" s="509">
        <f>Z16+AA16+AB16</f>
        <v>18</v>
      </c>
      <c r="H22" s="509">
        <f>AC16</f>
        <v>1</v>
      </c>
      <c r="I22" s="509">
        <f>AD16</f>
        <v>1</v>
      </c>
      <c r="J22" s="510">
        <f>SUM(B22:I22)</f>
        <v>40</v>
      </c>
      <c r="K22" s="8"/>
      <c r="M22" s="513">
        <f>SUM(M5:M21)</f>
        <v>537</v>
      </c>
      <c r="N22" s="513">
        <f t="shared" ref="N22:AD22" si="11">SUM(N5:N21)</f>
        <v>914</v>
      </c>
      <c r="O22" s="513">
        <f t="shared" si="11"/>
        <v>334</v>
      </c>
      <c r="P22" s="513">
        <f t="shared" si="11"/>
        <v>1347</v>
      </c>
      <c r="Q22" s="513">
        <f t="shared" si="11"/>
        <v>686</v>
      </c>
      <c r="R22" s="513">
        <f t="shared" si="11"/>
        <v>767</v>
      </c>
      <c r="S22" s="513">
        <f t="shared" si="11"/>
        <v>229</v>
      </c>
      <c r="T22" s="513">
        <f t="shared" si="11"/>
        <v>244</v>
      </c>
      <c r="U22" s="513">
        <f t="shared" si="11"/>
        <v>194</v>
      </c>
      <c r="V22" s="513">
        <f t="shared" si="11"/>
        <v>791</v>
      </c>
      <c r="W22" s="513">
        <f t="shared" si="11"/>
        <v>577</v>
      </c>
      <c r="X22" s="513">
        <f t="shared" si="11"/>
        <v>470</v>
      </c>
      <c r="Y22" s="513">
        <f t="shared" si="11"/>
        <v>830</v>
      </c>
      <c r="Z22" s="513">
        <f t="shared" si="11"/>
        <v>1678</v>
      </c>
      <c r="AA22" s="513">
        <f t="shared" si="11"/>
        <v>2482</v>
      </c>
      <c r="AB22" s="513">
        <f t="shared" si="11"/>
        <v>1248</v>
      </c>
      <c r="AC22" s="513">
        <f t="shared" si="11"/>
        <v>190</v>
      </c>
      <c r="AD22" s="513">
        <f t="shared" si="11"/>
        <v>2137</v>
      </c>
      <c r="AE22" s="513">
        <f>SUM(AE5:AE21)</f>
        <v>15655</v>
      </c>
    </row>
    <row r="23" spans="1:31" ht="18.75" customHeight="1" x14ac:dyDescent="0.15">
      <c r="A23" s="700"/>
      <c r="B23" s="514">
        <f>B22/B$34</f>
        <v>1.6806722689075631E-3</v>
      </c>
      <c r="C23" s="514">
        <f t="shared" ref="C23:J23" si="12">C22/C$34</f>
        <v>9.8376783079193305E-4</v>
      </c>
      <c r="D23" s="514">
        <f t="shared" si="12"/>
        <v>2.0920502092050207E-3</v>
      </c>
      <c r="E23" s="514">
        <f t="shared" si="12"/>
        <v>4.3859649122807015E-3</v>
      </c>
      <c r="F23" s="514">
        <f t="shared" si="12"/>
        <v>4.6153846153846158E-3</v>
      </c>
      <c r="G23" s="514">
        <f t="shared" si="12"/>
        <v>3.3284023668639054E-3</v>
      </c>
      <c r="H23" s="514">
        <f t="shared" si="12"/>
        <v>5.263157894736842E-3</v>
      </c>
      <c r="I23" s="514">
        <f t="shared" si="12"/>
        <v>4.6794571829667761E-4</v>
      </c>
      <c r="J23" s="514">
        <f t="shared" si="12"/>
        <v>2.5550942190993293E-3</v>
      </c>
      <c r="K23" s="525"/>
    </row>
    <row r="24" spans="1:31" ht="18.75" customHeight="1" x14ac:dyDescent="0.15">
      <c r="A24" s="699" t="s">
        <v>430</v>
      </c>
      <c r="B24" s="509">
        <f>M17+N17+O17</f>
        <v>19</v>
      </c>
      <c r="C24" s="509">
        <f>P17+Q17</f>
        <v>37</v>
      </c>
      <c r="D24" s="509">
        <f>R17+S17+T17+U17</f>
        <v>32</v>
      </c>
      <c r="E24" s="509">
        <f>V17+W17</f>
        <v>13</v>
      </c>
      <c r="F24" s="509">
        <f>X17+Y17</f>
        <v>13</v>
      </c>
      <c r="G24" s="509">
        <f>Z17+AA17+AB17</f>
        <v>144</v>
      </c>
      <c r="H24" s="509">
        <f>AC17</f>
        <v>4</v>
      </c>
      <c r="I24" s="509">
        <f>AD17</f>
        <v>37</v>
      </c>
      <c r="J24" s="510">
        <f>SUM(B24:I24)</f>
        <v>299</v>
      </c>
      <c r="K24" s="8"/>
    </row>
    <row r="25" spans="1:31" ht="18.75" customHeight="1" x14ac:dyDescent="0.15">
      <c r="A25" s="700"/>
      <c r="B25" s="514">
        <f>B24/B$34</f>
        <v>1.0644257703081233E-2</v>
      </c>
      <c r="C25" s="514">
        <f t="shared" ref="C25:J25" si="13">C24/C$34</f>
        <v>1.8199704869650762E-2</v>
      </c>
      <c r="D25" s="514">
        <f t="shared" si="13"/>
        <v>2.2315202231520222E-2</v>
      </c>
      <c r="E25" s="514">
        <f t="shared" si="13"/>
        <v>9.5029239766081866E-3</v>
      </c>
      <c r="F25" s="514">
        <f t="shared" si="13"/>
        <v>0.01</v>
      </c>
      <c r="G25" s="514">
        <f t="shared" si="13"/>
        <v>2.6627218934911243E-2</v>
      </c>
      <c r="H25" s="514">
        <f t="shared" si="13"/>
        <v>2.1052631578947368E-2</v>
      </c>
      <c r="I25" s="514">
        <f t="shared" si="13"/>
        <v>1.7313991576977071E-2</v>
      </c>
      <c r="J25" s="514">
        <f t="shared" si="13"/>
        <v>1.9099329287767485E-2</v>
      </c>
      <c r="K25" s="525"/>
    </row>
    <row r="26" spans="1:31" ht="18.75" customHeight="1" x14ac:dyDescent="0.15">
      <c r="A26" s="699" t="s">
        <v>83</v>
      </c>
      <c r="B26" s="509">
        <f>M18+N18+O18</f>
        <v>12</v>
      </c>
      <c r="C26" s="509">
        <f>P18+Q18</f>
        <v>11</v>
      </c>
      <c r="D26" s="509">
        <f>R18+S18+T18+U18</f>
        <v>25</v>
      </c>
      <c r="E26" s="509">
        <f>V18+W18</f>
        <v>17</v>
      </c>
      <c r="F26" s="509">
        <f>X18+Y18</f>
        <v>10</v>
      </c>
      <c r="G26" s="509">
        <f>Z18+AA18+AB18</f>
        <v>17</v>
      </c>
      <c r="H26" s="509">
        <f>AC18</f>
        <v>5</v>
      </c>
      <c r="I26" s="509">
        <f>AD18</f>
        <v>22</v>
      </c>
      <c r="J26" s="510">
        <f>SUM(B26:I26)</f>
        <v>119</v>
      </c>
      <c r="K26" s="8"/>
    </row>
    <row r="27" spans="1:31" ht="18.75" customHeight="1" x14ac:dyDescent="0.15">
      <c r="A27" s="700"/>
      <c r="B27" s="514">
        <f>B26/B$34</f>
        <v>6.7226890756302525E-3</v>
      </c>
      <c r="C27" s="514">
        <f t="shared" ref="C27:J27" si="14">C26/C$34</f>
        <v>5.4107230693556324E-3</v>
      </c>
      <c r="D27" s="514">
        <f t="shared" si="14"/>
        <v>1.7433751743375175E-2</v>
      </c>
      <c r="E27" s="514">
        <f t="shared" si="14"/>
        <v>1.2426900584795321E-2</v>
      </c>
      <c r="F27" s="514">
        <f t="shared" si="14"/>
        <v>7.6923076923076927E-3</v>
      </c>
      <c r="G27" s="514">
        <f t="shared" si="14"/>
        <v>3.143491124260355E-3</v>
      </c>
      <c r="H27" s="514">
        <f t="shared" si="14"/>
        <v>2.6315789473684209E-2</v>
      </c>
      <c r="I27" s="514">
        <f t="shared" si="14"/>
        <v>1.0294805802526907E-2</v>
      </c>
      <c r="J27" s="514">
        <f t="shared" si="14"/>
        <v>7.6014053018205047E-3</v>
      </c>
      <c r="K27" s="525"/>
    </row>
    <row r="28" spans="1:31" ht="18.75" customHeight="1" x14ac:dyDescent="0.15">
      <c r="A28" s="699" t="s">
        <v>431</v>
      </c>
      <c r="B28" s="509">
        <f>M19+N19+O19</f>
        <v>6</v>
      </c>
      <c r="C28" s="509">
        <f>P19+Q19</f>
        <v>2</v>
      </c>
      <c r="D28" s="509">
        <f>R19+S19+T19+U19</f>
        <v>12</v>
      </c>
      <c r="E28" s="509">
        <f>V19+W19</f>
        <v>1</v>
      </c>
      <c r="F28" s="509">
        <f>X19+Y19</f>
        <v>3</v>
      </c>
      <c r="G28" s="509">
        <f>Z19+AA19+AB19</f>
        <v>1</v>
      </c>
      <c r="H28" s="509">
        <f>AC19</f>
        <v>1</v>
      </c>
      <c r="I28" s="509">
        <f>AD19</f>
        <v>13</v>
      </c>
      <c r="J28" s="510">
        <f>SUM(B28:I28)</f>
        <v>39</v>
      </c>
      <c r="K28" s="8"/>
    </row>
    <row r="29" spans="1:31" ht="26.25" customHeight="1" x14ac:dyDescent="0.15">
      <c r="A29" s="700"/>
      <c r="B29" s="514">
        <f>B28/B$34</f>
        <v>3.3613445378151263E-3</v>
      </c>
      <c r="C29" s="514">
        <f t="shared" ref="C29:J29" si="15">C28/C$34</f>
        <v>9.8376783079193305E-4</v>
      </c>
      <c r="D29" s="514">
        <f t="shared" si="15"/>
        <v>8.368200836820083E-3</v>
      </c>
      <c r="E29" s="514">
        <f t="shared" si="15"/>
        <v>7.3099415204678359E-4</v>
      </c>
      <c r="F29" s="514">
        <f t="shared" si="15"/>
        <v>2.3076923076923079E-3</v>
      </c>
      <c r="G29" s="514">
        <f t="shared" si="15"/>
        <v>1.8491124260355029E-4</v>
      </c>
      <c r="H29" s="514">
        <f t="shared" si="15"/>
        <v>5.263157894736842E-3</v>
      </c>
      <c r="I29" s="514">
        <f t="shared" si="15"/>
        <v>6.0832943378568089E-3</v>
      </c>
      <c r="J29" s="514">
        <f t="shared" si="15"/>
        <v>2.491216863621846E-3</v>
      </c>
      <c r="K29" s="525"/>
    </row>
    <row r="30" spans="1:31" ht="18.75" customHeight="1" x14ac:dyDescent="0.15">
      <c r="A30" s="699" t="s">
        <v>124</v>
      </c>
      <c r="B30" s="509">
        <f>M20+N20+O20</f>
        <v>8</v>
      </c>
      <c r="C30" s="509">
        <f>P20+Q20</f>
        <v>2</v>
      </c>
      <c r="D30" s="509">
        <f>R20+S20+T20+U20</f>
        <v>4</v>
      </c>
      <c r="E30" s="509">
        <f>V20+W20</f>
        <v>12</v>
      </c>
      <c r="F30" s="509">
        <f>X20+Y20</f>
        <v>3</v>
      </c>
      <c r="G30" s="509">
        <f>Z20+AA20+AB20</f>
        <v>13</v>
      </c>
      <c r="H30" s="509">
        <f>AC20</f>
        <v>0</v>
      </c>
      <c r="I30" s="509">
        <f>AD20</f>
        <v>6</v>
      </c>
      <c r="J30" s="510">
        <f>SUM(B30:I30)</f>
        <v>48</v>
      </c>
      <c r="K30" s="8"/>
    </row>
    <row r="31" spans="1:31" ht="18.75" customHeight="1" x14ac:dyDescent="0.15">
      <c r="A31" s="700"/>
      <c r="B31" s="514">
        <f>B30/B$34</f>
        <v>4.4817927170868344E-3</v>
      </c>
      <c r="C31" s="514">
        <f t="shared" ref="C31:J31" si="16">C30/C$34</f>
        <v>9.8376783079193305E-4</v>
      </c>
      <c r="D31" s="514">
        <f t="shared" si="16"/>
        <v>2.7894002789400278E-3</v>
      </c>
      <c r="E31" s="514">
        <f t="shared" si="16"/>
        <v>8.771929824561403E-3</v>
      </c>
      <c r="F31" s="514">
        <f t="shared" si="16"/>
        <v>2.3076923076923079E-3</v>
      </c>
      <c r="G31" s="514">
        <f t="shared" si="16"/>
        <v>2.403846153846154E-3</v>
      </c>
      <c r="H31" s="514">
        <f t="shared" si="16"/>
        <v>0</v>
      </c>
      <c r="I31" s="514">
        <f t="shared" si="16"/>
        <v>2.8076743097800653E-3</v>
      </c>
      <c r="J31" s="514">
        <f t="shared" si="16"/>
        <v>3.0661130629191951E-3</v>
      </c>
      <c r="K31" s="525"/>
    </row>
    <row r="32" spans="1:31" ht="18.75" customHeight="1" x14ac:dyDescent="0.15">
      <c r="A32" s="699" t="s">
        <v>432</v>
      </c>
      <c r="B32" s="509">
        <f>M21+N21+O21</f>
        <v>26</v>
      </c>
      <c r="C32" s="509">
        <f>P21+Q21</f>
        <v>25</v>
      </c>
      <c r="D32" s="509">
        <f>R21+S21+T21+U21</f>
        <v>4</v>
      </c>
      <c r="E32" s="509">
        <f>V21+W21</f>
        <v>19</v>
      </c>
      <c r="F32" s="509">
        <f>X21+Y21</f>
        <v>8</v>
      </c>
      <c r="G32" s="509">
        <f>Z21+AA21+AB21</f>
        <v>40</v>
      </c>
      <c r="H32" s="509">
        <f>AC21</f>
        <v>1</v>
      </c>
      <c r="I32" s="509">
        <f>AD21</f>
        <v>15</v>
      </c>
      <c r="J32" s="510">
        <f>SUM(B32:I32)</f>
        <v>138</v>
      </c>
      <c r="K32" s="8"/>
    </row>
    <row r="33" spans="1:17" ht="18.75" customHeight="1" x14ac:dyDescent="0.15">
      <c r="A33" s="700"/>
      <c r="B33" s="514">
        <f>B32/B$34</f>
        <v>1.4565826330532213E-2</v>
      </c>
      <c r="C33" s="514">
        <f t="shared" ref="C33:J33" si="17">C32/C$34</f>
        <v>1.2297097884899164E-2</v>
      </c>
      <c r="D33" s="514">
        <f t="shared" si="17"/>
        <v>2.7894002789400278E-3</v>
      </c>
      <c r="E33" s="514">
        <f t="shared" si="17"/>
        <v>1.3888888888888888E-2</v>
      </c>
      <c r="F33" s="514">
        <f t="shared" si="17"/>
        <v>6.1538461538461538E-3</v>
      </c>
      <c r="G33" s="514">
        <f t="shared" si="17"/>
        <v>7.3964497041420114E-3</v>
      </c>
      <c r="H33" s="514">
        <f t="shared" si="17"/>
        <v>5.263157894736842E-3</v>
      </c>
      <c r="I33" s="514">
        <f t="shared" si="17"/>
        <v>7.0191857744501636E-3</v>
      </c>
      <c r="J33" s="514">
        <f t="shared" si="17"/>
        <v>8.8150750558926867E-3</v>
      </c>
      <c r="K33" s="525"/>
    </row>
    <row r="34" spans="1:17" ht="18.75" customHeight="1" x14ac:dyDescent="0.15">
      <c r="A34" s="698" t="s">
        <v>162</v>
      </c>
      <c r="B34" s="515">
        <f t="shared" ref="B34:J34" si="18">B4+B12+B14+B16+B18+B20+B22+B24+B26+B28+B30+B32</f>
        <v>1785</v>
      </c>
      <c r="C34" s="515">
        <f t="shared" si="18"/>
        <v>2033</v>
      </c>
      <c r="D34" s="515">
        <f t="shared" si="18"/>
        <v>1434</v>
      </c>
      <c r="E34" s="515">
        <f t="shared" si="18"/>
        <v>1368</v>
      </c>
      <c r="F34" s="515">
        <f t="shared" si="18"/>
        <v>1300</v>
      </c>
      <c r="G34" s="515">
        <f t="shared" si="18"/>
        <v>5408</v>
      </c>
      <c r="H34" s="515">
        <f t="shared" si="18"/>
        <v>190</v>
      </c>
      <c r="I34" s="515">
        <f t="shared" si="18"/>
        <v>2137</v>
      </c>
      <c r="J34" s="515">
        <f t="shared" si="18"/>
        <v>15655</v>
      </c>
      <c r="K34" s="529"/>
    </row>
    <row r="35" spans="1:17" ht="18.75" customHeight="1" x14ac:dyDescent="0.15">
      <c r="A35" s="696"/>
      <c r="B35" s="517">
        <f>SUM(B7,B9,B11,B13,B15,B17,B19,B21,B23,B25,B27,B29,B31,B33)</f>
        <v>0.99999999999999978</v>
      </c>
      <c r="C35" s="517">
        <f t="shared" ref="C35:J35" si="19">SUM(C7,C9,C11,C13,C15,C17,C19,C21,C23,C25,C27,C29,C31,C33)</f>
        <v>1</v>
      </c>
      <c r="D35" s="517">
        <f t="shared" si="19"/>
        <v>0.99999999999999989</v>
      </c>
      <c r="E35" s="517">
        <f t="shared" si="19"/>
        <v>1</v>
      </c>
      <c r="F35" s="517">
        <f t="shared" si="19"/>
        <v>1</v>
      </c>
      <c r="G35" s="517">
        <f t="shared" si="19"/>
        <v>1.0000000000000002</v>
      </c>
      <c r="H35" s="517">
        <f t="shared" si="19"/>
        <v>1</v>
      </c>
      <c r="I35" s="517">
        <f t="shared" si="19"/>
        <v>0.99999999999999989</v>
      </c>
      <c r="J35" s="517">
        <f t="shared" si="19"/>
        <v>0.99999999999999989</v>
      </c>
      <c r="K35" s="530"/>
    </row>
    <row r="38" spans="1:17" x14ac:dyDescent="0.15">
      <c r="A38" s="378"/>
      <c r="B38" s="378"/>
      <c r="C38" s="378"/>
      <c r="D38" s="378"/>
      <c r="E38" s="378"/>
      <c r="F38" s="378"/>
      <c r="G38" s="378"/>
      <c r="H38" s="378"/>
      <c r="I38" s="378"/>
      <c r="J38" s="378"/>
      <c r="K38" s="378"/>
      <c r="L38" s="378"/>
      <c r="M38" s="378"/>
      <c r="N38" s="378"/>
      <c r="O38" s="378"/>
      <c r="P38" s="378"/>
      <c r="Q38" s="378"/>
    </row>
    <row r="39" spans="1:17" x14ac:dyDescent="0.15">
      <c r="A39" s="54"/>
    </row>
    <row r="40" spans="1:17" x14ac:dyDescent="0.15">
      <c r="A40" s="54"/>
    </row>
    <row r="41" spans="1:17" x14ac:dyDescent="0.15">
      <c r="A41" s="54"/>
    </row>
    <row r="42" spans="1:17" x14ac:dyDescent="0.15">
      <c r="A42" s="54"/>
    </row>
    <row r="43" spans="1:17" x14ac:dyDescent="0.15">
      <c r="A43" s="54"/>
    </row>
    <row r="44" spans="1:17" x14ac:dyDescent="0.15">
      <c r="A44" s="54"/>
    </row>
    <row r="45" spans="1:17" x14ac:dyDescent="0.15">
      <c r="A45" s="54"/>
    </row>
    <row r="46" spans="1:17" x14ac:dyDescent="0.15">
      <c r="A46" s="54"/>
    </row>
    <row r="47" spans="1:17" x14ac:dyDescent="0.15">
      <c r="A47" s="54"/>
    </row>
    <row r="48" spans="1:17" x14ac:dyDescent="0.15">
      <c r="A48" s="54"/>
    </row>
    <row r="49" spans="1:5" x14ac:dyDescent="0.15">
      <c r="A49" s="54"/>
    </row>
    <row r="50" spans="1:5" x14ac:dyDescent="0.15">
      <c r="A50" s="54"/>
    </row>
    <row r="51" spans="1:5" x14ac:dyDescent="0.15">
      <c r="A51" s="54"/>
    </row>
    <row r="52" spans="1:5" x14ac:dyDescent="0.15">
      <c r="A52" s="54"/>
    </row>
    <row r="53" spans="1:5" x14ac:dyDescent="0.15">
      <c r="A53" s="54"/>
      <c r="B53" s="531"/>
      <c r="C53" s="531"/>
      <c r="D53" s="531"/>
      <c r="E53" s="531"/>
    </row>
    <row r="54" spans="1:5" x14ac:dyDescent="0.15">
      <c r="A54" s="43"/>
      <c r="B54" s="531"/>
      <c r="C54" s="531"/>
      <c r="D54" s="531"/>
      <c r="E54" s="531"/>
    </row>
    <row r="55" spans="1:5" x14ac:dyDescent="0.15">
      <c r="A55" s="54"/>
    </row>
  </sheetData>
  <mergeCells count="16">
    <mergeCell ref="A28:A29"/>
    <mergeCell ref="A30:A31"/>
    <mergeCell ref="A32:A33"/>
    <mergeCell ref="A34:A35"/>
    <mergeCell ref="A16:A17"/>
    <mergeCell ref="A18:A19"/>
    <mergeCell ref="A20:A21"/>
    <mergeCell ref="A22:A23"/>
    <mergeCell ref="A24:A25"/>
    <mergeCell ref="A26:A27"/>
    <mergeCell ref="A14:A15"/>
    <mergeCell ref="A4:A5"/>
    <mergeCell ref="A6:A7"/>
    <mergeCell ref="A8:A9"/>
    <mergeCell ref="A10:A11"/>
    <mergeCell ref="A12:A13"/>
  </mergeCells>
  <phoneticPr fontId="2"/>
  <printOptions horizontalCentered="1"/>
  <pageMargins left="0.70866141732283472" right="0.70866141732283472" top="0.74803149606299213" bottom="0.74803149606299213" header="0.31496062992125984" footer="0.31496062992125984"/>
  <pageSetup paperSize="9" scale="83"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499984740745262"/>
    <pageSetUpPr fitToPage="1"/>
  </sheetPr>
  <dimension ref="A1:S66"/>
  <sheetViews>
    <sheetView view="pageBreakPreview" zoomScaleNormal="100" zoomScaleSheetLayoutView="100" workbookViewId="0">
      <selection activeCell="A46" sqref="A46:XFD66"/>
    </sheetView>
  </sheetViews>
  <sheetFormatPr defaultColWidth="13.75" defaultRowHeight="18.75" x14ac:dyDescent="0.15"/>
  <cols>
    <col min="1" max="1" width="15.625" style="1" customWidth="1"/>
    <col min="2" max="10" width="8.75" style="1" customWidth="1"/>
    <col min="11" max="19" width="7.625" style="1" customWidth="1"/>
    <col min="20" max="16384" width="13.75" style="1"/>
  </cols>
  <sheetData>
    <row r="1" spans="1:10" s="3" customFormat="1" ht="19.5" x14ac:dyDescent="0.15">
      <c r="A1" s="2" t="s">
        <v>433</v>
      </c>
    </row>
    <row r="2" spans="1:10" x14ac:dyDescent="0.15">
      <c r="A2" s="4"/>
    </row>
    <row r="3" spans="1:10" ht="18.75" customHeight="1" x14ac:dyDescent="0.15">
      <c r="A3" s="508"/>
      <c r="B3" s="508" t="s">
        <v>382</v>
      </c>
      <c r="C3" s="508" t="s">
        <v>383</v>
      </c>
      <c r="D3" s="508" t="s">
        <v>384</v>
      </c>
      <c r="E3" s="508" t="s">
        <v>385</v>
      </c>
      <c r="F3" s="508" t="s">
        <v>386</v>
      </c>
      <c r="G3" s="508" t="s">
        <v>387</v>
      </c>
      <c r="H3" s="508" t="s">
        <v>388</v>
      </c>
      <c r="I3" s="508" t="s">
        <v>389</v>
      </c>
      <c r="J3" s="508" t="s">
        <v>62</v>
      </c>
    </row>
    <row r="4" spans="1:10" s="22" customFormat="1" ht="18.75" customHeight="1" x14ac:dyDescent="0.15">
      <c r="A4" s="703" t="s">
        <v>60</v>
      </c>
      <c r="B4" s="509">
        <f>SUM(B50:D50)</f>
        <v>213</v>
      </c>
      <c r="C4" s="509">
        <f>SUM(E50:F50)</f>
        <v>197</v>
      </c>
      <c r="D4" s="509">
        <f>SUM(G50:J50)</f>
        <v>194</v>
      </c>
      <c r="E4" s="509">
        <f>SUM(K50:L50)</f>
        <v>235</v>
      </c>
      <c r="F4" s="509">
        <f>SUM(M50:N50)</f>
        <v>141</v>
      </c>
      <c r="G4" s="509">
        <f>SUM(O50:Q50)</f>
        <v>353</v>
      </c>
      <c r="H4" s="509">
        <f>R50</f>
        <v>109</v>
      </c>
      <c r="I4" s="509">
        <f>S50</f>
        <v>303</v>
      </c>
      <c r="J4" s="510">
        <f>SUM(B4:I4)</f>
        <v>1745</v>
      </c>
    </row>
    <row r="5" spans="1:10" s="22" customFormat="1" ht="18.75" customHeight="1" x14ac:dyDescent="0.15">
      <c r="A5" s="696"/>
      <c r="B5" s="514">
        <f>B4/B$36</f>
        <v>0.11932773109243698</v>
      </c>
      <c r="C5" s="514">
        <f t="shared" ref="C5:J5" si="0">C4/C$36</f>
        <v>9.6901131333005416E-2</v>
      </c>
      <c r="D5" s="514">
        <f t="shared" si="0"/>
        <v>0.13528591352859135</v>
      </c>
      <c r="E5" s="514">
        <f t="shared" si="0"/>
        <v>0.17178362573099415</v>
      </c>
      <c r="F5" s="514">
        <f t="shared" si="0"/>
        <v>0.10846153846153846</v>
      </c>
      <c r="G5" s="514">
        <f t="shared" si="0"/>
        <v>6.5273668639053248E-2</v>
      </c>
      <c r="H5" s="514">
        <f t="shared" si="0"/>
        <v>0.5736842105263158</v>
      </c>
      <c r="I5" s="514">
        <f t="shared" si="0"/>
        <v>0.14178755264389331</v>
      </c>
      <c r="J5" s="514">
        <f t="shared" si="0"/>
        <v>0.11146598530820824</v>
      </c>
    </row>
    <row r="6" spans="1:10" s="22" customFormat="1" ht="18.75" customHeight="1" x14ac:dyDescent="0.15">
      <c r="A6" s="532" t="s">
        <v>434</v>
      </c>
      <c r="B6" s="509">
        <f>SUM(B51:D51)</f>
        <v>208</v>
      </c>
      <c r="C6" s="509">
        <f>SUM(E51:F51)</f>
        <v>234</v>
      </c>
      <c r="D6" s="509">
        <f>SUM(G51:J51)</f>
        <v>184</v>
      </c>
      <c r="E6" s="509">
        <f>SUM(K51:L51)</f>
        <v>204</v>
      </c>
      <c r="F6" s="509">
        <f>SUM(M51:N51)</f>
        <v>126</v>
      </c>
      <c r="G6" s="509">
        <f>SUM(O51:Q51)</f>
        <v>420</v>
      </c>
      <c r="H6" s="509">
        <f>R51</f>
        <v>62</v>
      </c>
      <c r="I6" s="509">
        <f>S51</f>
        <v>351</v>
      </c>
      <c r="J6" s="510">
        <f>SUM(B6:I6)</f>
        <v>1789</v>
      </c>
    </row>
    <row r="7" spans="1:10" s="22" customFormat="1" ht="18.75" customHeight="1" x14ac:dyDescent="0.15">
      <c r="A7" s="533" t="s">
        <v>435</v>
      </c>
      <c r="B7" s="514">
        <f>B6/B$36</f>
        <v>0.11652661064425771</v>
      </c>
      <c r="C7" s="514">
        <f t="shared" ref="C7:J7" si="1">C6/C$36</f>
        <v>0.11510083620265617</v>
      </c>
      <c r="D7" s="514">
        <f t="shared" si="1"/>
        <v>0.12831241283124128</v>
      </c>
      <c r="E7" s="514">
        <f t="shared" si="1"/>
        <v>0.14912280701754385</v>
      </c>
      <c r="F7" s="514">
        <f t="shared" si="1"/>
        <v>9.6923076923076917E-2</v>
      </c>
      <c r="G7" s="514">
        <f t="shared" si="1"/>
        <v>7.7662721893491118E-2</v>
      </c>
      <c r="H7" s="514">
        <f t="shared" si="1"/>
        <v>0.32631578947368423</v>
      </c>
      <c r="I7" s="514">
        <f t="shared" si="1"/>
        <v>0.16424894712213384</v>
      </c>
      <c r="J7" s="514">
        <f t="shared" si="1"/>
        <v>0.11427658894921751</v>
      </c>
    </row>
    <row r="8" spans="1:10" s="22" customFormat="1" ht="18.75" customHeight="1" x14ac:dyDescent="0.15">
      <c r="A8" s="532" t="s">
        <v>436</v>
      </c>
      <c r="B8" s="509">
        <f>SUM(B52:D52)</f>
        <v>144</v>
      </c>
      <c r="C8" s="509">
        <f>SUM(E52:F52)</f>
        <v>210</v>
      </c>
      <c r="D8" s="509">
        <f>SUM(G52:J52)</f>
        <v>123</v>
      </c>
      <c r="E8" s="509">
        <f>SUM(K52:L52)</f>
        <v>149</v>
      </c>
      <c r="F8" s="509">
        <f>SUM(M52:N52)</f>
        <v>112</v>
      </c>
      <c r="G8" s="509">
        <f>SUM(O52:Q52)</f>
        <v>450</v>
      </c>
      <c r="H8" s="509">
        <f>R52</f>
        <v>13</v>
      </c>
      <c r="I8" s="509">
        <f>S52</f>
        <v>174</v>
      </c>
      <c r="J8" s="510">
        <f>SUM(B8:I8)</f>
        <v>1375</v>
      </c>
    </row>
    <row r="9" spans="1:10" s="22" customFormat="1" ht="18.75" customHeight="1" x14ac:dyDescent="0.15">
      <c r="A9" s="533" t="s">
        <v>437</v>
      </c>
      <c r="B9" s="514">
        <f>B8/B$36</f>
        <v>8.067226890756303E-2</v>
      </c>
      <c r="C9" s="514">
        <f t="shared" ref="C9:J9" si="2">C8/C$36</f>
        <v>0.10329562223315297</v>
      </c>
      <c r="D9" s="514">
        <f t="shared" si="2"/>
        <v>8.5774058577405859E-2</v>
      </c>
      <c r="E9" s="514">
        <f t="shared" si="2"/>
        <v>0.10891812865497076</v>
      </c>
      <c r="F9" s="514">
        <f t="shared" si="2"/>
        <v>8.615384615384615E-2</v>
      </c>
      <c r="G9" s="514">
        <f t="shared" si="2"/>
        <v>8.3210059171597628E-2</v>
      </c>
      <c r="H9" s="514">
        <f t="shared" si="2"/>
        <v>6.8421052631578952E-2</v>
      </c>
      <c r="I9" s="514">
        <f t="shared" si="2"/>
        <v>8.14225549836219E-2</v>
      </c>
      <c r="J9" s="514">
        <f t="shared" si="2"/>
        <v>8.783136378153944E-2</v>
      </c>
    </row>
    <row r="10" spans="1:10" s="22" customFormat="1" ht="18.75" customHeight="1" x14ac:dyDescent="0.15">
      <c r="A10" s="532" t="s">
        <v>438</v>
      </c>
      <c r="B10" s="509">
        <f>SUM(B53:D53)</f>
        <v>156</v>
      </c>
      <c r="C10" s="509">
        <f>SUM(E53:F53)</f>
        <v>233</v>
      </c>
      <c r="D10" s="509">
        <f>SUM(G53:J53)</f>
        <v>169</v>
      </c>
      <c r="E10" s="509">
        <f>SUM(K53:L53)</f>
        <v>143</v>
      </c>
      <c r="F10" s="509">
        <f>SUM(M53:N53)</f>
        <v>124</v>
      </c>
      <c r="G10" s="509">
        <f>SUM(O53:Q53)</f>
        <v>604</v>
      </c>
      <c r="H10" s="509">
        <f>R53</f>
        <v>4</v>
      </c>
      <c r="I10" s="509">
        <f>S53</f>
        <v>171</v>
      </c>
      <c r="J10" s="510">
        <f>SUM(B10:I10)</f>
        <v>1604</v>
      </c>
    </row>
    <row r="11" spans="1:10" s="22" customFormat="1" ht="18.75" customHeight="1" x14ac:dyDescent="0.15">
      <c r="A11" s="533" t="s">
        <v>69</v>
      </c>
      <c r="B11" s="514">
        <f>B10/B$36</f>
        <v>8.7394957983193272E-2</v>
      </c>
      <c r="C11" s="514">
        <f t="shared" ref="C11:J11" si="3">C10/C$36</f>
        <v>0.1146089522872602</v>
      </c>
      <c r="D11" s="514">
        <f t="shared" si="3"/>
        <v>0.11785216178521618</v>
      </c>
      <c r="E11" s="514">
        <f t="shared" si="3"/>
        <v>0.10453216374269006</v>
      </c>
      <c r="F11" s="514">
        <f t="shared" si="3"/>
        <v>9.5384615384615387E-2</v>
      </c>
      <c r="G11" s="514">
        <f t="shared" si="3"/>
        <v>0.11168639053254438</v>
      </c>
      <c r="H11" s="514">
        <f t="shared" si="3"/>
        <v>2.1052631578947368E-2</v>
      </c>
      <c r="I11" s="514">
        <f t="shared" si="3"/>
        <v>8.0018717828731864E-2</v>
      </c>
      <c r="J11" s="514">
        <f t="shared" si="3"/>
        <v>0.1024592781858831</v>
      </c>
    </row>
    <row r="12" spans="1:10" s="22" customFormat="1" ht="18.75" customHeight="1" x14ac:dyDescent="0.15">
      <c r="A12" s="532" t="s">
        <v>439</v>
      </c>
      <c r="B12" s="509">
        <f>SUM(B54:D54)</f>
        <v>102</v>
      </c>
      <c r="C12" s="509">
        <f>SUM(E54:F54)</f>
        <v>157</v>
      </c>
      <c r="D12" s="509">
        <f>SUM(G54:J54)</f>
        <v>97</v>
      </c>
      <c r="E12" s="509">
        <f>SUM(K54:L54)</f>
        <v>87</v>
      </c>
      <c r="F12" s="509">
        <f>SUM(M54:N54)</f>
        <v>67</v>
      </c>
      <c r="G12" s="509">
        <f>SUM(O54:Q54)</f>
        <v>451</v>
      </c>
      <c r="H12" s="509">
        <f>R54</f>
        <v>2</v>
      </c>
      <c r="I12" s="509">
        <f>S54</f>
        <v>113</v>
      </c>
      <c r="J12" s="510">
        <f>SUM(B12:I12)</f>
        <v>1076</v>
      </c>
    </row>
    <row r="13" spans="1:10" s="22" customFormat="1" ht="18.75" customHeight="1" x14ac:dyDescent="0.15">
      <c r="A13" s="533" t="s">
        <v>440</v>
      </c>
      <c r="B13" s="514">
        <f>B12/B$36</f>
        <v>5.7142857142857141E-2</v>
      </c>
      <c r="C13" s="514">
        <f t="shared" ref="C13:J13" si="4">C12/C$36</f>
        <v>7.7225774717166754E-2</v>
      </c>
      <c r="D13" s="514">
        <f t="shared" si="4"/>
        <v>6.7642956764295673E-2</v>
      </c>
      <c r="E13" s="514">
        <f t="shared" si="4"/>
        <v>6.3596491228070179E-2</v>
      </c>
      <c r="F13" s="514">
        <f t="shared" si="4"/>
        <v>5.153846153846154E-2</v>
      </c>
      <c r="G13" s="514">
        <f t="shared" si="4"/>
        <v>8.3394970414201186E-2</v>
      </c>
      <c r="H13" s="514">
        <f t="shared" si="4"/>
        <v>1.0526315789473684E-2</v>
      </c>
      <c r="I13" s="514">
        <f t="shared" si="4"/>
        <v>5.2877866167524566E-2</v>
      </c>
      <c r="J13" s="514">
        <f t="shared" si="4"/>
        <v>6.8732034493771951E-2</v>
      </c>
    </row>
    <row r="14" spans="1:10" s="22" customFormat="1" ht="18.75" customHeight="1" x14ac:dyDescent="0.15">
      <c r="A14" s="532" t="s">
        <v>441</v>
      </c>
      <c r="B14" s="509">
        <f>SUM(B55:D55)</f>
        <v>71</v>
      </c>
      <c r="C14" s="509">
        <f>SUM(E55:F55)</f>
        <v>104</v>
      </c>
      <c r="D14" s="509">
        <f>SUM(G55:J55)</f>
        <v>63</v>
      </c>
      <c r="E14" s="509">
        <f>SUM(K55:L55)</f>
        <v>82</v>
      </c>
      <c r="F14" s="509">
        <f>SUM(M55:N55)</f>
        <v>72</v>
      </c>
      <c r="G14" s="509">
        <f>SUM(O55:Q55)</f>
        <v>367</v>
      </c>
      <c r="H14" s="509">
        <f>R55</f>
        <v>0</v>
      </c>
      <c r="I14" s="509">
        <f>S55</f>
        <v>84</v>
      </c>
      <c r="J14" s="510">
        <f>SUM(B14:I14)</f>
        <v>843</v>
      </c>
    </row>
    <row r="15" spans="1:10" s="22" customFormat="1" ht="18.75" customHeight="1" x14ac:dyDescent="0.15">
      <c r="A15" s="533" t="s">
        <v>442</v>
      </c>
      <c r="B15" s="514">
        <f>B14/B$36</f>
        <v>3.9775910364145656E-2</v>
      </c>
      <c r="C15" s="514">
        <f t="shared" ref="C15:J15" si="5">C14/C$36</f>
        <v>5.1155927201180521E-2</v>
      </c>
      <c r="D15" s="514">
        <f t="shared" si="5"/>
        <v>4.3933054393305436E-2</v>
      </c>
      <c r="E15" s="514">
        <f t="shared" si="5"/>
        <v>5.9941520467836254E-2</v>
      </c>
      <c r="F15" s="514">
        <f t="shared" si="5"/>
        <v>5.5384615384615386E-2</v>
      </c>
      <c r="G15" s="514">
        <f t="shared" si="5"/>
        <v>6.7862426035502965E-2</v>
      </c>
      <c r="H15" s="514">
        <f t="shared" si="5"/>
        <v>0</v>
      </c>
      <c r="I15" s="514">
        <f t="shared" si="5"/>
        <v>3.9307440336920914E-2</v>
      </c>
      <c r="J15" s="514">
        <f t="shared" si="5"/>
        <v>5.3848610667518365E-2</v>
      </c>
    </row>
    <row r="16" spans="1:10" s="22" customFormat="1" ht="18.75" customHeight="1" x14ac:dyDescent="0.15">
      <c r="A16" s="532" t="s">
        <v>443</v>
      </c>
      <c r="B16" s="509">
        <f>SUM(B56:D56)</f>
        <v>158</v>
      </c>
      <c r="C16" s="509">
        <f>SUM(E56:F56)</f>
        <v>245</v>
      </c>
      <c r="D16" s="509">
        <f>SUM(G56:J56)</f>
        <v>129</v>
      </c>
      <c r="E16" s="509">
        <f>SUM(K56:L56)</f>
        <v>66</v>
      </c>
      <c r="F16" s="509">
        <f>SUM(M56:N56)</f>
        <v>108</v>
      </c>
      <c r="G16" s="509">
        <f>SUM(O56:Q56)</f>
        <v>506</v>
      </c>
      <c r="H16" s="509">
        <f>R56</f>
        <v>0</v>
      </c>
      <c r="I16" s="509">
        <f>S56</f>
        <v>128</v>
      </c>
      <c r="J16" s="510">
        <f>SUM(B16:I16)</f>
        <v>1340</v>
      </c>
    </row>
    <row r="17" spans="1:10" s="22" customFormat="1" ht="18.75" customHeight="1" x14ac:dyDescent="0.15">
      <c r="A17" s="533" t="s">
        <v>444</v>
      </c>
      <c r="B17" s="514">
        <f>B16/B$36</f>
        <v>8.8515406162464991E-2</v>
      </c>
      <c r="C17" s="514">
        <f t="shared" ref="C17:J17" si="6">C16/C$36</f>
        <v>0.12051155927201181</v>
      </c>
      <c r="D17" s="514">
        <f t="shared" si="6"/>
        <v>8.9958158995815898E-2</v>
      </c>
      <c r="E17" s="514">
        <f t="shared" si="6"/>
        <v>4.8245614035087717E-2</v>
      </c>
      <c r="F17" s="514">
        <f t="shared" si="6"/>
        <v>8.3076923076923076E-2</v>
      </c>
      <c r="G17" s="514">
        <f t="shared" si="6"/>
        <v>9.3565088757396456E-2</v>
      </c>
      <c r="H17" s="514">
        <f t="shared" si="6"/>
        <v>0</v>
      </c>
      <c r="I17" s="514">
        <f t="shared" si="6"/>
        <v>5.9897051941974734E-2</v>
      </c>
      <c r="J17" s="514">
        <f t="shared" si="6"/>
        <v>8.5595656339827533E-2</v>
      </c>
    </row>
    <row r="18" spans="1:10" s="22" customFormat="1" ht="18.75" customHeight="1" x14ac:dyDescent="0.15">
      <c r="A18" s="532" t="s">
        <v>445</v>
      </c>
      <c r="B18" s="509">
        <f>SUM(B57:D57)</f>
        <v>103</v>
      </c>
      <c r="C18" s="509">
        <f>SUM(E57:F57)</f>
        <v>109</v>
      </c>
      <c r="D18" s="509">
        <f>SUM(G57:J57)</f>
        <v>74</v>
      </c>
      <c r="E18" s="509">
        <f>SUM(K57:L57)</f>
        <v>81</v>
      </c>
      <c r="F18" s="509">
        <f>SUM(M57:N57)</f>
        <v>76</v>
      </c>
      <c r="G18" s="509">
        <f>SUM(O57:Q57)</f>
        <v>397</v>
      </c>
      <c r="H18" s="509">
        <f>R57</f>
        <v>0</v>
      </c>
      <c r="I18" s="509">
        <f>S57</f>
        <v>92</v>
      </c>
      <c r="J18" s="510">
        <f>SUM(B18:I18)</f>
        <v>932</v>
      </c>
    </row>
    <row r="19" spans="1:10" s="22" customFormat="1" ht="18.75" customHeight="1" x14ac:dyDescent="0.15">
      <c r="A19" s="533" t="s">
        <v>446</v>
      </c>
      <c r="B19" s="514">
        <f>B18/B$36</f>
        <v>5.7703081232493E-2</v>
      </c>
      <c r="C19" s="514">
        <f t="shared" ref="C19:J19" si="7">C18/C$36</f>
        <v>5.3615346778160357E-2</v>
      </c>
      <c r="D19" s="514">
        <f t="shared" si="7"/>
        <v>5.1603905160390519E-2</v>
      </c>
      <c r="E19" s="514">
        <f t="shared" si="7"/>
        <v>5.921052631578947E-2</v>
      </c>
      <c r="F19" s="514">
        <f t="shared" si="7"/>
        <v>5.8461538461538461E-2</v>
      </c>
      <c r="G19" s="514">
        <f t="shared" si="7"/>
        <v>7.3409763313609461E-2</v>
      </c>
      <c r="H19" s="514">
        <f t="shared" si="7"/>
        <v>0</v>
      </c>
      <c r="I19" s="514">
        <f t="shared" si="7"/>
        <v>4.3051006083294339E-2</v>
      </c>
      <c r="J19" s="514">
        <f t="shared" si="7"/>
        <v>5.9533695305014372E-2</v>
      </c>
    </row>
    <row r="20" spans="1:10" s="22" customFormat="1" ht="18.75" customHeight="1" x14ac:dyDescent="0.15">
      <c r="A20" s="532" t="s">
        <v>447</v>
      </c>
      <c r="B20" s="509">
        <f>SUM(B58:D58)</f>
        <v>86</v>
      </c>
      <c r="C20" s="509">
        <f>SUM(E58:F58)</f>
        <v>75</v>
      </c>
      <c r="D20" s="509">
        <f>SUM(G58:J58)</f>
        <v>58</v>
      </c>
      <c r="E20" s="509">
        <f>SUM(K58:L58)</f>
        <v>52</v>
      </c>
      <c r="F20" s="509">
        <f>SUM(M58:N58)</f>
        <v>48</v>
      </c>
      <c r="G20" s="509">
        <f>SUM(O58:Q58)</f>
        <v>255</v>
      </c>
      <c r="H20" s="509">
        <f>R58</f>
        <v>0</v>
      </c>
      <c r="I20" s="509">
        <f>S58</f>
        <v>60</v>
      </c>
      <c r="J20" s="510">
        <f>SUM(B20:I20)</f>
        <v>634</v>
      </c>
    </row>
    <row r="21" spans="1:10" s="22" customFormat="1" ht="18.75" customHeight="1" x14ac:dyDescent="0.15">
      <c r="A21" s="533" t="s">
        <v>448</v>
      </c>
      <c r="B21" s="514">
        <f>B20/B$36</f>
        <v>4.8179271708683476E-2</v>
      </c>
      <c r="C21" s="514">
        <f t="shared" ref="C21:J21" si="8">C20/C$36</f>
        <v>3.6891293654697489E-2</v>
      </c>
      <c r="D21" s="514">
        <f t="shared" si="8"/>
        <v>4.0446304044630406E-2</v>
      </c>
      <c r="E21" s="514">
        <f t="shared" si="8"/>
        <v>3.8011695906432746E-2</v>
      </c>
      <c r="F21" s="514">
        <f t="shared" si="8"/>
        <v>3.6923076923076927E-2</v>
      </c>
      <c r="G21" s="514">
        <f t="shared" si="8"/>
        <v>4.7152366863905323E-2</v>
      </c>
      <c r="H21" s="514">
        <f t="shared" si="8"/>
        <v>0</v>
      </c>
      <c r="I21" s="514">
        <f t="shared" si="8"/>
        <v>2.8076743097800654E-2</v>
      </c>
      <c r="J21" s="514">
        <f t="shared" si="8"/>
        <v>4.0498243372724368E-2</v>
      </c>
    </row>
    <row r="22" spans="1:10" s="22" customFormat="1" ht="18.75" customHeight="1" x14ac:dyDescent="0.15">
      <c r="A22" s="532" t="s">
        <v>449</v>
      </c>
      <c r="B22" s="509">
        <f>SUM(B59:D59)</f>
        <v>79</v>
      </c>
      <c r="C22" s="509">
        <f>SUM(E59:F59)</f>
        <v>48</v>
      </c>
      <c r="D22" s="509">
        <f>SUM(G59:J59)</f>
        <v>57</v>
      </c>
      <c r="E22" s="509">
        <f>SUM(K59:L59)</f>
        <v>39</v>
      </c>
      <c r="F22" s="509">
        <f>SUM(M59:N59)</f>
        <v>50</v>
      </c>
      <c r="G22" s="509">
        <f>SUM(O59:Q59)</f>
        <v>207</v>
      </c>
      <c r="H22" s="509">
        <f>R59</f>
        <v>0</v>
      </c>
      <c r="I22" s="509">
        <f>S59</f>
        <v>67</v>
      </c>
      <c r="J22" s="510">
        <f>SUM(B22:I22)</f>
        <v>547</v>
      </c>
    </row>
    <row r="23" spans="1:10" s="22" customFormat="1" ht="18.75" customHeight="1" x14ac:dyDescent="0.15">
      <c r="A23" s="533" t="s">
        <v>450</v>
      </c>
      <c r="B23" s="514">
        <f>B22/B$36</f>
        <v>4.4257703081232495E-2</v>
      </c>
      <c r="C23" s="514">
        <f t="shared" ref="C23:J23" si="9">C22/C$36</f>
        <v>2.3610427939006393E-2</v>
      </c>
      <c r="D23" s="514">
        <f t="shared" si="9"/>
        <v>3.9748953974895397E-2</v>
      </c>
      <c r="E23" s="514">
        <f t="shared" si="9"/>
        <v>2.850877192982456E-2</v>
      </c>
      <c r="F23" s="514">
        <f t="shared" si="9"/>
        <v>3.8461538461538464E-2</v>
      </c>
      <c r="G23" s="514">
        <f t="shared" si="9"/>
        <v>3.8276627218934912E-2</v>
      </c>
      <c r="H23" s="514">
        <f t="shared" si="9"/>
        <v>0</v>
      </c>
      <c r="I23" s="514">
        <f t="shared" si="9"/>
        <v>3.13523631258774E-2</v>
      </c>
      <c r="J23" s="514">
        <f t="shared" si="9"/>
        <v>3.494091344618333E-2</v>
      </c>
    </row>
    <row r="24" spans="1:10" s="22" customFormat="1" ht="18.75" customHeight="1" x14ac:dyDescent="0.15">
      <c r="A24" s="532" t="s">
        <v>451</v>
      </c>
      <c r="B24" s="509">
        <f>SUM(B60:D60)</f>
        <v>54</v>
      </c>
      <c r="C24" s="509">
        <f>SUM(E60:F60)</f>
        <v>59</v>
      </c>
      <c r="D24" s="509">
        <f>SUM(G60:J60)</f>
        <v>33</v>
      </c>
      <c r="E24" s="509">
        <f>SUM(K60:L60)</f>
        <v>23</v>
      </c>
      <c r="F24" s="509">
        <f>SUM(M60:N60)</f>
        <v>47</v>
      </c>
      <c r="G24" s="509">
        <f>SUM(O60:Q60)</f>
        <v>184</v>
      </c>
      <c r="H24" s="509">
        <f>R60</f>
        <v>0</v>
      </c>
      <c r="I24" s="509">
        <f>S60</f>
        <v>58</v>
      </c>
      <c r="J24" s="510">
        <f>SUM(B24:I24)</f>
        <v>458</v>
      </c>
    </row>
    <row r="25" spans="1:10" s="22" customFormat="1" ht="18.75" customHeight="1" x14ac:dyDescent="0.15">
      <c r="A25" s="533" t="s">
        <v>452</v>
      </c>
      <c r="B25" s="514">
        <f>B24/B$36</f>
        <v>3.0252100840336135E-2</v>
      </c>
      <c r="C25" s="514">
        <f t="shared" ref="C25:J25" si="10">C24/C$36</f>
        <v>2.9021151008362025E-2</v>
      </c>
      <c r="D25" s="514">
        <f t="shared" si="10"/>
        <v>2.3012552301255231E-2</v>
      </c>
      <c r="E25" s="514">
        <f t="shared" si="10"/>
        <v>1.6812865497076022E-2</v>
      </c>
      <c r="F25" s="514">
        <f t="shared" si="10"/>
        <v>3.6153846153846154E-2</v>
      </c>
      <c r="G25" s="514">
        <f t="shared" si="10"/>
        <v>3.4023668639053255E-2</v>
      </c>
      <c r="H25" s="514">
        <f t="shared" si="10"/>
        <v>0</v>
      </c>
      <c r="I25" s="514">
        <f t="shared" si="10"/>
        <v>2.7140851661207301E-2</v>
      </c>
      <c r="J25" s="514">
        <f t="shared" si="10"/>
        <v>2.925582880868732E-2</v>
      </c>
    </row>
    <row r="26" spans="1:10" s="22" customFormat="1" ht="18.75" customHeight="1" x14ac:dyDescent="0.15">
      <c r="A26" s="532" t="s">
        <v>453</v>
      </c>
      <c r="B26" s="509">
        <f>SUM(B61:D61)</f>
        <v>38</v>
      </c>
      <c r="C26" s="509">
        <f>SUM(E61:F61)</f>
        <v>43</v>
      </c>
      <c r="D26" s="509">
        <f>SUM(G61:J61)</f>
        <v>39</v>
      </c>
      <c r="E26" s="509">
        <f>SUM(K61:L61)</f>
        <v>26</v>
      </c>
      <c r="F26" s="509">
        <f>SUM(M61:N61)</f>
        <v>29</v>
      </c>
      <c r="G26" s="509">
        <f>SUM(O61:Q61)</f>
        <v>155</v>
      </c>
      <c r="H26" s="509">
        <f>R61</f>
        <v>0</v>
      </c>
      <c r="I26" s="509">
        <f>S61</f>
        <v>45</v>
      </c>
      <c r="J26" s="510">
        <f>SUM(B26:I26)</f>
        <v>375</v>
      </c>
    </row>
    <row r="27" spans="1:10" s="22" customFormat="1" ht="18.75" customHeight="1" x14ac:dyDescent="0.15">
      <c r="A27" s="533" t="s">
        <v>454</v>
      </c>
      <c r="B27" s="514">
        <f>B26/B$36</f>
        <v>2.1288515406162466E-2</v>
      </c>
      <c r="C27" s="514">
        <f t="shared" ref="C27:J27" si="11">C26/C$36</f>
        <v>2.115100836202656E-2</v>
      </c>
      <c r="D27" s="514">
        <f t="shared" si="11"/>
        <v>2.7196652719665274E-2</v>
      </c>
      <c r="E27" s="514">
        <f t="shared" si="11"/>
        <v>1.9005847953216373E-2</v>
      </c>
      <c r="F27" s="514">
        <f t="shared" si="11"/>
        <v>2.2307692307692306E-2</v>
      </c>
      <c r="G27" s="514">
        <f t="shared" si="11"/>
        <v>2.8661242603550297E-2</v>
      </c>
      <c r="H27" s="514">
        <f t="shared" si="11"/>
        <v>0</v>
      </c>
      <c r="I27" s="514">
        <f t="shared" si="11"/>
        <v>2.105755732335049E-2</v>
      </c>
      <c r="J27" s="514">
        <f t="shared" si="11"/>
        <v>2.3954008304056213E-2</v>
      </c>
    </row>
    <row r="28" spans="1:10" s="22" customFormat="1" ht="18.75" customHeight="1" x14ac:dyDescent="0.15">
      <c r="A28" s="532" t="s">
        <v>455</v>
      </c>
      <c r="B28" s="509">
        <f>SUM(B62:D62)</f>
        <v>42</v>
      </c>
      <c r="C28" s="509">
        <f>SUM(E62:F62)</f>
        <v>33</v>
      </c>
      <c r="D28" s="509">
        <f>SUM(G62:J62)</f>
        <v>19</v>
      </c>
      <c r="E28" s="509">
        <f>SUM(K62:L62)</f>
        <v>25</v>
      </c>
      <c r="F28" s="509">
        <f>SUM(M62:N62)</f>
        <v>38</v>
      </c>
      <c r="G28" s="509">
        <f>SUM(O62:Q62)</f>
        <v>128</v>
      </c>
      <c r="H28" s="509">
        <f>R62</f>
        <v>0</v>
      </c>
      <c r="I28" s="509">
        <f>S62</f>
        <v>49</v>
      </c>
      <c r="J28" s="510">
        <f>SUM(B28:I28)</f>
        <v>334</v>
      </c>
    </row>
    <row r="29" spans="1:10" s="22" customFormat="1" ht="18.75" customHeight="1" x14ac:dyDescent="0.15">
      <c r="A29" s="533" t="s">
        <v>456</v>
      </c>
      <c r="B29" s="514">
        <f>B28/B$36</f>
        <v>2.3529411764705882E-2</v>
      </c>
      <c r="C29" s="514">
        <f t="shared" ref="C29:J29" si="12">C28/C$36</f>
        <v>1.6232169208066895E-2</v>
      </c>
      <c r="D29" s="514">
        <f t="shared" si="12"/>
        <v>1.3249651324965132E-2</v>
      </c>
      <c r="E29" s="514">
        <f t="shared" si="12"/>
        <v>1.827485380116959E-2</v>
      </c>
      <c r="F29" s="514">
        <f t="shared" si="12"/>
        <v>2.923076923076923E-2</v>
      </c>
      <c r="G29" s="514">
        <f t="shared" si="12"/>
        <v>2.3668639053254437E-2</v>
      </c>
      <c r="H29" s="514">
        <f t="shared" si="12"/>
        <v>0</v>
      </c>
      <c r="I29" s="514">
        <f t="shared" si="12"/>
        <v>2.2929340196537203E-2</v>
      </c>
      <c r="J29" s="514">
        <f t="shared" si="12"/>
        <v>2.1335036729479399E-2</v>
      </c>
    </row>
    <row r="30" spans="1:10" s="22" customFormat="1" ht="18.75" customHeight="1" x14ac:dyDescent="0.15">
      <c r="A30" s="532" t="s">
        <v>457</v>
      </c>
      <c r="B30" s="509">
        <f>SUM(B63:D63)</f>
        <v>39</v>
      </c>
      <c r="C30" s="509">
        <f>SUM(E63:F63)</f>
        <v>37</v>
      </c>
      <c r="D30" s="509">
        <f>SUM(G63:J63)</f>
        <v>28</v>
      </c>
      <c r="E30" s="509">
        <f>SUM(K63:L63)</f>
        <v>23</v>
      </c>
      <c r="F30" s="509">
        <f>SUM(M63:N63)</f>
        <v>27</v>
      </c>
      <c r="G30" s="509">
        <f>SUM(O63:Q63)</f>
        <v>112</v>
      </c>
      <c r="H30" s="509">
        <f>R63</f>
        <v>0</v>
      </c>
      <c r="I30" s="509">
        <f>S63</f>
        <v>33</v>
      </c>
      <c r="J30" s="510">
        <f>SUM(B30:I30)</f>
        <v>299</v>
      </c>
    </row>
    <row r="31" spans="1:10" s="22" customFormat="1" ht="18.75" customHeight="1" x14ac:dyDescent="0.15">
      <c r="A31" s="533" t="s">
        <v>458</v>
      </c>
      <c r="B31" s="514">
        <f>B30/B$36</f>
        <v>2.1848739495798318E-2</v>
      </c>
      <c r="C31" s="514">
        <f t="shared" ref="C31:J31" si="13">C30/C$36</f>
        <v>1.8199704869650762E-2</v>
      </c>
      <c r="D31" s="514">
        <f t="shared" si="13"/>
        <v>1.9525801952580194E-2</v>
      </c>
      <c r="E31" s="514">
        <f t="shared" si="13"/>
        <v>1.6812865497076022E-2</v>
      </c>
      <c r="F31" s="514">
        <f t="shared" si="13"/>
        <v>2.0769230769230769E-2</v>
      </c>
      <c r="G31" s="514">
        <f t="shared" si="13"/>
        <v>2.0710059171597635E-2</v>
      </c>
      <c r="H31" s="514">
        <f t="shared" si="13"/>
        <v>0</v>
      </c>
      <c r="I31" s="514">
        <f t="shared" si="13"/>
        <v>1.544220870379036E-2</v>
      </c>
      <c r="J31" s="514">
        <f t="shared" si="13"/>
        <v>1.9099329287767485E-2</v>
      </c>
    </row>
    <row r="32" spans="1:10" s="22" customFormat="1" ht="18.75" customHeight="1" x14ac:dyDescent="0.15">
      <c r="A32" s="532" t="s">
        <v>459</v>
      </c>
      <c r="B32" s="509">
        <f>SUM(B64:D64)</f>
        <v>169</v>
      </c>
      <c r="C32" s="509">
        <f>SUM(E64:F64)</f>
        <v>170</v>
      </c>
      <c r="D32" s="509">
        <f>SUM(G64:J64)</f>
        <v>105</v>
      </c>
      <c r="E32" s="509">
        <f>SUM(K64:L64)</f>
        <v>84</v>
      </c>
      <c r="F32" s="509">
        <f>SUM(M64:N64)</f>
        <v>148</v>
      </c>
      <c r="G32" s="509">
        <f>SUM(O64:Q64)</f>
        <v>528</v>
      </c>
      <c r="H32" s="509">
        <f>R64</f>
        <v>0</v>
      </c>
      <c r="I32" s="509">
        <f>S64</f>
        <v>207</v>
      </c>
      <c r="J32" s="510">
        <f>SUM(B32:I32)</f>
        <v>1411</v>
      </c>
    </row>
    <row r="33" spans="1:10" s="22" customFormat="1" ht="18.75" customHeight="1" x14ac:dyDescent="0.15">
      <c r="A33" s="533" t="s">
        <v>460</v>
      </c>
      <c r="B33" s="514">
        <f>B32/B$36</f>
        <v>9.467787114845938E-2</v>
      </c>
      <c r="C33" s="514">
        <f t="shared" ref="C33:J33" si="14">C32/C$36</f>
        <v>8.362026561731431E-2</v>
      </c>
      <c r="D33" s="514">
        <f t="shared" si="14"/>
        <v>7.3221757322175729E-2</v>
      </c>
      <c r="E33" s="514">
        <f t="shared" si="14"/>
        <v>6.1403508771929821E-2</v>
      </c>
      <c r="F33" s="514">
        <f t="shared" si="14"/>
        <v>0.11384615384615385</v>
      </c>
      <c r="G33" s="514">
        <f t="shared" si="14"/>
        <v>9.7633136094674555E-2</v>
      </c>
      <c r="H33" s="514">
        <f t="shared" si="14"/>
        <v>0</v>
      </c>
      <c r="I33" s="514">
        <f t="shared" si="14"/>
        <v>9.6864763687412259E-2</v>
      </c>
      <c r="J33" s="514">
        <f t="shared" si="14"/>
        <v>9.0130948578728845E-2</v>
      </c>
    </row>
    <row r="34" spans="1:10" s="22" customFormat="1" ht="18.75" customHeight="1" x14ac:dyDescent="0.15">
      <c r="A34" s="703" t="s">
        <v>61</v>
      </c>
      <c r="B34" s="509">
        <f>SUM(B65:D65)</f>
        <v>123</v>
      </c>
      <c r="C34" s="509">
        <f>SUM(E65:F65)</f>
        <v>79</v>
      </c>
      <c r="D34" s="509">
        <f>SUM(G65:J65)</f>
        <v>62</v>
      </c>
      <c r="E34" s="509">
        <f>SUM(K65:L65)</f>
        <v>49</v>
      </c>
      <c r="F34" s="509">
        <f>SUM(M65:N65)</f>
        <v>87</v>
      </c>
      <c r="G34" s="509">
        <f>SUM(O65:Q65)</f>
        <v>291</v>
      </c>
      <c r="H34" s="509">
        <f>R65</f>
        <v>0</v>
      </c>
      <c r="I34" s="509">
        <f>S65</f>
        <v>202</v>
      </c>
      <c r="J34" s="510">
        <f>SUM(B34:I34)</f>
        <v>893</v>
      </c>
    </row>
    <row r="35" spans="1:10" s="22" customFormat="1" ht="18.75" customHeight="1" x14ac:dyDescent="0.15">
      <c r="A35" s="696"/>
      <c r="B35" s="514">
        <f>B34/B$36</f>
        <v>6.8907563025210089E-2</v>
      </c>
      <c r="C35" s="514">
        <f t="shared" ref="C35:J35" si="15">C34/C$36</f>
        <v>3.885882931628136E-2</v>
      </c>
      <c r="D35" s="514">
        <f t="shared" si="15"/>
        <v>4.3235704323570434E-2</v>
      </c>
      <c r="E35" s="514">
        <f t="shared" si="15"/>
        <v>3.5818713450292396E-2</v>
      </c>
      <c r="F35" s="514">
        <f t="shared" si="15"/>
        <v>6.6923076923076918E-2</v>
      </c>
      <c r="G35" s="514">
        <f t="shared" si="15"/>
        <v>5.3809171597633133E-2</v>
      </c>
      <c r="H35" s="514">
        <f t="shared" si="15"/>
        <v>0</v>
      </c>
      <c r="I35" s="514">
        <f t="shared" si="15"/>
        <v>9.4525035095928869E-2</v>
      </c>
      <c r="J35" s="514">
        <f t="shared" si="15"/>
        <v>5.7042478441392527E-2</v>
      </c>
    </row>
    <row r="36" spans="1:10" s="22" customFormat="1" ht="18.75" customHeight="1" x14ac:dyDescent="0.15">
      <c r="A36" s="698" t="s">
        <v>162</v>
      </c>
      <c r="B36" s="515">
        <f>SUM(B4,B6,B8,B10,B12,B14,B16,B18,B20,B22,B24,B26,B28,B30,B32,B34)</f>
        <v>1785</v>
      </c>
      <c r="C36" s="515">
        <f t="shared" ref="C36:J36" si="16">SUM(C4,C6,C8,C10,C12,C14,C16,C18,C20,C22,C24,C26,C28,C30,C32,C34)</f>
        <v>2033</v>
      </c>
      <c r="D36" s="515">
        <f t="shared" si="16"/>
        <v>1434</v>
      </c>
      <c r="E36" s="515">
        <f t="shared" si="16"/>
        <v>1368</v>
      </c>
      <c r="F36" s="515">
        <f t="shared" si="16"/>
        <v>1300</v>
      </c>
      <c r="G36" s="515">
        <f t="shared" si="16"/>
        <v>5408</v>
      </c>
      <c r="H36" s="515">
        <f t="shared" si="16"/>
        <v>190</v>
      </c>
      <c r="I36" s="515">
        <f t="shared" si="16"/>
        <v>2137</v>
      </c>
      <c r="J36" s="516">
        <f t="shared" si="16"/>
        <v>15655</v>
      </c>
    </row>
    <row r="37" spans="1:10" s="22" customFormat="1" ht="18.75" customHeight="1" x14ac:dyDescent="0.15">
      <c r="A37" s="696"/>
      <c r="B37" s="517">
        <f t="shared" ref="B37:J37" si="17">SUM(B5,B7,B9,B11,B13,B15,B17,B19,B21,B23,B25,B27,B29,B31,B33,B35)</f>
        <v>1.0000000000000002</v>
      </c>
      <c r="C37" s="517">
        <f t="shared" si="17"/>
        <v>1</v>
      </c>
      <c r="D37" s="517">
        <f t="shared" si="17"/>
        <v>1</v>
      </c>
      <c r="E37" s="517">
        <f t="shared" si="17"/>
        <v>1</v>
      </c>
      <c r="F37" s="517">
        <f t="shared" si="17"/>
        <v>1</v>
      </c>
      <c r="G37" s="517">
        <f t="shared" si="17"/>
        <v>0.99999999999999989</v>
      </c>
      <c r="H37" s="517">
        <f t="shared" si="17"/>
        <v>1</v>
      </c>
      <c r="I37" s="517">
        <f t="shared" si="17"/>
        <v>1</v>
      </c>
      <c r="J37" s="517">
        <f t="shared" si="17"/>
        <v>1</v>
      </c>
    </row>
    <row r="38" spans="1:10" s="6" customFormat="1" ht="18.75" customHeight="1" x14ac:dyDescent="0.15">
      <c r="A38" s="703" t="s">
        <v>56</v>
      </c>
      <c r="B38" s="509">
        <f>SUM(B4,B6,B8,B10)</f>
        <v>721</v>
      </c>
      <c r="C38" s="509">
        <f t="shared" ref="C38:I38" si="18">SUM(C4,C6,C8,C10)</f>
        <v>874</v>
      </c>
      <c r="D38" s="509">
        <f t="shared" si="18"/>
        <v>670</v>
      </c>
      <c r="E38" s="509">
        <f t="shared" si="18"/>
        <v>731</v>
      </c>
      <c r="F38" s="509">
        <f t="shared" si="18"/>
        <v>503</v>
      </c>
      <c r="G38" s="509">
        <f t="shared" si="18"/>
        <v>1827</v>
      </c>
      <c r="H38" s="509">
        <f t="shared" si="18"/>
        <v>188</v>
      </c>
      <c r="I38" s="509">
        <f t="shared" si="18"/>
        <v>999</v>
      </c>
      <c r="J38" s="509">
        <f t="shared" ref="J38" si="19">SUM(B38:I38)</f>
        <v>6513</v>
      </c>
    </row>
    <row r="39" spans="1:10" s="6" customFormat="1" ht="18.75" customHeight="1" x14ac:dyDescent="0.15">
      <c r="A39" s="696"/>
      <c r="B39" s="514">
        <f>B38/B$36</f>
        <v>0.40392156862745099</v>
      </c>
      <c r="C39" s="514">
        <f t="shared" ref="C39:J45" si="20">C38/C$36</f>
        <v>0.42990654205607476</v>
      </c>
      <c r="D39" s="514">
        <f t="shared" si="20"/>
        <v>0.46722454672245467</v>
      </c>
      <c r="E39" s="514">
        <f t="shared" si="20"/>
        <v>0.53435672514619881</v>
      </c>
      <c r="F39" s="514">
        <f t="shared" si="20"/>
        <v>0.38692307692307693</v>
      </c>
      <c r="G39" s="514">
        <f t="shared" si="20"/>
        <v>0.33783284023668642</v>
      </c>
      <c r="H39" s="514">
        <f t="shared" si="20"/>
        <v>0.98947368421052628</v>
      </c>
      <c r="I39" s="514">
        <f t="shared" si="20"/>
        <v>0.46747777257838091</v>
      </c>
      <c r="J39" s="514">
        <f t="shared" si="20"/>
        <v>0.41603321622484829</v>
      </c>
    </row>
    <row r="40" spans="1:10" s="22" customFormat="1" ht="18.75" customHeight="1" x14ac:dyDescent="0.15">
      <c r="A40" s="534" t="s">
        <v>461</v>
      </c>
      <c r="B40" s="509">
        <f>SUM(B12,B14,B16,B18,B20)</f>
        <v>520</v>
      </c>
      <c r="C40" s="509">
        <f t="shared" ref="C40:I40" si="21">SUM(C12,C14,C16,C18,C20)</f>
        <v>690</v>
      </c>
      <c r="D40" s="509">
        <f t="shared" si="21"/>
        <v>421</v>
      </c>
      <c r="E40" s="509">
        <f t="shared" si="21"/>
        <v>368</v>
      </c>
      <c r="F40" s="509">
        <f t="shared" si="21"/>
        <v>371</v>
      </c>
      <c r="G40" s="509">
        <f t="shared" si="21"/>
        <v>1976</v>
      </c>
      <c r="H40" s="509">
        <f t="shared" si="21"/>
        <v>2</v>
      </c>
      <c r="I40" s="509">
        <f t="shared" si="21"/>
        <v>477</v>
      </c>
      <c r="J40" s="509">
        <f t="shared" ref="J40" si="22">SUM(B40:I40)</f>
        <v>4825</v>
      </c>
    </row>
    <row r="41" spans="1:10" s="22" customFormat="1" ht="18.75" customHeight="1" x14ac:dyDescent="0.15">
      <c r="A41" s="535" t="s">
        <v>462</v>
      </c>
      <c r="B41" s="514">
        <f>B40/B$36</f>
        <v>0.29131652661064428</v>
      </c>
      <c r="C41" s="514">
        <f t="shared" ref="C41:I41" si="23">C40/C$36</f>
        <v>0.33939990162321693</v>
      </c>
      <c r="D41" s="514">
        <f t="shared" si="23"/>
        <v>0.29358437935843795</v>
      </c>
      <c r="E41" s="514">
        <f t="shared" si="23"/>
        <v>0.26900584795321636</v>
      </c>
      <c r="F41" s="514">
        <f t="shared" si="23"/>
        <v>0.2853846153846154</v>
      </c>
      <c r="G41" s="514">
        <f t="shared" si="23"/>
        <v>0.36538461538461536</v>
      </c>
      <c r="H41" s="514">
        <f t="shared" si="23"/>
        <v>1.0526315789473684E-2</v>
      </c>
      <c r="I41" s="514">
        <f t="shared" si="23"/>
        <v>0.2232101076275152</v>
      </c>
      <c r="J41" s="514">
        <f t="shared" si="20"/>
        <v>0.30820824017885662</v>
      </c>
    </row>
    <row r="42" spans="1:10" s="6" customFormat="1" ht="18.75" customHeight="1" x14ac:dyDescent="0.15">
      <c r="A42" s="534" t="s">
        <v>463</v>
      </c>
      <c r="B42" s="509">
        <f>SUM(B22,B24,B26,B28,B30)</f>
        <v>252</v>
      </c>
      <c r="C42" s="509">
        <f t="shared" ref="C42:I42" si="24">SUM(C22,C24,C26,C28,C30)</f>
        <v>220</v>
      </c>
      <c r="D42" s="509">
        <f t="shared" si="24"/>
        <v>176</v>
      </c>
      <c r="E42" s="509">
        <f t="shared" si="24"/>
        <v>136</v>
      </c>
      <c r="F42" s="509">
        <f t="shared" si="24"/>
        <v>191</v>
      </c>
      <c r="G42" s="509">
        <f t="shared" si="24"/>
        <v>786</v>
      </c>
      <c r="H42" s="509">
        <f t="shared" si="24"/>
        <v>0</v>
      </c>
      <c r="I42" s="509">
        <f t="shared" si="24"/>
        <v>252</v>
      </c>
      <c r="J42" s="509">
        <f t="shared" ref="J42" si="25">SUM(B42:I42)</f>
        <v>2013</v>
      </c>
    </row>
    <row r="43" spans="1:10" s="6" customFormat="1" ht="18.75" customHeight="1" x14ac:dyDescent="0.15">
      <c r="A43" s="536" t="s">
        <v>464</v>
      </c>
      <c r="B43" s="514">
        <f>B42/B$36</f>
        <v>0.14117647058823529</v>
      </c>
      <c r="C43" s="514">
        <f t="shared" ref="C43:I43" si="26">C42/C$36</f>
        <v>0.10821446138711265</v>
      </c>
      <c r="D43" s="514">
        <f t="shared" si="26"/>
        <v>0.12273361227336123</v>
      </c>
      <c r="E43" s="514">
        <f t="shared" si="26"/>
        <v>9.9415204678362568E-2</v>
      </c>
      <c r="F43" s="514">
        <f t="shared" si="26"/>
        <v>0.14692307692307693</v>
      </c>
      <c r="G43" s="514">
        <f t="shared" si="26"/>
        <v>0.14534023668639054</v>
      </c>
      <c r="H43" s="514">
        <f t="shared" si="26"/>
        <v>0</v>
      </c>
      <c r="I43" s="514">
        <f t="shared" si="26"/>
        <v>0.11792232101076275</v>
      </c>
      <c r="J43" s="514">
        <f t="shared" si="20"/>
        <v>0.12858511657617375</v>
      </c>
    </row>
    <row r="44" spans="1:10" s="22" customFormat="1" ht="18.75" customHeight="1" x14ac:dyDescent="0.15">
      <c r="A44" s="703" t="s">
        <v>465</v>
      </c>
      <c r="B44" s="509">
        <f>SUM(B32,B34)</f>
        <v>292</v>
      </c>
      <c r="C44" s="509">
        <f t="shared" ref="C44:I44" si="27">SUM(C32,C34)</f>
        <v>249</v>
      </c>
      <c r="D44" s="509">
        <f t="shared" si="27"/>
        <v>167</v>
      </c>
      <c r="E44" s="509">
        <f t="shared" si="27"/>
        <v>133</v>
      </c>
      <c r="F44" s="509">
        <f t="shared" si="27"/>
        <v>235</v>
      </c>
      <c r="G44" s="509">
        <f t="shared" si="27"/>
        <v>819</v>
      </c>
      <c r="H44" s="509">
        <f t="shared" si="27"/>
        <v>0</v>
      </c>
      <c r="I44" s="509">
        <f t="shared" si="27"/>
        <v>409</v>
      </c>
      <c r="J44" s="509">
        <f t="shared" ref="J44" si="28">SUM(B44:I44)</f>
        <v>2304</v>
      </c>
    </row>
    <row r="45" spans="1:10" s="22" customFormat="1" ht="18.75" customHeight="1" x14ac:dyDescent="0.15">
      <c r="A45" s="696"/>
      <c r="B45" s="514">
        <f>B44/B$36</f>
        <v>0.16358543417366947</v>
      </c>
      <c r="C45" s="514">
        <f t="shared" ref="C45:I45" si="29">C44/C$36</f>
        <v>0.12247909493359567</v>
      </c>
      <c r="D45" s="514">
        <f t="shared" si="29"/>
        <v>0.11645746164574616</v>
      </c>
      <c r="E45" s="514">
        <f t="shared" si="29"/>
        <v>9.7222222222222224E-2</v>
      </c>
      <c r="F45" s="514">
        <f t="shared" si="29"/>
        <v>0.18076923076923077</v>
      </c>
      <c r="G45" s="514">
        <f t="shared" si="29"/>
        <v>0.15144230769230768</v>
      </c>
      <c r="H45" s="514">
        <f t="shared" si="29"/>
        <v>0</v>
      </c>
      <c r="I45" s="514">
        <f t="shared" si="29"/>
        <v>0.19138979878334114</v>
      </c>
      <c r="J45" s="514">
        <f t="shared" si="20"/>
        <v>0.14717342702012137</v>
      </c>
    </row>
    <row r="46" spans="1:10" hidden="1" x14ac:dyDescent="0.15">
      <c r="B46" s="40">
        <f>SUM(B38,B40,B42,B44)</f>
        <v>1785</v>
      </c>
      <c r="C46" s="40">
        <f t="shared" ref="C46:I46" si="30">SUM(C38,C40,C42,C44)</f>
        <v>2033</v>
      </c>
      <c r="D46" s="40">
        <f t="shared" si="30"/>
        <v>1434</v>
      </c>
      <c r="E46" s="40">
        <f t="shared" si="30"/>
        <v>1368</v>
      </c>
      <c r="F46" s="40">
        <f t="shared" si="30"/>
        <v>1300</v>
      </c>
      <c r="G46" s="40">
        <f t="shared" si="30"/>
        <v>5408</v>
      </c>
      <c r="H46" s="40">
        <f t="shared" si="30"/>
        <v>190</v>
      </c>
      <c r="I46" s="40">
        <f t="shared" si="30"/>
        <v>2137</v>
      </c>
    </row>
    <row r="47" spans="1:10" hidden="1" x14ac:dyDescent="0.15">
      <c r="B47" s="40"/>
      <c r="C47" s="40"/>
      <c r="D47" s="40"/>
      <c r="E47" s="40"/>
      <c r="F47" s="40"/>
      <c r="G47" s="40"/>
      <c r="H47" s="40"/>
      <c r="I47" s="40"/>
    </row>
    <row r="48" spans="1:10" hidden="1" x14ac:dyDescent="0.15"/>
    <row r="49" spans="1:19" hidden="1" x14ac:dyDescent="0.15">
      <c r="A49" s="378" t="s">
        <v>63</v>
      </c>
      <c r="B49" s="378" t="s">
        <v>466</v>
      </c>
      <c r="C49" s="378" t="s">
        <v>467</v>
      </c>
      <c r="D49" s="378" t="s">
        <v>468</v>
      </c>
      <c r="E49" s="378" t="s">
        <v>469</v>
      </c>
      <c r="F49" s="378" t="s">
        <v>470</v>
      </c>
      <c r="G49" s="378" t="s">
        <v>471</v>
      </c>
      <c r="H49" s="378" t="s">
        <v>472</v>
      </c>
      <c r="I49" s="378" t="s">
        <v>473</v>
      </c>
      <c r="J49" s="378" t="s">
        <v>474</v>
      </c>
      <c r="K49" s="378" t="s">
        <v>475</v>
      </c>
      <c r="L49" s="378" t="s">
        <v>476</v>
      </c>
      <c r="M49" s="378" t="s">
        <v>477</v>
      </c>
      <c r="N49" s="378" t="s">
        <v>478</v>
      </c>
      <c r="O49" s="378" t="s">
        <v>479</v>
      </c>
      <c r="P49" s="378" t="s">
        <v>480</v>
      </c>
      <c r="Q49" s="378" t="s">
        <v>481</v>
      </c>
      <c r="R49" s="378" t="s">
        <v>482</v>
      </c>
      <c r="S49" s="378" t="s">
        <v>483</v>
      </c>
    </row>
    <row r="50" spans="1:19" hidden="1" x14ac:dyDescent="0.15">
      <c r="A50" s="54" t="s">
        <v>183</v>
      </c>
      <c r="B50" s="537">
        <v>28</v>
      </c>
      <c r="C50" s="537">
        <v>155</v>
      </c>
      <c r="D50" s="537">
        <v>30</v>
      </c>
      <c r="E50" s="537">
        <v>81</v>
      </c>
      <c r="F50" s="537">
        <v>116</v>
      </c>
      <c r="G50" s="537">
        <v>112</v>
      </c>
      <c r="H50" s="537">
        <v>35</v>
      </c>
      <c r="I50" s="537">
        <v>38</v>
      </c>
      <c r="J50" s="537">
        <v>9</v>
      </c>
      <c r="K50" s="537">
        <v>129</v>
      </c>
      <c r="L50" s="537">
        <v>106</v>
      </c>
      <c r="M50" s="537">
        <v>62</v>
      </c>
      <c r="N50" s="537">
        <v>79</v>
      </c>
      <c r="O50" s="537">
        <v>167</v>
      </c>
      <c r="P50" s="537">
        <v>121</v>
      </c>
      <c r="Q50" s="537">
        <v>65</v>
      </c>
      <c r="R50" s="537">
        <v>109</v>
      </c>
      <c r="S50" s="537">
        <v>303</v>
      </c>
    </row>
    <row r="51" spans="1:19" hidden="1" x14ac:dyDescent="0.15">
      <c r="A51" s="54" t="s">
        <v>184</v>
      </c>
      <c r="B51" s="537">
        <v>31</v>
      </c>
      <c r="C51" s="537">
        <v>152</v>
      </c>
      <c r="D51" s="537">
        <v>25</v>
      </c>
      <c r="E51" s="537">
        <v>92</v>
      </c>
      <c r="F51" s="537">
        <v>142</v>
      </c>
      <c r="G51" s="537">
        <v>101</v>
      </c>
      <c r="H51" s="537">
        <v>38</v>
      </c>
      <c r="I51" s="537">
        <v>21</v>
      </c>
      <c r="J51" s="537">
        <v>24</v>
      </c>
      <c r="K51" s="537">
        <v>101</v>
      </c>
      <c r="L51" s="537">
        <v>103</v>
      </c>
      <c r="M51" s="537">
        <v>51</v>
      </c>
      <c r="N51" s="537">
        <v>75</v>
      </c>
      <c r="O51" s="537">
        <v>192</v>
      </c>
      <c r="P51" s="537">
        <v>155</v>
      </c>
      <c r="Q51" s="537">
        <v>73</v>
      </c>
      <c r="R51" s="537">
        <v>62</v>
      </c>
      <c r="S51" s="537">
        <v>351</v>
      </c>
    </row>
    <row r="52" spans="1:19" hidden="1" x14ac:dyDescent="0.15">
      <c r="A52" s="54" t="s">
        <v>185</v>
      </c>
      <c r="B52" s="537">
        <v>39</v>
      </c>
      <c r="C52" s="537">
        <v>88</v>
      </c>
      <c r="D52" s="537">
        <v>17</v>
      </c>
      <c r="E52" s="537">
        <v>137</v>
      </c>
      <c r="F52" s="537">
        <v>73</v>
      </c>
      <c r="G52" s="537">
        <v>63</v>
      </c>
      <c r="H52" s="537">
        <v>23</v>
      </c>
      <c r="I52" s="537">
        <v>21</v>
      </c>
      <c r="J52" s="537">
        <v>16</v>
      </c>
      <c r="K52" s="537">
        <v>98</v>
      </c>
      <c r="L52" s="537">
        <v>51</v>
      </c>
      <c r="M52" s="537">
        <v>29</v>
      </c>
      <c r="N52" s="537">
        <v>83</v>
      </c>
      <c r="O52" s="537">
        <v>173</v>
      </c>
      <c r="P52" s="537">
        <v>171</v>
      </c>
      <c r="Q52" s="537">
        <v>106</v>
      </c>
      <c r="R52" s="537">
        <v>13</v>
      </c>
      <c r="S52" s="537">
        <v>174</v>
      </c>
    </row>
    <row r="53" spans="1:19" hidden="1" x14ac:dyDescent="0.15">
      <c r="A53" s="54" t="s">
        <v>186</v>
      </c>
      <c r="B53" s="537">
        <v>48</v>
      </c>
      <c r="C53" s="537">
        <v>84</v>
      </c>
      <c r="D53" s="537">
        <v>24</v>
      </c>
      <c r="E53" s="537">
        <v>169</v>
      </c>
      <c r="F53" s="537">
        <v>64</v>
      </c>
      <c r="G53" s="537">
        <v>90</v>
      </c>
      <c r="H53" s="537">
        <v>33</v>
      </c>
      <c r="I53" s="537">
        <v>25</v>
      </c>
      <c r="J53" s="537">
        <v>21</v>
      </c>
      <c r="K53" s="537">
        <v>93</v>
      </c>
      <c r="L53" s="537">
        <v>50</v>
      </c>
      <c r="M53" s="537">
        <v>41</v>
      </c>
      <c r="N53" s="537">
        <v>83</v>
      </c>
      <c r="O53" s="537">
        <v>191</v>
      </c>
      <c r="P53" s="537">
        <v>275</v>
      </c>
      <c r="Q53" s="537">
        <v>138</v>
      </c>
      <c r="R53" s="537">
        <v>4</v>
      </c>
      <c r="S53" s="537">
        <v>171</v>
      </c>
    </row>
    <row r="54" spans="1:19" hidden="1" x14ac:dyDescent="0.15">
      <c r="A54" s="54" t="s">
        <v>187</v>
      </c>
      <c r="B54" s="537">
        <v>29</v>
      </c>
      <c r="C54" s="537">
        <v>54</v>
      </c>
      <c r="D54" s="537">
        <v>19</v>
      </c>
      <c r="E54" s="537">
        <v>119</v>
      </c>
      <c r="F54" s="537">
        <v>38</v>
      </c>
      <c r="G54" s="537">
        <v>44</v>
      </c>
      <c r="H54" s="537">
        <v>20</v>
      </c>
      <c r="I54" s="537">
        <v>21</v>
      </c>
      <c r="J54" s="537">
        <v>12</v>
      </c>
      <c r="K54" s="537">
        <v>50</v>
      </c>
      <c r="L54" s="537">
        <v>37</v>
      </c>
      <c r="M54" s="537">
        <v>20</v>
      </c>
      <c r="N54" s="537">
        <v>47</v>
      </c>
      <c r="O54" s="537">
        <v>143</v>
      </c>
      <c r="P54" s="537">
        <v>204</v>
      </c>
      <c r="Q54" s="537">
        <v>104</v>
      </c>
      <c r="R54" s="537">
        <v>2</v>
      </c>
      <c r="S54" s="537">
        <v>113</v>
      </c>
    </row>
    <row r="55" spans="1:19" hidden="1" x14ac:dyDescent="0.15">
      <c r="A55" s="54" t="s">
        <v>188</v>
      </c>
      <c r="B55" s="537">
        <v>32</v>
      </c>
      <c r="C55" s="537">
        <v>29</v>
      </c>
      <c r="D55" s="537">
        <v>10</v>
      </c>
      <c r="E55" s="537">
        <v>80</v>
      </c>
      <c r="F55" s="537">
        <v>24</v>
      </c>
      <c r="G55" s="537">
        <v>35</v>
      </c>
      <c r="H55" s="537">
        <v>7</v>
      </c>
      <c r="I55" s="537">
        <v>12</v>
      </c>
      <c r="J55" s="537">
        <v>9</v>
      </c>
      <c r="K55" s="537">
        <v>47</v>
      </c>
      <c r="L55" s="537">
        <v>35</v>
      </c>
      <c r="M55" s="537">
        <v>29</v>
      </c>
      <c r="N55" s="537">
        <v>43</v>
      </c>
      <c r="O55" s="537">
        <v>160</v>
      </c>
      <c r="P55" s="537">
        <v>140</v>
      </c>
      <c r="Q55" s="537">
        <v>67</v>
      </c>
      <c r="R55" s="537"/>
      <c r="S55" s="537">
        <v>84</v>
      </c>
    </row>
    <row r="56" spans="1:19" hidden="1" x14ac:dyDescent="0.15">
      <c r="A56" s="54" t="s">
        <v>189</v>
      </c>
      <c r="B56" s="537">
        <v>60</v>
      </c>
      <c r="C56" s="537">
        <v>63</v>
      </c>
      <c r="D56" s="537">
        <v>35</v>
      </c>
      <c r="E56" s="537">
        <v>203</v>
      </c>
      <c r="F56" s="537">
        <v>42</v>
      </c>
      <c r="G56" s="537">
        <v>81</v>
      </c>
      <c r="H56" s="537">
        <v>17</v>
      </c>
      <c r="I56" s="537">
        <v>18</v>
      </c>
      <c r="J56" s="537">
        <v>13</v>
      </c>
      <c r="K56" s="537">
        <v>40</v>
      </c>
      <c r="L56" s="537">
        <v>26</v>
      </c>
      <c r="M56" s="537">
        <v>30</v>
      </c>
      <c r="N56" s="537">
        <v>78</v>
      </c>
      <c r="O56" s="537">
        <v>135</v>
      </c>
      <c r="P56" s="537">
        <v>243</v>
      </c>
      <c r="Q56" s="537">
        <v>128</v>
      </c>
      <c r="R56" s="537"/>
      <c r="S56" s="537">
        <v>128</v>
      </c>
    </row>
    <row r="57" spans="1:19" hidden="1" x14ac:dyDescent="0.15">
      <c r="A57" s="54" t="s">
        <v>190</v>
      </c>
      <c r="B57" s="537">
        <v>43</v>
      </c>
      <c r="C57" s="537">
        <v>48</v>
      </c>
      <c r="D57" s="537">
        <v>12</v>
      </c>
      <c r="E57" s="537">
        <v>82</v>
      </c>
      <c r="F57" s="537">
        <v>27</v>
      </c>
      <c r="G57" s="537">
        <v>36</v>
      </c>
      <c r="H57" s="537">
        <v>10</v>
      </c>
      <c r="I57" s="537">
        <v>14</v>
      </c>
      <c r="J57" s="537">
        <v>14</v>
      </c>
      <c r="K57" s="537">
        <v>43</v>
      </c>
      <c r="L57" s="537">
        <v>38</v>
      </c>
      <c r="M57" s="537">
        <v>29</v>
      </c>
      <c r="N57" s="537">
        <v>47</v>
      </c>
      <c r="O57" s="537">
        <v>94</v>
      </c>
      <c r="P57" s="537">
        <v>206</v>
      </c>
      <c r="Q57" s="537">
        <v>97</v>
      </c>
      <c r="R57" s="537"/>
      <c r="S57" s="537">
        <v>92</v>
      </c>
    </row>
    <row r="58" spans="1:19" hidden="1" x14ac:dyDescent="0.15">
      <c r="A58" s="54" t="s">
        <v>191</v>
      </c>
      <c r="B58" s="537">
        <v>25</v>
      </c>
      <c r="C58" s="537">
        <v>42</v>
      </c>
      <c r="D58" s="537">
        <v>19</v>
      </c>
      <c r="E58" s="537">
        <v>53</v>
      </c>
      <c r="F58" s="537">
        <v>22</v>
      </c>
      <c r="G58" s="537">
        <v>26</v>
      </c>
      <c r="H58" s="537">
        <v>11</v>
      </c>
      <c r="I58" s="537">
        <v>11</v>
      </c>
      <c r="J58" s="537">
        <v>10</v>
      </c>
      <c r="K58" s="537">
        <v>27</v>
      </c>
      <c r="L58" s="537">
        <v>25</v>
      </c>
      <c r="M58" s="537">
        <v>19</v>
      </c>
      <c r="N58" s="537">
        <v>29</v>
      </c>
      <c r="O58" s="537">
        <v>50</v>
      </c>
      <c r="P58" s="537">
        <v>120</v>
      </c>
      <c r="Q58" s="537">
        <v>85</v>
      </c>
      <c r="R58" s="537"/>
      <c r="S58" s="537">
        <v>60</v>
      </c>
    </row>
    <row r="59" spans="1:19" hidden="1" x14ac:dyDescent="0.15">
      <c r="A59" s="54" t="s">
        <v>192</v>
      </c>
      <c r="B59" s="537">
        <v>25</v>
      </c>
      <c r="C59" s="537">
        <v>37</v>
      </c>
      <c r="D59" s="537">
        <v>17</v>
      </c>
      <c r="E59" s="537">
        <v>37</v>
      </c>
      <c r="F59" s="537">
        <v>11</v>
      </c>
      <c r="G59" s="537">
        <v>32</v>
      </c>
      <c r="H59" s="537">
        <v>9</v>
      </c>
      <c r="I59" s="537">
        <v>9</v>
      </c>
      <c r="J59" s="537">
        <v>7</v>
      </c>
      <c r="K59" s="537">
        <v>19</v>
      </c>
      <c r="L59" s="537">
        <v>20</v>
      </c>
      <c r="M59" s="537">
        <v>24</v>
      </c>
      <c r="N59" s="537">
        <v>26</v>
      </c>
      <c r="O59" s="537">
        <v>51</v>
      </c>
      <c r="P59" s="537">
        <v>104</v>
      </c>
      <c r="Q59" s="537">
        <v>52</v>
      </c>
      <c r="R59" s="537"/>
      <c r="S59" s="537">
        <v>67</v>
      </c>
    </row>
    <row r="60" spans="1:19" hidden="1" x14ac:dyDescent="0.15">
      <c r="A60" s="54" t="s">
        <v>193</v>
      </c>
      <c r="B60" s="537">
        <v>17</v>
      </c>
      <c r="C60" s="537">
        <v>28</v>
      </c>
      <c r="D60" s="537">
        <v>9</v>
      </c>
      <c r="E60" s="537">
        <v>44</v>
      </c>
      <c r="F60" s="537">
        <v>15</v>
      </c>
      <c r="G60" s="537">
        <v>14</v>
      </c>
      <c r="H60" s="537">
        <v>3</v>
      </c>
      <c r="I60" s="537">
        <v>4</v>
      </c>
      <c r="J60" s="537">
        <v>12</v>
      </c>
      <c r="K60" s="537">
        <v>17</v>
      </c>
      <c r="L60" s="537">
        <v>6</v>
      </c>
      <c r="M60" s="537">
        <v>20</v>
      </c>
      <c r="N60" s="537">
        <v>27</v>
      </c>
      <c r="O60" s="537">
        <v>42</v>
      </c>
      <c r="P60" s="537">
        <v>102</v>
      </c>
      <c r="Q60" s="537">
        <v>40</v>
      </c>
      <c r="R60" s="537"/>
      <c r="S60" s="537">
        <v>58</v>
      </c>
    </row>
    <row r="61" spans="1:19" hidden="1" x14ac:dyDescent="0.15">
      <c r="A61" s="54" t="s">
        <v>194</v>
      </c>
      <c r="B61" s="537">
        <v>7</v>
      </c>
      <c r="C61" s="537">
        <v>26</v>
      </c>
      <c r="D61" s="537">
        <v>5</v>
      </c>
      <c r="E61" s="537">
        <v>33</v>
      </c>
      <c r="F61" s="537">
        <v>10</v>
      </c>
      <c r="G61" s="537">
        <v>18</v>
      </c>
      <c r="H61" s="537">
        <v>7</v>
      </c>
      <c r="I61" s="537">
        <v>8</v>
      </c>
      <c r="J61" s="537">
        <v>6</v>
      </c>
      <c r="K61" s="537">
        <v>20</v>
      </c>
      <c r="L61" s="537">
        <v>6</v>
      </c>
      <c r="M61" s="537">
        <v>9</v>
      </c>
      <c r="N61" s="537">
        <v>20</v>
      </c>
      <c r="O61" s="537">
        <v>46</v>
      </c>
      <c r="P61" s="537">
        <v>74</v>
      </c>
      <c r="Q61" s="537">
        <v>35</v>
      </c>
      <c r="R61" s="537"/>
      <c r="S61" s="537">
        <v>45</v>
      </c>
    </row>
    <row r="62" spans="1:19" hidden="1" x14ac:dyDescent="0.15">
      <c r="A62" s="54" t="s">
        <v>195</v>
      </c>
      <c r="B62" s="537">
        <v>13</v>
      </c>
      <c r="C62" s="537">
        <v>22</v>
      </c>
      <c r="D62" s="537">
        <v>7</v>
      </c>
      <c r="E62" s="537">
        <v>18</v>
      </c>
      <c r="F62" s="537">
        <v>15</v>
      </c>
      <c r="G62" s="537">
        <v>8</v>
      </c>
      <c r="H62" s="537">
        <v>3</v>
      </c>
      <c r="I62" s="537">
        <v>2</v>
      </c>
      <c r="J62" s="537">
        <v>6</v>
      </c>
      <c r="K62" s="537">
        <v>14</v>
      </c>
      <c r="L62" s="537">
        <v>11</v>
      </c>
      <c r="M62" s="537">
        <v>19</v>
      </c>
      <c r="N62" s="537">
        <v>19</v>
      </c>
      <c r="O62" s="537">
        <v>28</v>
      </c>
      <c r="P62" s="537">
        <v>72</v>
      </c>
      <c r="Q62" s="537">
        <v>28</v>
      </c>
      <c r="R62" s="537"/>
      <c r="S62" s="537">
        <v>49</v>
      </c>
    </row>
    <row r="63" spans="1:19" hidden="1" x14ac:dyDescent="0.15">
      <c r="A63" s="54" t="s">
        <v>196</v>
      </c>
      <c r="B63" s="537">
        <v>16</v>
      </c>
      <c r="C63" s="537">
        <v>15</v>
      </c>
      <c r="D63" s="537">
        <v>8</v>
      </c>
      <c r="E63" s="537">
        <v>23</v>
      </c>
      <c r="F63" s="537">
        <v>14</v>
      </c>
      <c r="G63" s="537">
        <v>13</v>
      </c>
      <c r="H63" s="537">
        <v>2</v>
      </c>
      <c r="I63" s="537">
        <v>8</v>
      </c>
      <c r="J63" s="537">
        <v>5</v>
      </c>
      <c r="K63" s="537">
        <v>15</v>
      </c>
      <c r="L63" s="537">
        <v>8</v>
      </c>
      <c r="M63" s="537">
        <v>13</v>
      </c>
      <c r="N63" s="537">
        <v>14</v>
      </c>
      <c r="O63" s="537">
        <v>20</v>
      </c>
      <c r="P63" s="537">
        <v>62</v>
      </c>
      <c r="Q63" s="537">
        <v>30</v>
      </c>
      <c r="R63" s="537"/>
      <c r="S63" s="537">
        <v>33</v>
      </c>
    </row>
    <row r="64" spans="1:19" hidden="1" x14ac:dyDescent="0.15">
      <c r="A64" s="54" t="s">
        <v>197</v>
      </c>
      <c r="B64" s="537">
        <v>62</v>
      </c>
      <c r="C64" s="537">
        <v>50</v>
      </c>
      <c r="D64" s="537">
        <v>57</v>
      </c>
      <c r="E64" s="537">
        <v>116</v>
      </c>
      <c r="F64" s="537">
        <v>54</v>
      </c>
      <c r="G64" s="537">
        <v>60</v>
      </c>
      <c r="H64" s="537">
        <v>9</v>
      </c>
      <c r="I64" s="537">
        <v>21</v>
      </c>
      <c r="J64" s="537">
        <v>15</v>
      </c>
      <c r="K64" s="537">
        <v>51</v>
      </c>
      <c r="L64" s="537">
        <v>33</v>
      </c>
      <c r="M64" s="537">
        <v>49</v>
      </c>
      <c r="N64" s="537">
        <v>99</v>
      </c>
      <c r="O64" s="537">
        <v>114</v>
      </c>
      <c r="P64" s="537">
        <v>301</v>
      </c>
      <c r="Q64" s="537">
        <v>113</v>
      </c>
      <c r="R64" s="537"/>
      <c r="S64" s="537">
        <v>207</v>
      </c>
    </row>
    <row r="65" spans="1:19" hidden="1" x14ac:dyDescent="0.15">
      <c r="A65" s="54" t="s">
        <v>198</v>
      </c>
      <c r="B65" s="537">
        <v>62</v>
      </c>
      <c r="C65" s="537">
        <v>21</v>
      </c>
      <c r="D65" s="537">
        <v>40</v>
      </c>
      <c r="E65" s="537">
        <v>60</v>
      </c>
      <c r="F65" s="537">
        <v>19</v>
      </c>
      <c r="G65" s="537">
        <v>34</v>
      </c>
      <c r="H65" s="537">
        <v>2</v>
      </c>
      <c r="I65" s="537">
        <v>11</v>
      </c>
      <c r="J65" s="537">
        <v>15</v>
      </c>
      <c r="K65" s="537">
        <v>27</v>
      </c>
      <c r="L65" s="537">
        <v>22</v>
      </c>
      <c r="M65" s="537">
        <v>26</v>
      </c>
      <c r="N65" s="537">
        <v>61</v>
      </c>
      <c r="O65" s="537">
        <v>72</v>
      </c>
      <c r="P65" s="537">
        <v>132</v>
      </c>
      <c r="Q65" s="537">
        <v>87</v>
      </c>
      <c r="R65" s="537"/>
      <c r="S65" s="537">
        <v>202</v>
      </c>
    </row>
    <row r="66" spans="1:19" hidden="1" x14ac:dyDescent="0.15"/>
  </sheetData>
  <mergeCells count="5">
    <mergeCell ref="A4:A5"/>
    <mergeCell ref="A34:A35"/>
    <mergeCell ref="A36:A37"/>
    <mergeCell ref="A38:A39"/>
    <mergeCell ref="A44:A45"/>
  </mergeCells>
  <phoneticPr fontId="2"/>
  <printOptions horizontalCentered="1"/>
  <pageMargins left="0.70866141732283472" right="0.70866141732283472" top="0.74803149606299213" bottom="0.74803149606299213" header="0.31496062992125984" footer="0.31496062992125984"/>
  <pageSetup paperSize="9" scale="94"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theme="6" tint="-0.249977111117893"/>
  </sheetPr>
  <dimension ref="A1:T21"/>
  <sheetViews>
    <sheetView view="pageBreakPreview" zoomScale="80" zoomScaleNormal="100" zoomScaleSheetLayoutView="80" workbookViewId="0">
      <selection activeCell="G1" sqref="G1:O1048576"/>
    </sheetView>
  </sheetViews>
  <sheetFormatPr defaultRowHeight="18.75" x14ac:dyDescent="0.15"/>
  <cols>
    <col min="1" max="1" width="22.125" style="1" customWidth="1"/>
    <col min="2" max="4" width="9" style="1" customWidth="1"/>
    <col min="5" max="5" width="9.5" style="1" bestFit="1" customWidth="1"/>
    <col min="6" max="6" width="5.875" style="1" bestFit="1" customWidth="1"/>
    <col min="7" max="7" width="20.75" style="1" hidden="1" customWidth="1"/>
    <col min="8" max="8" width="7.75" style="1" hidden="1" customWidth="1"/>
    <col min="9" max="9" width="5" style="1" hidden="1" customWidth="1"/>
    <col min="10" max="10" width="15.25" style="1" hidden="1" customWidth="1"/>
    <col min="11" max="11" width="13.875" style="1" hidden="1" customWidth="1"/>
    <col min="12" max="12" width="20.375" style="1" hidden="1" customWidth="1"/>
    <col min="13" max="13" width="5" style="1" hidden="1" customWidth="1"/>
    <col min="14" max="14" width="6.625" style="1" hidden="1" customWidth="1"/>
    <col min="15" max="15" width="7.375" style="1" hidden="1" customWidth="1"/>
    <col min="16" max="16384" width="9" style="1"/>
  </cols>
  <sheetData>
    <row r="1" spans="1:20" s="3" customFormat="1" ht="19.5" x14ac:dyDescent="0.15">
      <c r="A1" s="2" t="s">
        <v>119</v>
      </c>
    </row>
    <row r="2" spans="1:20" x14ac:dyDescent="0.15">
      <c r="A2" s="4"/>
      <c r="G2" s="56" t="s">
        <v>63</v>
      </c>
    </row>
    <row r="3" spans="1:20" s="3" customFormat="1" ht="18" customHeight="1" thickBot="1" x14ac:dyDescent="0.2">
      <c r="A3" s="4" t="s">
        <v>13</v>
      </c>
      <c r="G3" s="388" t="s">
        <v>282</v>
      </c>
      <c r="H3" s="495" t="s">
        <v>350</v>
      </c>
      <c r="I3" s="1"/>
      <c r="J3" s="1"/>
    </row>
    <row r="4" spans="1:20" ht="15.75" customHeight="1" thickTop="1" thickBot="1" x14ac:dyDescent="0.2">
      <c r="A4" s="258"/>
      <c r="B4" s="258" t="s">
        <v>0</v>
      </c>
      <c r="C4" s="258" t="s">
        <v>1</v>
      </c>
      <c r="G4" s="420" t="s">
        <v>371</v>
      </c>
      <c r="H4" s="38" t="s">
        <v>373</v>
      </c>
      <c r="J4" s="37"/>
    </row>
    <row r="5" spans="1:20" ht="19.5" thickTop="1" x14ac:dyDescent="0.15">
      <c r="A5" s="299" t="s">
        <v>14</v>
      </c>
      <c r="B5" s="261">
        <f>IFERROR(VLOOKUP("措置入院",入院形態[#All],2,FALSE),0)+IFERROR(VLOOKUP("緊急措置入院",入院形態[#All],2,FALSE),0)</f>
        <v>91</v>
      </c>
      <c r="C5" s="301">
        <f>IFERROR(B5/B$10,"-")</f>
        <v>5.812839348450974E-3</v>
      </c>
      <c r="G5" s="40" t="s">
        <v>15</v>
      </c>
      <c r="H5" s="41">
        <v>8391</v>
      </c>
      <c r="J5" s="42"/>
    </row>
    <row r="6" spans="1:20" x14ac:dyDescent="0.15">
      <c r="A6" s="299" t="s">
        <v>15</v>
      </c>
      <c r="B6" s="261">
        <f>IFERROR(VLOOKUP(A6,入院形態[#All],2,FALSE),0)</f>
        <v>8391</v>
      </c>
      <c r="C6" s="301">
        <f t="shared" ref="C6:C9" si="0">IFERROR(B6/B$10,"-")</f>
        <v>0.53599488981156185</v>
      </c>
      <c r="G6" s="40" t="s">
        <v>16</v>
      </c>
      <c r="H6" s="498">
        <v>7133</v>
      </c>
      <c r="J6" s="42"/>
    </row>
    <row r="7" spans="1:20" x14ac:dyDescent="0.15">
      <c r="A7" s="299" t="s">
        <v>16</v>
      </c>
      <c r="B7" s="261">
        <f>IFERROR(VLOOKUP(A7,入院形態[#All],2,FALSE),0)</f>
        <v>7133</v>
      </c>
      <c r="C7" s="301">
        <f t="shared" si="0"/>
        <v>0.45563717662088787</v>
      </c>
      <c r="G7" s="40" t="s">
        <v>374</v>
      </c>
      <c r="H7" s="41">
        <v>89</v>
      </c>
      <c r="J7" s="42"/>
    </row>
    <row r="8" spans="1:20" x14ac:dyDescent="0.15">
      <c r="A8" s="299" t="s">
        <v>17</v>
      </c>
      <c r="B8" s="261">
        <f>IFERROR(VLOOKUP(A8,入院形態[#All],2,FALSE),0)</f>
        <v>4</v>
      </c>
      <c r="C8" s="301">
        <f t="shared" si="0"/>
        <v>2.5550942190993294E-4</v>
      </c>
      <c r="G8" s="40" t="s">
        <v>375</v>
      </c>
      <c r="H8" s="41">
        <v>7</v>
      </c>
      <c r="J8" s="42"/>
    </row>
    <row r="9" spans="1:20" x14ac:dyDescent="0.15">
      <c r="A9" s="299" t="s">
        <v>18</v>
      </c>
      <c r="B9" s="261">
        <f>IFERROR(VLOOKUP("鑑定入院",入院形態[#All],2,FALSE),0)+IFERROR(VLOOKUP("医療観察法による入院",入院形態[#All],2,FALSE),0)</f>
        <v>36</v>
      </c>
      <c r="C9" s="301">
        <f t="shared" si="0"/>
        <v>2.2995847971893964E-3</v>
      </c>
      <c r="G9" s="40" t="s">
        <v>17</v>
      </c>
      <c r="H9" s="41">
        <v>4</v>
      </c>
    </row>
    <row r="10" spans="1:20" x14ac:dyDescent="0.15">
      <c r="A10" s="302" t="s">
        <v>11</v>
      </c>
      <c r="B10" s="262">
        <f>SUM(B5:B9)</f>
        <v>15655</v>
      </c>
      <c r="C10" s="263">
        <f>SUM(C5:C9)</f>
        <v>1</v>
      </c>
      <c r="G10" s="43" t="s">
        <v>376</v>
      </c>
      <c r="H10" s="41">
        <v>29</v>
      </c>
    </row>
    <row r="11" spans="1:20" x14ac:dyDescent="0.15">
      <c r="A11" s="38"/>
      <c r="B11" s="44"/>
      <c r="C11" s="45"/>
      <c r="G11" s="43" t="s">
        <v>377</v>
      </c>
      <c r="H11" s="41">
        <v>2</v>
      </c>
    </row>
    <row r="12" spans="1:20" x14ac:dyDescent="0.15">
      <c r="A12" s="38"/>
      <c r="B12" s="44"/>
      <c r="C12" s="45"/>
      <c r="G12" s="43"/>
      <c r="H12" s="387"/>
    </row>
    <row r="13" spans="1:20" ht="19.5" thickBot="1" x14ac:dyDescent="0.2">
      <c r="A13" s="38"/>
      <c r="B13" s="44"/>
      <c r="C13" s="45"/>
      <c r="G13" s="497" t="s">
        <v>282</v>
      </c>
      <c r="H13" s="495" t="s">
        <v>28</v>
      </c>
      <c r="J13" s="497" t="s">
        <v>282</v>
      </c>
      <c r="K13" s="495" t="s">
        <v>283</v>
      </c>
    </row>
    <row r="14" spans="1:20" s="3" customFormat="1" ht="21" thickTop="1" thickBot="1" x14ac:dyDescent="0.2">
      <c r="A14" s="4" t="s">
        <v>114</v>
      </c>
      <c r="G14" s="420" t="s">
        <v>371</v>
      </c>
      <c r="H14" s="38" t="s">
        <v>373</v>
      </c>
      <c r="J14" s="420" t="s">
        <v>371</v>
      </c>
      <c r="K14" s="38" t="s">
        <v>373</v>
      </c>
    </row>
    <row r="15" spans="1:20" ht="16.5" customHeight="1" thickTop="1" x14ac:dyDescent="0.15">
      <c r="A15" s="258"/>
      <c r="B15" s="258" t="s">
        <v>115</v>
      </c>
      <c r="C15" s="258" t="s">
        <v>117</v>
      </c>
      <c r="D15" s="258" t="s">
        <v>12</v>
      </c>
      <c r="E15" s="258" t="s">
        <v>1</v>
      </c>
      <c r="G15" s="40" t="s">
        <v>15</v>
      </c>
      <c r="H15" s="41">
        <v>93</v>
      </c>
      <c r="J15" s="40" t="s">
        <v>15</v>
      </c>
      <c r="K15" s="41">
        <v>428</v>
      </c>
      <c r="L15" s="47"/>
    </row>
    <row r="16" spans="1:20" x14ac:dyDescent="0.15">
      <c r="A16" s="299" t="s">
        <v>14</v>
      </c>
      <c r="B16" s="259">
        <f>IFERROR(VLOOKUP("措置入院",入院形態_寛解[#All],2,FALSE),0)+IFERROR(VLOOKUP("緊急措置入院",入院形態_寛解[#All],2,FALSE),0)</f>
        <v>2</v>
      </c>
      <c r="C16" s="259">
        <f>IFERROR(VLOOKUP("措置入院",入院形態_院内寛解[#All],2,FALSE),0)+IFERROR(VLOOKUP("緊急措置入院",入院形態_院内寛解[#All],2,FALSE),0)</f>
        <v>11</v>
      </c>
      <c r="D16" s="259">
        <f>SUM(B16:C16)</f>
        <v>13</v>
      </c>
      <c r="E16" s="301">
        <f>IFERROR(D16/D$21,"-")</f>
        <v>7.7473182359952325E-3</v>
      </c>
      <c r="G16" s="40" t="s">
        <v>16</v>
      </c>
      <c r="H16" s="48">
        <v>263</v>
      </c>
      <c r="I16" s="22"/>
      <c r="J16" s="40" t="s">
        <v>16</v>
      </c>
      <c r="K16" s="48">
        <v>874</v>
      </c>
      <c r="L16" s="49"/>
      <c r="M16" s="22"/>
      <c r="N16" s="22"/>
      <c r="O16" s="22"/>
      <c r="P16" s="22"/>
      <c r="Q16" s="22"/>
      <c r="R16" s="22"/>
      <c r="S16" s="22"/>
      <c r="T16" s="22"/>
    </row>
    <row r="17" spans="1:20" x14ac:dyDescent="0.15">
      <c r="A17" s="299" t="s">
        <v>15</v>
      </c>
      <c r="B17" s="259">
        <f>IFERROR(VLOOKUP(A17,入院形態_寛解[#All],2,FALSE),0)</f>
        <v>93</v>
      </c>
      <c r="C17" s="259">
        <f>IFERROR(VLOOKUP(A17,入院形態_院内寛解[#All],2,FALSE),0)</f>
        <v>428</v>
      </c>
      <c r="D17" s="259">
        <f t="shared" ref="D17:D20" si="1">SUM(B17:C17)</f>
        <v>521</v>
      </c>
      <c r="E17" s="301">
        <f t="shared" ref="E17:E20" si="2">IFERROR(D17/D$21,"-")</f>
        <v>0.3104886769964243</v>
      </c>
      <c r="G17" s="40" t="s">
        <v>374</v>
      </c>
      <c r="H17" s="48">
        <v>2</v>
      </c>
      <c r="I17" s="22"/>
      <c r="J17" s="40" t="s">
        <v>374</v>
      </c>
      <c r="K17" s="48">
        <v>10</v>
      </c>
      <c r="L17" s="49"/>
      <c r="M17" s="22"/>
      <c r="N17" s="22"/>
      <c r="O17" s="22"/>
      <c r="P17" s="22"/>
      <c r="Q17" s="22"/>
      <c r="R17" s="22"/>
      <c r="S17" s="22"/>
      <c r="T17" s="22"/>
    </row>
    <row r="18" spans="1:20" x14ac:dyDescent="0.15">
      <c r="A18" s="299" t="s">
        <v>16</v>
      </c>
      <c r="B18" s="259">
        <f>IFERROR(VLOOKUP(A18,入院形態_寛解[#All],2,FALSE),0)</f>
        <v>263</v>
      </c>
      <c r="C18" s="259">
        <f>IFERROR(VLOOKUP(A18,入院形態_院内寛解[#All],2,FALSE),0)</f>
        <v>874</v>
      </c>
      <c r="D18" s="259">
        <f t="shared" si="1"/>
        <v>1137</v>
      </c>
      <c r="E18" s="301">
        <f t="shared" si="2"/>
        <v>0.6775923718712753</v>
      </c>
      <c r="G18" s="40" t="s">
        <v>375</v>
      </c>
      <c r="H18" s="48">
        <v>0</v>
      </c>
      <c r="I18" s="22"/>
      <c r="J18" s="40" t="s">
        <v>375</v>
      </c>
      <c r="K18" s="48">
        <v>1</v>
      </c>
      <c r="L18" s="49"/>
      <c r="M18" s="22"/>
      <c r="N18" s="22"/>
      <c r="O18" s="22"/>
      <c r="P18" s="22"/>
      <c r="Q18" s="22"/>
      <c r="R18" s="22"/>
      <c r="S18" s="22"/>
      <c r="T18" s="22"/>
    </row>
    <row r="19" spans="1:20" x14ac:dyDescent="0.15">
      <c r="A19" s="299" t="s">
        <v>17</v>
      </c>
      <c r="B19" s="259">
        <f>IFERROR(VLOOKUP(A19,入院形態_寛解[#All],2,FALSE),0)</f>
        <v>0</v>
      </c>
      <c r="C19" s="259">
        <f>IFERROR(VLOOKUP(A19,入院形態_院内寛解[#All],2,FALSE),0)</f>
        <v>0</v>
      </c>
      <c r="D19" s="259">
        <f t="shared" si="1"/>
        <v>0</v>
      </c>
      <c r="E19" s="301">
        <f t="shared" si="2"/>
        <v>0</v>
      </c>
      <c r="G19" s="40" t="s">
        <v>17</v>
      </c>
      <c r="H19" s="48">
        <v>0</v>
      </c>
      <c r="I19" s="22"/>
      <c r="J19" s="40" t="s">
        <v>17</v>
      </c>
      <c r="K19" s="48">
        <v>0</v>
      </c>
      <c r="L19" s="49"/>
      <c r="M19" s="22"/>
      <c r="N19" s="22"/>
      <c r="O19" s="22"/>
      <c r="P19" s="22"/>
      <c r="Q19" s="22"/>
      <c r="R19" s="22"/>
      <c r="S19" s="22"/>
      <c r="T19" s="22"/>
    </row>
    <row r="20" spans="1:20" x14ac:dyDescent="0.15">
      <c r="A20" s="299" t="s">
        <v>18</v>
      </c>
      <c r="B20" s="261">
        <f>IFERROR(VLOOKUP("鑑定入院",入院形態_寛解[#All],2,FALSE),0)+IFERROR(VLOOKUP("医療観察法による入院",入院形態_寛解[#All],2,FALSE),0)</f>
        <v>3</v>
      </c>
      <c r="C20" s="261">
        <f>IFERROR(VLOOKUP("鑑定入院",入院形態_院内寛解[#All],2,FALSE),0)+IFERROR(VLOOKUP("医療観察法による入院",入院形態_院内寛解[#All],2,FALSE),0)</f>
        <v>4</v>
      </c>
      <c r="D20" s="259">
        <f t="shared" si="1"/>
        <v>7</v>
      </c>
      <c r="E20" s="301">
        <f t="shared" si="2"/>
        <v>4.1716328963051254E-3</v>
      </c>
      <c r="G20" s="43" t="s">
        <v>376</v>
      </c>
      <c r="H20" s="48">
        <v>3</v>
      </c>
      <c r="J20" s="43" t="s">
        <v>376</v>
      </c>
      <c r="K20" s="48">
        <v>3</v>
      </c>
      <c r="L20" s="52"/>
    </row>
    <row r="21" spans="1:20" x14ac:dyDescent="0.15">
      <c r="A21" s="302" t="s">
        <v>11</v>
      </c>
      <c r="B21" s="262">
        <f>SUM(B16:B20)</f>
        <v>361</v>
      </c>
      <c r="C21" s="262">
        <f>SUM(C16:C20)</f>
        <v>1317</v>
      </c>
      <c r="D21" s="262">
        <f>SUM(D16:D20)</f>
        <v>1678</v>
      </c>
      <c r="E21" s="263">
        <f>SUM(E16:E20)</f>
        <v>1</v>
      </c>
      <c r="G21" s="43" t="s">
        <v>377</v>
      </c>
      <c r="H21" s="48">
        <v>0</v>
      </c>
      <c r="J21" s="43" t="s">
        <v>377</v>
      </c>
      <c r="K21" s="48">
        <v>1</v>
      </c>
    </row>
  </sheetData>
  <phoneticPr fontId="2"/>
  <pageMargins left="0.70866141732283472" right="0.70866141732283472" top="0.74803149606299213" bottom="0.74803149606299213" header="0.31496062992125984" footer="0.31496062992125984"/>
  <pageSetup paperSize="11" scale="87"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Button 1">
              <controlPr defaultSize="0" print="0" autoFill="0" autoPict="0" macro="[0]!データ削除2">
                <anchor moveWithCells="1" sizeWithCells="1">
                  <from>
                    <xdr:col>11</xdr:col>
                    <xdr:colOff>533400</xdr:colOff>
                    <xdr:row>2</xdr:row>
                    <xdr:rowOff>152400</xdr:rowOff>
                  </from>
                  <to>
                    <xdr:col>13</xdr:col>
                    <xdr:colOff>285750</xdr:colOff>
                    <xdr:row>5</xdr:row>
                    <xdr:rowOff>9525</xdr:rowOff>
                  </to>
                </anchor>
              </controlPr>
            </control>
          </mc:Choice>
        </mc:AlternateContent>
      </controls>
    </mc:Choice>
  </mc:AlternateContent>
  <tableParts count="3">
    <tablePart r:id="rId5"/>
    <tablePart r:id="rId6"/>
    <tablePart r:id="rId7"/>
  </tablePart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499984740745262"/>
    <pageSetUpPr fitToPage="1"/>
  </sheetPr>
  <dimension ref="A1:S27"/>
  <sheetViews>
    <sheetView view="pageBreakPreview" zoomScaleNormal="100" zoomScaleSheetLayoutView="100" workbookViewId="0">
      <selection activeCell="G35" sqref="G35"/>
    </sheetView>
  </sheetViews>
  <sheetFormatPr defaultColWidth="13.75" defaultRowHeight="18.75" x14ac:dyDescent="0.15"/>
  <cols>
    <col min="1" max="1" width="10" style="1" customWidth="1"/>
    <col min="2" max="10" width="8.75" style="1" customWidth="1"/>
    <col min="11" max="19" width="7.5" style="1" customWidth="1"/>
    <col min="20" max="16384" width="13.75" style="1"/>
  </cols>
  <sheetData>
    <row r="1" spans="1:10" s="3" customFormat="1" ht="19.5" x14ac:dyDescent="0.15">
      <c r="A1" s="2" t="s">
        <v>484</v>
      </c>
    </row>
    <row r="2" spans="1:10" x14ac:dyDescent="0.15">
      <c r="A2" s="4"/>
    </row>
    <row r="3" spans="1:10" ht="18.75" customHeight="1" x14ac:dyDescent="0.15">
      <c r="A3" s="508"/>
      <c r="B3" s="508" t="s">
        <v>382</v>
      </c>
      <c r="C3" s="508" t="s">
        <v>383</v>
      </c>
      <c r="D3" s="508" t="s">
        <v>384</v>
      </c>
      <c r="E3" s="508" t="s">
        <v>385</v>
      </c>
      <c r="F3" s="508" t="s">
        <v>386</v>
      </c>
      <c r="G3" s="508" t="s">
        <v>387</v>
      </c>
      <c r="H3" s="508" t="s">
        <v>388</v>
      </c>
      <c r="I3" s="508" t="s">
        <v>389</v>
      </c>
      <c r="J3" s="508" t="s">
        <v>62</v>
      </c>
    </row>
    <row r="4" spans="1:10" s="22" customFormat="1" ht="18.75" customHeight="1" x14ac:dyDescent="0.15">
      <c r="A4" s="695" t="s">
        <v>28</v>
      </c>
      <c r="B4" s="509">
        <f>SUM(B22:D22)</f>
        <v>31</v>
      </c>
      <c r="C4" s="509">
        <f>SUM(E22:F22)</f>
        <v>35</v>
      </c>
      <c r="D4" s="509">
        <f>SUM(G22:J22)</f>
        <v>24</v>
      </c>
      <c r="E4" s="509">
        <f>SUM(K22:L22)</f>
        <v>67</v>
      </c>
      <c r="F4" s="509">
        <f>SUM(M22:N22)</f>
        <v>60</v>
      </c>
      <c r="G4" s="509">
        <f>SUM(O22:Q22)</f>
        <v>70</v>
      </c>
      <c r="H4" s="509">
        <f>R22</f>
        <v>14</v>
      </c>
      <c r="I4" s="509">
        <f>S22</f>
        <v>60</v>
      </c>
      <c r="J4" s="510">
        <f>SUM(B4:I4)</f>
        <v>361</v>
      </c>
    </row>
    <row r="5" spans="1:10" s="22" customFormat="1" ht="18.75" customHeight="1" x14ac:dyDescent="0.15">
      <c r="A5" s="696"/>
      <c r="B5" s="514">
        <f>B4/B$16</f>
        <v>1.7366946778711485E-2</v>
      </c>
      <c r="C5" s="514">
        <f t="shared" ref="C5:J5" si="0">C4/C$16</f>
        <v>1.721593703885883E-2</v>
      </c>
      <c r="D5" s="514">
        <f t="shared" si="0"/>
        <v>1.6736401673640166E-2</v>
      </c>
      <c r="E5" s="514">
        <f t="shared" si="0"/>
        <v>4.89766081871345E-2</v>
      </c>
      <c r="F5" s="514">
        <f t="shared" si="0"/>
        <v>4.6153846153846156E-2</v>
      </c>
      <c r="G5" s="514">
        <f t="shared" si="0"/>
        <v>1.2943786982248521E-2</v>
      </c>
      <c r="H5" s="514">
        <f t="shared" si="0"/>
        <v>7.3684210526315783E-2</v>
      </c>
      <c r="I5" s="514">
        <f t="shared" si="0"/>
        <v>2.8076743097800654E-2</v>
      </c>
      <c r="J5" s="514">
        <f t="shared" si="0"/>
        <v>2.3059725327371446E-2</v>
      </c>
    </row>
    <row r="6" spans="1:10" s="22" customFormat="1" ht="18.75" customHeight="1" x14ac:dyDescent="0.15">
      <c r="A6" s="695" t="s">
        <v>29</v>
      </c>
      <c r="B6" s="509">
        <f>SUM(B23:D23)</f>
        <v>158</v>
      </c>
      <c r="C6" s="509">
        <f>SUM(E23:F23)</f>
        <v>67</v>
      </c>
      <c r="D6" s="509">
        <f>SUM(G23:J23)</f>
        <v>112</v>
      </c>
      <c r="E6" s="509">
        <f>SUM(K23:L23)</f>
        <v>185</v>
      </c>
      <c r="F6" s="509">
        <f>SUM(M23:N23)</f>
        <v>172</v>
      </c>
      <c r="G6" s="509">
        <f>SUM(O23:Q23)</f>
        <v>390</v>
      </c>
      <c r="H6" s="509">
        <f>R23</f>
        <v>14</v>
      </c>
      <c r="I6" s="509">
        <f>S23</f>
        <v>219</v>
      </c>
      <c r="J6" s="510">
        <f>SUM(B6:I6)</f>
        <v>1317</v>
      </c>
    </row>
    <row r="7" spans="1:10" s="22" customFormat="1" ht="18.75" customHeight="1" x14ac:dyDescent="0.15">
      <c r="A7" s="696"/>
      <c r="B7" s="514">
        <f>B6/B$16</f>
        <v>8.8515406162464991E-2</v>
      </c>
      <c r="C7" s="514">
        <f t="shared" ref="C7:J7" si="1">C6/C$16</f>
        <v>3.2956222331529762E-2</v>
      </c>
      <c r="D7" s="514">
        <f t="shared" si="1"/>
        <v>7.8103207810320777E-2</v>
      </c>
      <c r="E7" s="514">
        <f t="shared" si="1"/>
        <v>0.13523391812865498</v>
      </c>
      <c r="F7" s="514">
        <f t="shared" si="1"/>
        <v>0.13230769230769232</v>
      </c>
      <c r="G7" s="514">
        <f t="shared" si="1"/>
        <v>7.2115384615384609E-2</v>
      </c>
      <c r="H7" s="514">
        <f t="shared" si="1"/>
        <v>7.3684210526315783E-2</v>
      </c>
      <c r="I7" s="514">
        <f t="shared" si="1"/>
        <v>0.10248011230697239</v>
      </c>
      <c r="J7" s="514">
        <f t="shared" si="1"/>
        <v>8.4126477163845415E-2</v>
      </c>
    </row>
    <row r="8" spans="1:10" s="22" customFormat="1" ht="18.75" customHeight="1" x14ac:dyDescent="0.15">
      <c r="A8" s="695" t="s">
        <v>30</v>
      </c>
      <c r="B8" s="509">
        <f>SUM(B24:D24)</f>
        <v>256</v>
      </c>
      <c r="C8" s="509">
        <f>SUM(E24:F24)</f>
        <v>369</v>
      </c>
      <c r="D8" s="509">
        <f>SUM(G24:J24)</f>
        <v>234</v>
      </c>
      <c r="E8" s="509">
        <f>SUM(K24:L24)</f>
        <v>371</v>
      </c>
      <c r="F8" s="509">
        <f>SUM(M24:N24)</f>
        <v>297</v>
      </c>
      <c r="G8" s="509">
        <f>SUM(O24:Q24)</f>
        <v>1047</v>
      </c>
      <c r="H8" s="509">
        <f>R24</f>
        <v>42</v>
      </c>
      <c r="I8" s="509">
        <f>S24</f>
        <v>447</v>
      </c>
      <c r="J8" s="510">
        <f>SUM(B8:I8)</f>
        <v>3063</v>
      </c>
    </row>
    <row r="9" spans="1:10" s="22" customFormat="1" ht="18.75" customHeight="1" x14ac:dyDescent="0.15">
      <c r="A9" s="696"/>
      <c r="B9" s="514">
        <f>B8/B$16</f>
        <v>0.1434173669467787</v>
      </c>
      <c r="C9" s="514">
        <f t="shared" ref="C9:J9" si="2">C8/C$16</f>
        <v>0.18150516478111164</v>
      </c>
      <c r="D9" s="514">
        <f t="shared" si="2"/>
        <v>0.16317991631799164</v>
      </c>
      <c r="E9" s="514">
        <f t="shared" si="2"/>
        <v>0.27119883040935672</v>
      </c>
      <c r="F9" s="514">
        <f t="shared" si="2"/>
        <v>0.22846153846153847</v>
      </c>
      <c r="G9" s="514">
        <f t="shared" si="2"/>
        <v>0.19360207100591717</v>
      </c>
      <c r="H9" s="514">
        <f t="shared" si="2"/>
        <v>0.22105263157894736</v>
      </c>
      <c r="I9" s="514">
        <f t="shared" si="2"/>
        <v>0.20917173607861489</v>
      </c>
      <c r="J9" s="514">
        <f t="shared" si="2"/>
        <v>0.19565633982753114</v>
      </c>
    </row>
    <row r="10" spans="1:10" s="22" customFormat="1" ht="18.75" customHeight="1" x14ac:dyDescent="0.15">
      <c r="A10" s="695" t="s">
        <v>31</v>
      </c>
      <c r="B10" s="509">
        <f>SUM(B25:D25)</f>
        <v>716</v>
      </c>
      <c r="C10" s="509">
        <f>SUM(E25:F25)</f>
        <v>821</v>
      </c>
      <c r="D10" s="509">
        <f>SUM(G25:J25)</f>
        <v>547</v>
      </c>
      <c r="E10" s="509">
        <f>SUM(K25:L25)</f>
        <v>546</v>
      </c>
      <c r="F10" s="509">
        <f>SUM(M25:N25)</f>
        <v>487</v>
      </c>
      <c r="G10" s="509">
        <f>SUM(O25:Q25)</f>
        <v>2119</v>
      </c>
      <c r="H10" s="509">
        <f>R25</f>
        <v>62</v>
      </c>
      <c r="I10" s="509">
        <f>S25</f>
        <v>859</v>
      </c>
      <c r="J10" s="510">
        <f>SUM(B10:I10)</f>
        <v>6157</v>
      </c>
    </row>
    <row r="11" spans="1:10" s="22" customFormat="1" ht="18.75" customHeight="1" x14ac:dyDescent="0.15">
      <c r="A11" s="696"/>
      <c r="B11" s="514">
        <f>B10/B$16</f>
        <v>0.40112044817927173</v>
      </c>
      <c r="C11" s="514">
        <f t="shared" ref="C11:J11" si="3">C10/C$16</f>
        <v>0.40383669454008853</v>
      </c>
      <c r="D11" s="514">
        <f t="shared" si="3"/>
        <v>0.38145048814504884</v>
      </c>
      <c r="E11" s="514">
        <f t="shared" si="3"/>
        <v>0.39912280701754388</v>
      </c>
      <c r="F11" s="514">
        <f t="shared" si="3"/>
        <v>0.37461538461538463</v>
      </c>
      <c r="G11" s="514">
        <f t="shared" si="3"/>
        <v>0.39182692307692307</v>
      </c>
      <c r="H11" s="514">
        <f t="shared" si="3"/>
        <v>0.32631578947368423</v>
      </c>
      <c r="I11" s="514">
        <f t="shared" si="3"/>
        <v>0.40196537201684607</v>
      </c>
      <c r="J11" s="514">
        <f t="shared" si="3"/>
        <v>0.39329287767486426</v>
      </c>
    </row>
    <row r="12" spans="1:10" s="22" customFormat="1" ht="18.75" customHeight="1" x14ac:dyDescent="0.15">
      <c r="A12" s="695" t="s">
        <v>32</v>
      </c>
      <c r="B12" s="509">
        <f>SUM(B26:D26)</f>
        <v>493</v>
      </c>
      <c r="C12" s="509">
        <f>SUM(E26:F26)</f>
        <v>597</v>
      </c>
      <c r="D12" s="509">
        <f>SUM(G26:J26)</f>
        <v>383</v>
      </c>
      <c r="E12" s="509">
        <f>SUM(K26:L26)</f>
        <v>184</v>
      </c>
      <c r="F12" s="509">
        <f>SUM(M26:N26)</f>
        <v>237</v>
      </c>
      <c r="G12" s="509">
        <f>SUM(O26:Q26)</f>
        <v>1525</v>
      </c>
      <c r="H12" s="509">
        <f>R26</f>
        <v>54</v>
      </c>
      <c r="I12" s="509">
        <f>S26</f>
        <v>475</v>
      </c>
      <c r="J12" s="510">
        <f>SUM(B12:I12)</f>
        <v>3948</v>
      </c>
    </row>
    <row r="13" spans="1:10" s="22" customFormat="1" ht="18.75" customHeight="1" x14ac:dyDescent="0.15">
      <c r="A13" s="696"/>
      <c r="B13" s="514">
        <f>B12/B$16</f>
        <v>0.27619047619047621</v>
      </c>
      <c r="C13" s="514">
        <f t="shared" ref="C13:J13" si="4">C12/C$16</f>
        <v>0.29365469749139206</v>
      </c>
      <c r="D13" s="514">
        <f t="shared" si="4"/>
        <v>0.26708507670850767</v>
      </c>
      <c r="E13" s="514">
        <f t="shared" si="4"/>
        <v>0.13450292397660818</v>
      </c>
      <c r="F13" s="514">
        <f t="shared" si="4"/>
        <v>0.18230769230769231</v>
      </c>
      <c r="G13" s="514">
        <f t="shared" si="4"/>
        <v>0.28198964497041418</v>
      </c>
      <c r="H13" s="514">
        <f t="shared" si="4"/>
        <v>0.28421052631578947</v>
      </c>
      <c r="I13" s="514">
        <f t="shared" si="4"/>
        <v>0.22227421619092186</v>
      </c>
      <c r="J13" s="514">
        <f t="shared" si="4"/>
        <v>0.25218779942510378</v>
      </c>
    </row>
    <row r="14" spans="1:10" s="22" customFormat="1" ht="18.75" customHeight="1" x14ac:dyDescent="0.15">
      <c r="A14" s="695" t="s">
        <v>33</v>
      </c>
      <c r="B14" s="509">
        <f>SUM(B27:D27)</f>
        <v>131</v>
      </c>
      <c r="C14" s="509">
        <f>SUM(E27:F27)</f>
        <v>144</v>
      </c>
      <c r="D14" s="509">
        <f>SUM(G27:J27)</f>
        <v>134</v>
      </c>
      <c r="E14" s="509">
        <f>SUM(K27:L27)</f>
        <v>15</v>
      </c>
      <c r="F14" s="509">
        <f>SUM(M27:N27)</f>
        <v>47</v>
      </c>
      <c r="G14" s="509">
        <f>SUM(O27:Q27)</f>
        <v>257</v>
      </c>
      <c r="H14" s="509">
        <f>R27</f>
        <v>4</v>
      </c>
      <c r="I14" s="509">
        <f>S27</f>
        <v>77</v>
      </c>
      <c r="J14" s="510">
        <f>SUM(B14:I14)</f>
        <v>809</v>
      </c>
    </row>
    <row r="15" spans="1:10" s="22" customFormat="1" ht="18.75" customHeight="1" x14ac:dyDescent="0.15">
      <c r="A15" s="696"/>
      <c r="B15" s="514">
        <f>B14/B$16</f>
        <v>7.3389355742296922E-2</v>
      </c>
      <c r="C15" s="514">
        <f t="shared" ref="C15:J15" si="5">C14/C$16</f>
        <v>7.0831283817019183E-2</v>
      </c>
      <c r="D15" s="514">
        <f t="shared" si="5"/>
        <v>9.3444909344490928E-2</v>
      </c>
      <c r="E15" s="514">
        <f t="shared" si="5"/>
        <v>1.0964912280701754E-2</v>
      </c>
      <c r="F15" s="514">
        <f t="shared" si="5"/>
        <v>3.6153846153846154E-2</v>
      </c>
      <c r="G15" s="514">
        <f t="shared" si="5"/>
        <v>4.7522189349112426E-2</v>
      </c>
      <c r="H15" s="514">
        <f t="shared" si="5"/>
        <v>2.1052631578947368E-2</v>
      </c>
      <c r="I15" s="514">
        <f t="shared" si="5"/>
        <v>3.6031820308844172E-2</v>
      </c>
      <c r="J15" s="514">
        <f t="shared" si="5"/>
        <v>5.1676780581283936E-2</v>
      </c>
    </row>
    <row r="16" spans="1:10" s="22" customFormat="1" ht="18.75" customHeight="1" x14ac:dyDescent="0.15">
      <c r="A16" s="698" t="s">
        <v>162</v>
      </c>
      <c r="B16" s="515">
        <f>SUM(B4,B6,B8,B10,B12,B14)</f>
        <v>1785</v>
      </c>
      <c r="C16" s="515">
        <f t="shared" ref="C16:J16" si="6">SUM(C4,C6,C8,C10,C12,C14)</f>
        <v>2033</v>
      </c>
      <c r="D16" s="515">
        <f t="shared" si="6"/>
        <v>1434</v>
      </c>
      <c r="E16" s="515">
        <f t="shared" si="6"/>
        <v>1368</v>
      </c>
      <c r="F16" s="515">
        <f t="shared" si="6"/>
        <v>1300</v>
      </c>
      <c r="G16" s="515">
        <f t="shared" si="6"/>
        <v>5408</v>
      </c>
      <c r="H16" s="515">
        <f t="shared" si="6"/>
        <v>190</v>
      </c>
      <c r="I16" s="515">
        <f t="shared" si="6"/>
        <v>2137</v>
      </c>
      <c r="J16" s="516">
        <f t="shared" si="6"/>
        <v>15655</v>
      </c>
    </row>
    <row r="17" spans="1:19" s="22" customFormat="1" ht="18.75" customHeight="1" x14ac:dyDescent="0.15">
      <c r="A17" s="696"/>
      <c r="B17" s="517">
        <f t="shared" ref="B17:J17" si="7">SUM(B5,B7,B9,B11,B13,B15)</f>
        <v>1</v>
      </c>
      <c r="C17" s="517">
        <f t="shared" si="7"/>
        <v>1</v>
      </c>
      <c r="D17" s="517">
        <f t="shared" si="7"/>
        <v>1</v>
      </c>
      <c r="E17" s="517">
        <f t="shared" si="7"/>
        <v>1.0000000000000002</v>
      </c>
      <c r="F17" s="517">
        <f t="shared" si="7"/>
        <v>1</v>
      </c>
      <c r="G17" s="517">
        <f t="shared" si="7"/>
        <v>1</v>
      </c>
      <c r="H17" s="517">
        <f t="shared" si="7"/>
        <v>0.99999999999999989</v>
      </c>
      <c r="I17" s="517">
        <f t="shared" si="7"/>
        <v>1</v>
      </c>
      <c r="J17" s="517">
        <f t="shared" si="7"/>
        <v>1</v>
      </c>
    </row>
    <row r="20" spans="1:19" hidden="1" x14ac:dyDescent="0.15">
      <c r="A20" s="56"/>
      <c r="B20" s="378"/>
      <c r="C20" s="378"/>
      <c r="D20" s="378"/>
      <c r="E20" s="378"/>
      <c r="F20" s="378"/>
      <c r="G20" s="378"/>
      <c r="H20" s="378"/>
      <c r="I20" s="378"/>
    </row>
    <row r="21" spans="1:19" hidden="1" x14ac:dyDescent="0.15">
      <c r="A21" s="378" t="s">
        <v>63</v>
      </c>
      <c r="B21" s="378" t="s">
        <v>466</v>
      </c>
      <c r="C21" s="378" t="s">
        <v>467</v>
      </c>
      <c r="D21" s="378" t="s">
        <v>468</v>
      </c>
      <c r="E21" s="378" t="s">
        <v>469</v>
      </c>
      <c r="F21" s="378" t="s">
        <v>470</v>
      </c>
      <c r="G21" s="378" t="s">
        <v>471</v>
      </c>
      <c r="H21" s="378" t="s">
        <v>472</v>
      </c>
      <c r="I21" s="378" t="s">
        <v>473</v>
      </c>
      <c r="J21" s="378" t="s">
        <v>474</v>
      </c>
      <c r="K21" s="378" t="s">
        <v>475</v>
      </c>
      <c r="L21" s="378" t="s">
        <v>476</v>
      </c>
      <c r="M21" s="378" t="s">
        <v>477</v>
      </c>
      <c r="N21" s="378" t="s">
        <v>478</v>
      </c>
      <c r="O21" s="378" t="s">
        <v>479</v>
      </c>
      <c r="P21" s="378" t="s">
        <v>480</v>
      </c>
      <c r="Q21" s="378" t="s">
        <v>481</v>
      </c>
      <c r="R21" s="378" t="s">
        <v>482</v>
      </c>
      <c r="S21" s="378" t="s">
        <v>483</v>
      </c>
    </row>
    <row r="22" spans="1:19" hidden="1" x14ac:dyDescent="0.15">
      <c r="A22" s="43">
        <v>1</v>
      </c>
      <c r="B22" s="23">
        <v>3</v>
      </c>
      <c r="C22" s="23">
        <v>22</v>
      </c>
      <c r="D22" s="23">
        <v>6</v>
      </c>
      <c r="E22" s="23">
        <v>18</v>
      </c>
      <c r="F22" s="23">
        <v>17</v>
      </c>
      <c r="G22" s="23">
        <v>13</v>
      </c>
      <c r="H22" s="23">
        <v>3</v>
      </c>
      <c r="I22" s="23">
        <v>3</v>
      </c>
      <c r="J22" s="23">
        <v>5</v>
      </c>
      <c r="K22" s="23">
        <v>26</v>
      </c>
      <c r="L22" s="23">
        <v>41</v>
      </c>
      <c r="M22" s="23">
        <v>17</v>
      </c>
      <c r="N22" s="23">
        <v>43</v>
      </c>
      <c r="O22" s="23">
        <v>26</v>
      </c>
      <c r="P22" s="23">
        <v>35</v>
      </c>
      <c r="Q22" s="23">
        <v>9</v>
      </c>
      <c r="R22" s="23">
        <v>14</v>
      </c>
      <c r="S22" s="23">
        <v>60</v>
      </c>
    </row>
    <row r="23" spans="1:19" hidden="1" x14ac:dyDescent="0.15">
      <c r="A23" s="43">
        <v>2</v>
      </c>
      <c r="B23" s="23">
        <v>28</v>
      </c>
      <c r="C23" s="23">
        <v>103</v>
      </c>
      <c r="D23" s="23">
        <v>27</v>
      </c>
      <c r="E23" s="23">
        <v>26</v>
      </c>
      <c r="F23" s="23">
        <v>41</v>
      </c>
      <c r="G23" s="23">
        <v>60</v>
      </c>
      <c r="H23" s="23">
        <v>26</v>
      </c>
      <c r="I23" s="23">
        <v>11</v>
      </c>
      <c r="J23" s="23">
        <v>15</v>
      </c>
      <c r="K23" s="23">
        <v>118</v>
      </c>
      <c r="L23" s="23">
        <v>67</v>
      </c>
      <c r="M23" s="23">
        <v>31</v>
      </c>
      <c r="N23" s="23">
        <v>141</v>
      </c>
      <c r="O23" s="23">
        <v>193</v>
      </c>
      <c r="P23" s="23">
        <v>137</v>
      </c>
      <c r="Q23" s="23">
        <v>60</v>
      </c>
      <c r="R23" s="23">
        <v>14</v>
      </c>
      <c r="S23" s="23">
        <v>219</v>
      </c>
    </row>
    <row r="24" spans="1:19" hidden="1" x14ac:dyDescent="0.15">
      <c r="A24" s="43">
        <v>3</v>
      </c>
      <c r="B24" s="23">
        <v>71</v>
      </c>
      <c r="C24" s="23">
        <v>134</v>
      </c>
      <c r="D24" s="23">
        <v>51</v>
      </c>
      <c r="E24" s="23">
        <v>168</v>
      </c>
      <c r="F24" s="23">
        <v>201</v>
      </c>
      <c r="G24" s="23">
        <v>127</v>
      </c>
      <c r="H24" s="23">
        <v>51</v>
      </c>
      <c r="I24" s="23">
        <v>19</v>
      </c>
      <c r="J24" s="23">
        <v>37</v>
      </c>
      <c r="K24" s="23">
        <v>239</v>
      </c>
      <c r="L24" s="23">
        <v>132</v>
      </c>
      <c r="M24" s="23">
        <v>112</v>
      </c>
      <c r="N24" s="23">
        <v>185</v>
      </c>
      <c r="O24" s="23">
        <v>417</v>
      </c>
      <c r="P24" s="23">
        <v>430</v>
      </c>
      <c r="Q24" s="23">
        <v>200</v>
      </c>
      <c r="R24" s="23">
        <v>42</v>
      </c>
      <c r="S24" s="23">
        <v>447</v>
      </c>
    </row>
    <row r="25" spans="1:19" hidden="1" x14ac:dyDescent="0.15">
      <c r="A25" s="43">
        <v>4</v>
      </c>
      <c r="B25" s="23">
        <v>237</v>
      </c>
      <c r="C25" s="23">
        <v>365</v>
      </c>
      <c r="D25" s="23">
        <v>114</v>
      </c>
      <c r="E25" s="23">
        <v>562</v>
      </c>
      <c r="F25" s="23">
        <v>259</v>
      </c>
      <c r="G25" s="23">
        <v>286</v>
      </c>
      <c r="H25" s="23">
        <v>99</v>
      </c>
      <c r="I25" s="23">
        <v>85</v>
      </c>
      <c r="J25" s="23">
        <v>77</v>
      </c>
      <c r="K25" s="23">
        <v>310</v>
      </c>
      <c r="L25" s="23">
        <v>236</v>
      </c>
      <c r="M25" s="23">
        <v>211</v>
      </c>
      <c r="N25" s="23">
        <v>276</v>
      </c>
      <c r="O25" s="23">
        <v>719</v>
      </c>
      <c r="P25" s="23">
        <v>859</v>
      </c>
      <c r="Q25" s="23">
        <v>541</v>
      </c>
      <c r="R25" s="23">
        <v>62</v>
      </c>
      <c r="S25" s="23">
        <v>859</v>
      </c>
    </row>
    <row r="26" spans="1:19" hidden="1" x14ac:dyDescent="0.15">
      <c r="A26" s="43">
        <v>5</v>
      </c>
      <c r="B26" s="23">
        <v>160</v>
      </c>
      <c r="C26" s="23">
        <v>224</v>
      </c>
      <c r="D26" s="23">
        <v>109</v>
      </c>
      <c r="E26" s="23">
        <v>452</v>
      </c>
      <c r="F26" s="23">
        <v>145</v>
      </c>
      <c r="G26" s="23">
        <v>229</v>
      </c>
      <c r="H26" s="23">
        <v>31</v>
      </c>
      <c r="I26" s="23">
        <v>79</v>
      </c>
      <c r="J26" s="23">
        <v>44</v>
      </c>
      <c r="K26" s="23">
        <v>93</v>
      </c>
      <c r="L26" s="23">
        <v>91</v>
      </c>
      <c r="M26" s="23">
        <v>81</v>
      </c>
      <c r="N26" s="23">
        <v>156</v>
      </c>
      <c r="O26" s="23">
        <v>268</v>
      </c>
      <c r="P26" s="23">
        <v>901</v>
      </c>
      <c r="Q26" s="23">
        <v>356</v>
      </c>
      <c r="R26" s="23">
        <v>54</v>
      </c>
      <c r="S26" s="23">
        <v>475</v>
      </c>
    </row>
    <row r="27" spans="1:19" hidden="1" x14ac:dyDescent="0.15">
      <c r="A27" s="43">
        <v>6</v>
      </c>
      <c r="B27" s="23">
        <v>38</v>
      </c>
      <c r="C27" s="23">
        <v>66</v>
      </c>
      <c r="D27" s="23">
        <v>27</v>
      </c>
      <c r="E27" s="23">
        <v>121</v>
      </c>
      <c r="F27" s="23">
        <v>23</v>
      </c>
      <c r="G27" s="23">
        <v>52</v>
      </c>
      <c r="H27" s="23">
        <v>19</v>
      </c>
      <c r="I27" s="23">
        <v>47</v>
      </c>
      <c r="J27" s="23">
        <v>16</v>
      </c>
      <c r="K27" s="23">
        <v>5</v>
      </c>
      <c r="L27" s="23">
        <v>10</v>
      </c>
      <c r="M27" s="23">
        <v>18</v>
      </c>
      <c r="N27" s="23">
        <v>29</v>
      </c>
      <c r="O27" s="23">
        <v>55</v>
      </c>
      <c r="P27" s="23">
        <v>120</v>
      </c>
      <c r="Q27" s="23">
        <v>82</v>
      </c>
      <c r="R27" s="23">
        <v>4</v>
      </c>
      <c r="S27" s="23">
        <v>77</v>
      </c>
    </row>
  </sheetData>
  <mergeCells count="7">
    <mergeCell ref="A16:A17"/>
    <mergeCell ref="A4:A5"/>
    <mergeCell ref="A6:A7"/>
    <mergeCell ref="A8:A9"/>
    <mergeCell ref="A10:A11"/>
    <mergeCell ref="A12:A13"/>
    <mergeCell ref="A14:A15"/>
  </mergeCells>
  <phoneticPr fontId="2"/>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499984740745262"/>
    <pageSetUpPr fitToPage="1"/>
  </sheetPr>
  <dimension ref="A1:AE83"/>
  <sheetViews>
    <sheetView showGridLines="0" view="pageBreakPreview" zoomScaleNormal="100" zoomScaleSheetLayoutView="100" workbookViewId="0">
      <selection activeCell="A61" sqref="A61:XFD82"/>
    </sheetView>
  </sheetViews>
  <sheetFormatPr defaultColWidth="7.125" defaultRowHeight="18.75" x14ac:dyDescent="0.15"/>
  <cols>
    <col min="1" max="1" width="33.125" style="1" customWidth="1"/>
    <col min="2" max="10" width="8.75" style="1" customWidth="1"/>
    <col min="11" max="31" width="7.25" style="1" hidden="1" customWidth="1"/>
    <col min="32" max="33" width="0" style="1" hidden="1" customWidth="1"/>
    <col min="34" max="16384" width="7.125" style="1"/>
  </cols>
  <sheetData>
    <row r="1" spans="1:31" s="3" customFormat="1" ht="19.5" x14ac:dyDescent="0.15">
      <c r="A1" s="2" t="s">
        <v>485</v>
      </c>
    </row>
    <row r="2" spans="1:31" x14ac:dyDescent="0.15">
      <c r="A2" s="4"/>
    </row>
    <row r="3" spans="1:31" ht="18.75" customHeight="1" x14ac:dyDescent="0.15">
      <c r="A3" s="508" t="s">
        <v>241</v>
      </c>
      <c r="B3" s="508" t="s">
        <v>382</v>
      </c>
      <c r="C3" s="508" t="s">
        <v>383</v>
      </c>
      <c r="D3" s="508" t="s">
        <v>384</v>
      </c>
      <c r="E3" s="508" t="s">
        <v>385</v>
      </c>
      <c r="F3" s="508" t="s">
        <v>386</v>
      </c>
      <c r="G3" s="508" t="s">
        <v>387</v>
      </c>
      <c r="H3" s="508" t="s">
        <v>388</v>
      </c>
      <c r="I3" s="508" t="s">
        <v>389</v>
      </c>
      <c r="J3" s="508" t="s">
        <v>62</v>
      </c>
      <c r="M3" s="34" t="s">
        <v>63</v>
      </c>
      <c r="N3" s="56" t="s">
        <v>466</v>
      </c>
      <c r="O3" s="56" t="s">
        <v>467</v>
      </c>
      <c r="P3" s="56" t="s">
        <v>468</v>
      </c>
      <c r="Q3" s="56" t="s">
        <v>469</v>
      </c>
      <c r="R3" s="56" t="s">
        <v>470</v>
      </c>
      <c r="S3" s="56" t="s">
        <v>471</v>
      </c>
      <c r="T3" s="56" t="s">
        <v>472</v>
      </c>
      <c r="U3" s="56" t="s">
        <v>473</v>
      </c>
      <c r="V3" s="56" t="s">
        <v>474</v>
      </c>
      <c r="W3" s="56" t="s">
        <v>475</v>
      </c>
      <c r="X3" s="56" t="s">
        <v>476</v>
      </c>
      <c r="Y3" s="56" t="s">
        <v>477</v>
      </c>
      <c r="Z3" s="56" t="s">
        <v>478</v>
      </c>
      <c r="AA3" s="56" t="s">
        <v>479</v>
      </c>
      <c r="AB3" s="56" t="s">
        <v>480</v>
      </c>
      <c r="AC3" s="56" t="s">
        <v>481</v>
      </c>
      <c r="AD3" s="56" t="s">
        <v>482</v>
      </c>
      <c r="AE3" s="56" t="s">
        <v>483</v>
      </c>
    </row>
    <row r="4" spans="1:31" s="22" customFormat="1" ht="18.75" customHeight="1" x14ac:dyDescent="0.15">
      <c r="A4" s="706" t="s">
        <v>486</v>
      </c>
      <c r="B4" s="510">
        <f>SUM(N4:P4)</f>
        <v>320</v>
      </c>
      <c r="C4" s="510">
        <f>SUM(Q4:R4)</f>
        <v>230</v>
      </c>
      <c r="D4" s="510">
        <f>SUM(S4:V4)</f>
        <v>306</v>
      </c>
      <c r="E4" s="510">
        <f>SUM(W4:X4)</f>
        <v>532</v>
      </c>
      <c r="F4" s="510">
        <f>SUM(Y4:Z4)</f>
        <v>237</v>
      </c>
      <c r="G4" s="510">
        <f>SUM(AA4:AC4)</f>
        <v>555</v>
      </c>
      <c r="H4" s="510">
        <f>AD4</f>
        <v>20</v>
      </c>
      <c r="I4" s="510">
        <f>AE4</f>
        <v>314</v>
      </c>
      <c r="J4" s="510">
        <f>SUM(B4:I4)</f>
        <v>2514</v>
      </c>
      <c r="M4" s="407">
        <v>97</v>
      </c>
      <c r="N4" s="1">
        <v>119</v>
      </c>
      <c r="O4" s="1">
        <v>138</v>
      </c>
      <c r="P4" s="1">
        <v>63</v>
      </c>
      <c r="Q4" s="1">
        <v>96</v>
      </c>
      <c r="R4" s="1">
        <v>134</v>
      </c>
      <c r="S4" s="1">
        <v>237</v>
      </c>
      <c r="T4" s="1">
        <v>32</v>
      </c>
      <c r="U4" s="1">
        <v>20</v>
      </c>
      <c r="V4" s="1">
        <v>17</v>
      </c>
      <c r="W4" s="1">
        <v>217</v>
      </c>
      <c r="X4" s="1">
        <v>315</v>
      </c>
      <c r="Y4" s="1">
        <v>27</v>
      </c>
      <c r="Z4" s="1">
        <v>210</v>
      </c>
      <c r="AA4" s="1">
        <v>236</v>
      </c>
      <c r="AB4" s="1">
        <v>200</v>
      </c>
      <c r="AC4" s="1">
        <v>119</v>
      </c>
      <c r="AD4" s="1">
        <v>20</v>
      </c>
      <c r="AE4" s="1">
        <v>314</v>
      </c>
    </row>
    <row r="5" spans="1:31" s="22" customFormat="1" ht="18.75" customHeight="1" x14ac:dyDescent="0.15">
      <c r="A5" s="707"/>
      <c r="B5" s="538">
        <f t="shared" ref="B5:J5" si="0">B4/B$10</f>
        <v>0.17927170868347339</v>
      </c>
      <c r="C5" s="538">
        <f t="shared" si="0"/>
        <v>0.1131333005410723</v>
      </c>
      <c r="D5" s="538">
        <f t="shared" si="0"/>
        <v>0.21338912133891214</v>
      </c>
      <c r="E5" s="538">
        <f t="shared" si="0"/>
        <v>0.3888888888888889</v>
      </c>
      <c r="F5" s="538">
        <f t="shared" si="0"/>
        <v>0.18230769230769231</v>
      </c>
      <c r="G5" s="538">
        <f t="shared" si="0"/>
        <v>0.10262573964497042</v>
      </c>
      <c r="H5" s="538">
        <f t="shared" si="0"/>
        <v>0.10526315789473684</v>
      </c>
      <c r="I5" s="538">
        <f t="shared" si="0"/>
        <v>0.14693495554515676</v>
      </c>
      <c r="J5" s="514">
        <f t="shared" si="0"/>
        <v>0.16058767167039284</v>
      </c>
      <c r="M5" s="407">
        <v>98</v>
      </c>
      <c r="N5" s="1">
        <v>387</v>
      </c>
      <c r="O5" s="1">
        <v>653</v>
      </c>
      <c r="P5" s="1">
        <v>226</v>
      </c>
      <c r="Q5" s="1">
        <v>1169</v>
      </c>
      <c r="R5" s="1">
        <v>421</v>
      </c>
      <c r="S5" s="1">
        <v>461</v>
      </c>
      <c r="T5" s="1">
        <v>147</v>
      </c>
      <c r="U5" s="1">
        <v>176</v>
      </c>
      <c r="V5" s="1">
        <v>147</v>
      </c>
      <c r="W5" s="1">
        <v>482</v>
      </c>
      <c r="X5" s="1">
        <v>136</v>
      </c>
      <c r="Y5" s="1">
        <v>322</v>
      </c>
      <c r="Z5" s="1">
        <v>514</v>
      </c>
      <c r="AA5" s="1">
        <v>1290</v>
      </c>
      <c r="AB5" s="1">
        <v>2154</v>
      </c>
      <c r="AC5" s="1">
        <v>1072</v>
      </c>
      <c r="AD5" s="1">
        <v>114</v>
      </c>
      <c r="AE5" s="1">
        <v>1429</v>
      </c>
    </row>
    <row r="6" spans="1:31" s="22" customFormat="1" ht="18.75" customHeight="1" x14ac:dyDescent="0.15">
      <c r="A6" s="706" t="s">
        <v>344</v>
      </c>
      <c r="B6" s="510">
        <f>SUM(N5:P5)</f>
        <v>1266</v>
      </c>
      <c r="C6" s="510">
        <f>SUM(Q5:R5)</f>
        <v>1590</v>
      </c>
      <c r="D6" s="510">
        <f>SUM(S5:V5)</f>
        <v>931</v>
      </c>
      <c r="E6" s="510">
        <f>SUM(W5:X5)</f>
        <v>618</v>
      </c>
      <c r="F6" s="510">
        <f>SUM(Y5:Z5)</f>
        <v>836</v>
      </c>
      <c r="G6" s="510">
        <f>SUM(AA5:AC5)</f>
        <v>4516</v>
      </c>
      <c r="H6" s="510">
        <f>AD5</f>
        <v>114</v>
      </c>
      <c r="I6" s="510">
        <f>AE5</f>
        <v>1429</v>
      </c>
      <c r="J6" s="510">
        <f>SUM(B6:I6)</f>
        <v>11300</v>
      </c>
      <c r="M6" s="407">
        <v>99</v>
      </c>
      <c r="N6" s="1">
        <v>31</v>
      </c>
      <c r="O6" s="1">
        <v>123</v>
      </c>
      <c r="P6" s="1">
        <v>45</v>
      </c>
      <c r="Q6" s="1">
        <v>82</v>
      </c>
      <c r="R6" s="1">
        <v>131</v>
      </c>
      <c r="S6" s="1">
        <v>69</v>
      </c>
      <c r="T6" s="1">
        <v>50</v>
      </c>
      <c r="U6" s="1">
        <v>48</v>
      </c>
      <c r="V6" s="1">
        <v>30</v>
      </c>
      <c r="W6" s="1">
        <v>92</v>
      </c>
      <c r="X6" s="1">
        <v>126</v>
      </c>
      <c r="Y6" s="1">
        <v>121</v>
      </c>
      <c r="Z6" s="1">
        <v>106</v>
      </c>
      <c r="AA6" s="1">
        <v>152</v>
      </c>
      <c r="AB6" s="1">
        <v>128</v>
      </c>
      <c r="AC6" s="1">
        <v>57</v>
      </c>
      <c r="AD6" s="1">
        <v>56</v>
      </c>
      <c r="AE6" s="1">
        <v>394</v>
      </c>
    </row>
    <row r="7" spans="1:31" s="22" customFormat="1" ht="18.75" customHeight="1" x14ac:dyDescent="0.15">
      <c r="A7" s="707"/>
      <c r="B7" s="538">
        <f t="shared" ref="B7:J7" si="1">B6/B$10</f>
        <v>0.70924369747899163</v>
      </c>
      <c r="C7" s="538">
        <f t="shared" si="1"/>
        <v>0.78209542547958677</v>
      </c>
      <c r="D7" s="538">
        <f t="shared" si="1"/>
        <v>0.64923291492329149</v>
      </c>
      <c r="E7" s="538">
        <f t="shared" si="1"/>
        <v>0.4517543859649123</v>
      </c>
      <c r="F7" s="538">
        <f t="shared" si="1"/>
        <v>0.6430769230769231</v>
      </c>
      <c r="G7" s="538">
        <f t="shared" si="1"/>
        <v>0.8350591715976331</v>
      </c>
      <c r="H7" s="538">
        <f t="shared" si="1"/>
        <v>0.6</v>
      </c>
      <c r="I7" s="538">
        <f t="shared" si="1"/>
        <v>0.66869443144595231</v>
      </c>
      <c r="J7" s="538">
        <f t="shared" si="1"/>
        <v>0.72181411689556052</v>
      </c>
      <c r="M7" s="407"/>
    </row>
    <row r="8" spans="1:31" s="22" customFormat="1" ht="18.75" customHeight="1" x14ac:dyDescent="0.15">
      <c r="A8" s="708" t="s">
        <v>36</v>
      </c>
      <c r="B8" s="510">
        <f>SUM(N6:P6)</f>
        <v>199</v>
      </c>
      <c r="C8" s="510">
        <f>SUM(Q6:R6)</f>
        <v>213</v>
      </c>
      <c r="D8" s="510">
        <f>SUM(S6:V6)</f>
        <v>197</v>
      </c>
      <c r="E8" s="510">
        <f>SUM(W6:X6)</f>
        <v>218</v>
      </c>
      <c r="F8" s="510">
        <f>SUM(Y6:Z6)</f>
        <v>227</v>
      </c>
      <c r="G8" s="510">
        <f>SUM(AA6:AC6)</f>
        <v>337</v>
      </c>
      <c r="H8" s="510">
        <f>AD6</f>
        <v>56</v>
      </c>
      <c r="I8" s="510">
        <f>AE6</f>
        <v>394</v>
      </c>
      <c r="J8" s="510">
        <f>SUM(B8:I8)</f>
        <v>1841</v>
      </c>
    </row>
    <row r="9" spans="1:31" s="22" customFormat="1" ht="18.75" customHeight="1" x14ac:dyDescent="0.15">
      <c r="A9" s="709"/>
      <c r="B9" s="538">
        <f>B8/B$10</f>
        <v>0.11148459383753502</v>
      </c>
      <c r="C9" s="538">
        <f t="shared" ref="C9:J9" si="2">C8/C$10</f>
        <v>0.10477127397934087</v>
      </c>
      <c r="D9" s="538">
        <f t="shared" si="2"/>
        <v>0.13737796373779637</v>
      </c>
      <c r="E9" s="538">
        <f t="shared" si="2"/>
        <v>0.15935672514619884</v>
      </c>
      <c r="F9" s="538">
        <f t="shared" si="2"/>
        <v>0.17461538461538462</v>
      </c>
      <c r="G9" s="538">
        <f t="shared" si="2"/>
        <v>6.2315088757396449E-2</v>
      </c>
      <c r="H9" s="538">
        <f t="shared" si="2"/>
        <v>0.29473684210526313</v>
      </c>
      <c r="I9" s="538">
        <f t="shared" si="2"/>
        <v>0.18437061300889096</v>
      </c>
      <c r="J9" s="538">
        <f t="shared" si="2"/>
        <v>0.11759821143404663</v>
      </c>
    </row>
    <row r="10" spans="1:31" s="22" customFormat="1" ht="18.75" customHeight="1" x14ac:dyDescent="0.15">
      <c r="A10" s="698" t="s">
        <v>162</v>
      </c>
      <c r="B10" s="515">
        <f>SUM(B4,B6,B8)</f>
        <v>1785</v>
      </c>
      <c r="C10" s="515">
        <f t="shared" ref="C10:J11" si="3">SUM(C4,C6,C8)</f>
        <v>2033</v>
      </c>
      <c r="D10" s="515">
        <f t="shared" si="3"/>
        <v>1434</v>
      </c>
      <c r="E10" s="515">
        <f t="shared" si="3"/>
        <v>1368</v>
      </c>
      <c r="F10" s="515">
        <f t="shared" si="3"/>
        <v>1300</v>
      </c>
      <c r="G10" s="515">
        <f t="shared" si="3"/>
        <v>5408</v>
      </c>
      <c r="H10" s="515">
        <f t="shared" si="3"/>
        <v>190</v>
      </c>
      <c r="I10" s="515">
        <f t="shared" si="3"/>
        <v>2137</v>
      </c>
      <c r="J10" s="515">
        <f>SUM(J4,J6,J8)</f>
        <v>15655</v>
      </c>
    </row>
    <row r="11" spans="1:31" s="22" customFormat="1" ht="18.75" customHeight="1" x14ac:dyDescent="0.15">
      <c r="A11" s="696"/>
      <c r="B11" s="517">
        <f>SUM(B5,B7,B9)</f>
        <v>1</v>
      </c>
      <c r="C11" s="517">
        <f t="shared" si="3"/>
        <v>0.99999999999999989</v>
      </c>
      <c r="D11" s="517">
        <f t="shared" si="3"/>
        <v>1</v>
      </c>
      <c r="E11" s="517">
        <f t="shared" si="3"/>
        <v>1</v>
      </c>
      <c r="F11" s="517">
        <f t="shared" si="3"/>
        <v>1</v>
      </c>
      <c r="G11" s="517">
        <f t="shared" si="3"/>
        <v>1</v>
      </c>
      <c r="H11" s="517">
        <f t="shared" si="3"/>
        <v>1</v>
      </c>
      <c r="I11" s="517">
        <f t="shared" si="3"/>
        <v>1</v>
      </c>
      <c r="J11" s="517">
        <f t="shared" si="3"/>
        <v>1</v>
      </c>
    </row>
    <row r="12" spans="1:31" ht="18.75" customHeight="1" x14ac:dyDescent="0.15">
      <c r="A12" s="4"/>
    </row>
    <row r="13" spans="1:31" ht="18.75" customHeight="1" x14ac:dyDescent="0.15">
      <c r="A13" s="508" t="s">
        <v>347</v>
      </c>
      <c r="B13" s="508" t="s">
        <v>382</v>
      </c>
      <c r="C13" s="508" t="s">
        <v>383</v>
      </c>
      <c r="D13" s="508" t="s">
        <v>384</v>
      </c>
      <c r="E13" s="508" t="s">
        <v>385</v>
      </c>
      <c r="F13" s="508" t="s">
        <v>386</v>
      </c>
      <c r="G13" s="508" t="s">
        <v>387</v>
      </c>
      <c r="H13" s="508" t="s">
        <v>388</v>
      </c>
      <c r="I13" s="508" t="s">
        <v>389</v>
      </c>
      <c r="J13" s="508" t="s">
        <v>62</v>
      </c>
      <c r="M13" s="34" t="s">
        <v>63</v>
      </c>
      <c r="N13" s="56" t="s">
        <v>466</v>
      </c>
      <c r="O13" s="56" t="s">
        <v>467</v>
      </c>
      <c r="P13" s="56" t="s">
        <v>468</v>
      </c>
      <c r="Q13" s="56" t="s">
        <v>469</v>
      </c>
      <c r="R13" s="56" t="s">
        <v>470</v>
      </c>
      <c r="S13" s="56" t="s">
        <v>471</v>
      </c>
      <c r="T13" s="56" t="s">
        <v>472</v>
      </c>
      <c r="U13" s="56" t="s">
        <v>473</v>
      </c>
      <c r="V13" s="56" t="s">
        <v>474</v>
      </c>
      <c r="W13" s="56" t="s">
        <v>475</v>
      </c>
      <c r="X13" s="56" t="s">
        <v>476</v>
      </c>
      <c r="Y13" s="56" t="s">
        <v>477</v>
      </c>
      <c r="Z13" s="56" t="s">
        <v>478</v>
      </c>
      <c r="AA13" s="56" t="s">
        <v>479</v>
      </c>
      <c r="AB13" s="56" t="s">
        <v>480</v>
      </c>
      <c r="AC13" s="56" t="s">
        <v>481</v>
      </c>
      <c r="AD13" s="56" t="s">
        <v>482</v>
      </c>
      <c r="AE13" s="56" t="s">
        <v>483</v>
      </c>
    </row>
    <row r="14" spans="1:31" s="22" customFormat="1" ht="18.75" customHeight="1" x14ac:dyDescent="0.15">
      <c r="A14" s="704" t="s">
        <v>34</v>
      </c>
      <c r="B14" s="510">
        <f>SUM(N14:P14)</f>
        <v>295</v>
      </c>
      <c r="C14" s="510">
        <f>SUM(Q14:R14)</f>
        <v>204</v>
      </c>
      <c r="D14" s="510">
        <f>SUM(S14:V14)</f>
        <v>289</v>
      </c>
      <c r="E14" s="510">
        <f>SUM(W14:X14)</f>
        <v>487</v>
      </c>
      <c r="F14" s="510">
        <f>SUM(Y14:Z14)</f>
        <v>222</v>
      </c>
      <c r="G14" s="510">
        <f>SUM(AA14:AC14)</f>
        <v>527</v>
      </c>
      <c r="H14" s="510">
        <f>AD14</f>
        <v>6</v>
      </c>
      <c r="I14" s="510">
        <f>AE14</f>
        <v>288</v>
      </c>
      <c r="J14" s="510">
        <f>SUM(B14:I14)</f>
        <v>2318</v>
      </c>
      <c r="M14" s="407">
        <v>91</v>
      </c>
      <c r="N14" s="1">
        <v>116</v>
      </c>
      <c r="O14" s="1">
        <v>127</v>
      </c>
      <c r="P14" s="1">
        <v>52</v>
      </c>
      <c r="Q14" s="1">
        <v>84</v>
      </c>
      <c r="R14" s="1">
        <v>120</v>
      </c>
      <c r="S14" s="1">
        <v>225</v>
      </c>
      <c r="T14" s="1">
        <v>32</v>
      </c>
      <c r="U14" s="1">
        <v>18</v>
      </c>
      <c r="V14" s="1">
        <v>14</v>
      </c>
      <c r="W14" s="1">
        <v>180</v>
      </c>
      <c r="X14" s="1">
        <v>307</v>
      </c>
      <c r="Y14" s="1">
        <v>27</v>
      </c>
      <c r="Z14" s="1">
        <v>195</v>
      </c>
      <c r="AA14" s="1">
        <v>234</v>
      </c>
      <c r="AB14" s="1">
        <v>187</v>
      </c>
      <c r="AC14" s="1">
        <v>106</v>
      </c>
      <c r="AD14" s="1">
        <v>6</v>
      </c>
      <c r="AE14" s="1">
        <v>288</v>
      </c>
    </row>
    <row r="15" spans="1:31" s="22" customFormat="1" ht="18.75" customHeight="1" x14ac:dyDescent="0.15">
      <c r="A15" s="705"/>
      <c r="B15" s="538">
        <f>B14/B$18</f>
        <v>0.921875</v>
      </c>
      <c r="C15" s="538">
        <f t="shared" ref="C15:J15" si="4">C14/C$18</f>
        <v>0.88695652173913042</v>
      </c>
      <c r="D15" s="538">
        <f t="shared" si="4"/>
        <v>0.94444444444444442</v>
      </c>
      <c r="E15" s="538">
        <f t="shared" si="4"/>
        <v>0.91541353383458646</v>
      </c>
      <c r="F15" s="538">
        <f t="shared" si="4"/>
        <v>0.93670886075949367</v>
      </c>
      <c r="G15" s="538">
        <f t="shared" si="4"/>
        <v>0.94954954954954951</v>
      </c>
      <c r="H15" s="538">
        <f t="shared" si="4"/>
        <v>0.3</v>
      </c>
      <c r="I15" s="538">
        <f t="shared" si="4"/>
        <v>0.91719745222929938</v>
      </c>
      <c r="J15" s="538">
        <f t="shared" si="4"/>
        <v>0.92203659506762137</v>
      </c>
      <c r="M15" s="407">
        <v>90</v>
      </c>
      <c r="N15" s="1">
        <v>3</v>
      </c>
      <c r="O15" s="1">
        <v>11</v>
      </c>
      <c r="P15" s="1">
        <v>11</v>
      </c>
      <c r="Q15" s="1">
        <v>12</v>
      </c>
      <c r="R15" s="1">
        <v>14</v>
      </c>
      <c r="S15" s="1">
        <v>12</v>
      </c>
      <c r="T15" s="1"/>
      <c r="U15" s="1">
        <v>2</v>
      </c>
      <c r="V15" s="1">
        <v>3</v>
      </c>
      <c r="W15" s="1">
        <v>37</v>
      </c>
      <c r="X15" s="1">
        <v>8</v>
      </c>
      <c r="Y15" s="1"/>
      <c r="Z15" s="1">
        <v>15</v>
      </c>
      <c r="AA15" s="1">
        <v>2</v>
      </c>
      <c r="AB15" s="1">
        <v>13</v>
      </c>
      <c r="AC15" s="1">
        <v>13</v>
      </c>
      <c r="AD15" s="1">
        <v>14</v>
      </c>
      <c r="AE15" s="1">
        <v>26</v>
      </c>
    </row>
    <row r="16" spans="1:31" s="22" customFormat="1" ht="18.75" customHeight="1" x14ac:dyDescent="0.15">
      <c r="A16" s="704" t="s">
        <v>487</v>
      </c>
      <c r="B16" s="510">
        <f>SUM(N15:P15)</f>
        <v>25</v>
      </c>
      <c r="C16" s="510">
        <f>SUM(Q15:R15)</f>
        <v>26</v>
      </c>
      <c r="D16" s="510">
        <f>SUM(S15:V15)</f>
        <v>17</v>
      </c>
      <c r="E16" s="510">
        <f>SUM(W15:X15)</f>
        <v>45</v>
      </c>
      <c r="F16" s="510">
        <f>SUM(Y15:Z15)</f>
        <v>15</v>
      </c>
      <c r="G16" s="510">
        <f>SUM(AA15:AC15)</f>
        <v>28</v>
      </c>
      <c r="H16" s="510">
        <f>AD15</f>
        <v>14</v>
      </c>
      <c r="I16" s="510">
        <f>AE15</f>
        <v>26</v>
      </c>
      <c r="J16" s="510">
        <f>SUM(B16:I16)</f>
        <v>196</v>
      </c>
      <c r="M16" s="407"/>
      <c r="N16" s="1"/>
      <c r="O16" s="1"/>
      <c r="P16" s="1"/>
      <c r="Q16" s="1"/>
      <c r="R16" s="1"/>
      <c r="S16" s="1"/>
      <c r="T16" s="1"/>
      <c r="U16" s="1"/>
      <c r="V16" s="1"/>
      <c r="W16" s="1"/>
      <c r="X16" s="1"/>
      <c r="Y16" s="1"/>
      <c r="Z16" s="1"/>
      <c r="AA16" s="1"/>
      <c r="AB16" s="1"/>
      <c r="AC16" s="1"/>
      <c r="AD16" s="1"/>
      <c r="AE16" s="1"/>
    </row>
    <row r="17" spans="1:13" s="22" customFormat="1" ht="18.75" customHeight="1" x14ac:dyDescent="0.15">
      <c r="A17" s="705"/>
      <c r="B17" s="538">
        <f>B16/B$18</f>
        <v>7.8125E-2</v>
      </c>
      <c r="C17" s="538">
        <f t="shared" ref="C17:J17" si="5">C16/C$18</f>
        <v>0.11304347826086956</v>
      </c>
      <c r="D17" s="538">
        <f t="shared" si="5"/>
        <v>5.5555555555555552E-2</v>
      </c>
      <c r="E17" s="538">
        <f t="shared" si="5"/>
        <v>8.4586466165413529E-2</v>
      </c>
      <c r="F17" s="538">
        <f t="shared" si="5"/>
        <v>6.3291139240506333E-2</v>
      </c>
      <c r="G17" s="538">
        <f t="shared" si="5"/>
        <v>5.0450450450450449E-2</v>
      </c>
      <c r="H17" s="538">
        <f t="shared" si="5"/>
        <v>0.7</v>
      </c>
      <c r="I17" s="538">
        <f t="shared" si="5"/>
        <v>8.2802547770700632E-2</v>
      </c>
      <c r="J17" s="538">
        <f t="shared" si="5"/>
        <v>7.7963404932378674E-2</v>
      </c>
      <c r="M17" s="407"/>
    </row>
    <row r="18" spans="1:13" s="22" customFormat="1" ht="18.75" customHeight="1" x14ac:dyDescent="0.15">
      <c r="A18" s="698" t="s">
        <v>162</v>
      </c>
      <c r="B18" s="515">
        <f>SUM(B14,B16)</f>
        <v>320</v>
      </c>
      <c r="C18" s="515">
        <f t="shared" ref="C18:J19" si="6">SUM(C14,C16)</f>
        <v>230</v>
      </c>
      <c r="D18" s="515">
        <f t="shared" si="6"/>
        <v>306</v>
      </c>
      <c r="E18" s="515">
        <f t="shared" si="6"/>
        <v>532</v>
      </c>
      <c r="F18" s="515">
        <f t="shared" si="6"/>
        <v>237</v>
      </c>
      <c r="G18" s="515">
        <f t="shared" si="6"/>
        <v>555</v>
      </c>
      <c r="H18" s="515">
        <f t="shared" si="6"/>
        <v>20</v>
      </c>
      <c r="I18" s="515">
        <f t="shared" si="6"/>
        <v>314</v>
      </c>
      <c r="J18" s="515">
        <f t="shared" si="6"/>
        <v>2514</v>
      </c>
    </row>
    <row r="19" spans="1:13" s="22" customFormat="1" ht="18.75" customHeight="1" x14ac:dyDescent="0.15">
      <c r="A19" s="696"/>
      <c r="B19" s="517">
        <f>SUM(B15,B17)</f>
        <v>1</v>
      </c>
      <c r="C19" s="517">
        <f t="shared" si="6"/>
        <v>1</v>
      </c>
      <c r="D19" s="517">
        <f t="shared" si="6"/>
        <v>1</v>
      </c>
      <c r="E19" s="517">
        <f t="shared" si="6"/>
        <v>1</v>
      </c>
      <c r="F19" s="517">
        <f t="shared" si="6"/>
        <v>1</v>
      </c>
      <c r="G19" s="517">
        <f t="shared" si="6"/>
        <v>1</v>
      </c>
      <c r="H19" s="517">
        <f t="shared" si="6"/>
        <v>1</v>
      </c>
      <c r="I19" s="517">
        <f t="shared" si="6"/>
        <v>1</v>
      </c>
      <c r="J19" s="517">
        <f t="shared" si="6"/>
        <v>1</v>
      </c>
    </row>
    <row r="20" spans="1:13" s="59" customFormat="1" ht="18.75" customHeight="1" x14ac:dyDescent="0.15">
      <c r="A20" s="58"/>
      <c r="B20" s="539"/>
      <c r="C20" s="539"/>
      <c r="D20" s="539"/>
      <c r="E20" s="539"/>
      <c r="F20" s="539"/>
      <c r="G20" s="539"/>
      <c r="H20" s="539"/>
      <c r="I20" s="539"/>
      <c r="J20" s="539"/>
    </row>
    <row r="21" spans="1:13" s="3" customFormat="1" ht="18.75" customHeight="1" x14ac:dyDescent="0.15">
      <c r="A21" s="2" t="s">
        <v>488</v>
      </c>
    </row>
    <row r="22" spans="1:13" ht="18.75" customHeight="1" x14ac:dyDescent="0.15">
      <c r="A22" s="4"/>
    </row>
    <row r="23" spans="1:13" ht="18.75" customHeight="1" x14ac:dyDescent="0.15">
      <c r="A23" s="508"/>
      <c r="B23" s="508" t="s">
        <v>382</v>
      </c>
      <c r="C23" s="508" t="s">
        <v>383</v>
      </c>
      <c r="D23" s="508" t="s">
        <v>384</v>
      </c>
      <c r="E23" s="508" t="s">
        <v>385</v>
      </c>
      <c r="F23" s="508" t="s">
        <v>386</v>
      </c>
      <c r="G23" s="508" t="s">
        <v>387</v>
      </c>
      <c r="H23" s="508" t="s">
        <v>388</v>
      </c>
      <c r="I23" s="508" t="s">
        <v>389</v>
      </c>
      <c r="J23" s="508" t="s">
        <v>62</v>
      </c>
    </row>
    <row r="24" spans="1:13" ht="18.75" customHeight="1" x14ac:dyDescent="0.15">
      <c r="A24" s="712" t="s">
        <v>236</v>
      </c>
      <c r="B24" s="509">
        <f>SUM(B64:D64)</f>
        <v>115</v>
      </c>
      <c r="C24" s="509">
        <f>SUM(E64:F64)</f>
        <v>66</v>
      </c>
      <c r="D24" s="509">
        <f>SUM(G64:J64)</f>
        <v>112</v>
      </c>
      <c r="E24" s="509">
        <f>SUM(K64:L64)</f>
        <v>213</v>
      </c>
      <c r="F24" s="509">
        <f>SUM(M64:N64)</f>
        <v>95</v>
      </c>
      <c r="G24" s="509">
        <f>SUM(O64:Q64)</f>
        <v>186</v>
      </c>
      <c r="H24" s="509">
        <f>R64</f>
        <v>2</v>
      </c>
      <c r="I24" s="509">
        <f>S64</f>
        <v>101</v>
      </c>
      <c r="J24" s="510">
        <f>SUM(B24:I24)</f>
        <v>890</v>
      </c>
    </row>
    <row r="25" spans="1:13" ht="18.75" customHeight="1" x14ac:dyDescent="0.15">
      <c r="A25" s="713"/>
      <c r="B25" s="538">
        <f>B24/B$14</f>
        <v>0.38983050847457629</v>
      </c>
      <c r="C25" s="538">
        <f t="shared" ref="C25:J25" si="7">C24/C$14</f>
        <v>0.3235294117647059</v>
      </c>
      <c r="D25" s="538">
        <f t="shared" si="7"/>
        <v>0.38754325259515571</v>
      </c>
      <c r="E25" s="538">
        <f t="shared" si="7"/>
        <v>0.43737166324435317</v>
      </c>
      <c r="F25" s="538">
        <f t="shared" si="7"/>
        <v>0.42792792792792794</v>
      </c>
      <c r="G25" s="538">
        <f t="shared" si="7"/>
        <v>0.35294117647058826</v>
      </c>
      <c r="H25" s="538">
        <f t="shared" si="7"/>
        <v>0.33333333333333331</v>
      </c>
      <c r="I25" s="538">
        <f t="shared" si="7"/>
        <v>0.35069444444444442</v>
      </c>
      <c r="J25" s="538">
        <f t="shared" si="7"/>
        <v>0.3839516824849008</v>
      </c>
    </row>
    <row r="26" spans="1:13" ht="18.75" customHeight="1" x14ac:dyDescent="0.15">
      <c r="A26" s="710" t="s">
        <v>66</v>
      </c>
      <c r="B26" s="509">
        <f>SUM(B65:D65)</f>
        <v>80</v>
      </c>
      <c r="C26" s="509">
        <f>SUM(E65:F65)</f>
        <v>78</v>
      </c>
      <c r="D26" s="509">
        <f>SUM(G65:J65)</f>
        <v>86</v>
      </c>
      <c r="E26" s="509">
        <f>SUM(K65:L65)</f>
        <v>202</v>
      </c>
      <c r="F26" s="509">
        <f>SUM(M65:N65)</f>
        <v>64</v>
      </c>
      <c r="G26" s="509">
        <f>SUM(O65:Q65)</f>
        <v>143</v>
      </c>
      <c r="H26" s="509">
        <f>R65</f>
        <v>0</v>
      </c>
      <c r="I26" s="509">
        <f>S65</f>
        <v>80</v>
      </c>
      <c r="J26" s="510">
        <f t="shared" ref="J26" si="8">SUM(B26:I26)</f>
        <v>733</v>
      </c>
    </row>
    <row r="27" spans="1:13" ht="18.75" customHeight="1" x14ac:dyDescent="0.15">
      <c r="A27" s="711"/>
      <c r="B27" s="538">
        <f>B26/B$14</f>
        <v>0.2711864406779661</v>
      </c>
      <c r="C27" s="538">
        <f t="shared" ref="C27:J27" si="9">C26/C$14</f>
        <v>0.38235294117647056</v>
      </c>
      <c r="D27" s="538">
        <f t="shared" si="9"/>
        <v>0.29757785467128028</v>
      </c>
      <c r="E27" s="538">
        <f t="shared" si="9"/>
        <v>0.41478439425051333</v>
      </c>
      <c r="F27" s="538">
        <f t="shared" si="9"/>
        <v>0.28828828828828829</v>
      </c>
      <c r="G27" s="538">
        <f t="shared" si="9"/>
        <v>0.27134724857685011</v>
      </c>
      <c r="H27" s="538">
        <f t="shared" si="9"/>
        <v>0</v>
      </c>
      <c r="I27" s="538">
        <f t="shared" si="9"/>
        <v>0.27777777777777779</v>
      </c>
      <c r="J27" s="538">
        <f t="shared" si="9"/>
        <v>0.31622088006902505</v>
      </c>
    </row>
    <row r="28" spans="1:13" ht="18.75" customHeight="1" x14ac:dyDescent="0.15">
      <c r="A28" s="710" t="s">
        <v>489</v>
      </c>
      <c r="B28" s="509">
        <f>SUM(B66:D66)</f>
        <v>12</v>
      </c>
      <c r="C28" s="509">
        <f>SUM(E66:F66)</f>
        <v>11</v>
      </c>
      <c r="D28" s="509">
        <f>SUM(G66:J66)</f>
        <v>17</v>
      </c>
      <c r="E28" s="509">
        <f>SUM(K66:L66)</f>
        <v>57</v>
      </c>
      <c r="F28" s="509">
        <f>SUM(M66:N66)</f>
        <v>20</v>
      </c>
      <c r="G28" s="509">
        <f>SUM(O66:Q66)</f>
        <v>35</v>
      </c>
      <c r="H28" s="509">
        <f>R66</f>
        <v>0</v>
      </c>
      <c r="I28" s="509">
        <f>S66</f>
        <v>14</v>
      </c>
      <c r="J28" s="510">
        <f t="shared" ref="J28" si="10">SUM(B28:I28)</f>
        <v>166</v>
      </c>
    </row>
    <row r="29" spans="1:13" ht="18.75" customHeight="1" x14ac:dyDescent="0.15">
      <c r="A29" s="711"/>
      <c r="B29" s="538">
        <f>B28/B$14</f>
        <v>4.0677966101694912E-2</v>
      </c>
      <c r="C29" s="538">
        <f t="shared" ref="C29:J29" si="11">C28/C$14</f>
        <v>5.3921568627450983E-2</v>
      </c>
      <c r="D29" s="538">
        <f t="shared" si="11"/>
        <v>5.8823529411764705E-2</v>
      </c>
      <c r="E29" s="538">
        <f t="shared" si="11"/>
        <v>0.11704312114989733</v>
      </c>
      <c r="F29" s="538">
        <f t="shared" si="11"/>
        <v>9.0090090090090086E-2</v>
      </c>
      <c r="G29" s="538">
        <f t="shared" si="11"/>
        <v>6.6413662239089177E-2</v>
      </c>
      <c r="H29" s="538">
        <f t="shared" si="11"/>
        <v>0</v>
      </c>
      <c r="I29" s="538">
        <f t="shared" si="11"/>
        <v>4.8611111111111112E-2</v>
      </c>
      <c r="J29" s="538">
        <f t="shared" si="11"/>
        <v>7.1613459879206212E-2</v>
      </c>
    </row>
    <row r="30" spans="1:13" ht="18.75" customHeight="1" x14ac:dyDescent="0.15">
      <c r="A30" s="710" t="s">
        <v>490</v>
      </c>
      <c r="B30" s="509">
        <f>SUM(B67:D67)</f>
        <v>72</v>
      </c>
      <c r="C30" s="509">
        <f>SUM(E67:F67)</f>
        <v>102</v>
      </c>
      <c r="D30" s="509">
        <f>SUM(G67:J67)</f>
        <v>107</v>
      </c>
      <c r="E30" s="509">
        <f>SUM(K67:L67)</f>
        <v>154</v>
      </c>
      <c r="F30" s="509">
        <f>SUM(M67:N67)</f>
        <v>114</v>
      </c>
      <c r="G30" s="509">
        <f>SUM(O67:Q67)</f>
        <v>193</v>
      </c>
      <c r="H30" s="509">
        <f>R67</f>
        <v>0</v>
      </c>
      <c r="I30" s="509">
        <f>S67</f>
        <v>113</v>
      </c>
      <c r="J30" s="510">
        <f t="shared" ref="J30" si="12">SUM(B30:I30)</f>
        <v>855</v>
      </c>
    </row>
    <row r="31" spans="1:13" ht="18.75" customHeight="1" x14ac:dyDescent="0.15">
      <c r="A31" s="711"/>
      <c r="B31" s="538">
        <f>B30/B$14</f>
        <v>0.2440677966101695</v>
      </c>
      <c r="C31" s="538">
        <f t="shared" ref="C31:J31" si="13">C30/C$14</f>
        <v>0.5</v>
      </c>
      <c r="D31" s="538">
        <f t="shared" si="13"/>
        <v>0.37024221453287198</v>
      </c>
      <c r="E31" s="538">
        <f t="shared" si="13"/>
        <v>0.31622176591375772</v>
      </c>
      <c r="F31" s="538">
        <f t="shared" si="13"/>
        <v>0.51351351351351349</v>
      </c>
      <c r="G31" s="538">
        <f t="shared" si="13"/>
        <v>0.36622390891840606</v>
      </c>
      <c r="H31" s="538">
        <f t="shared" si="13"/>
        <v>0</v>
      </c>
      <c r="I31" s="538">
        <f t="shared" si="13"/>
        <v>0.3923611111111111</v>
      </c>
      <c r="J31" s="538">
        <f t="shared" si="13"/>
        <v>0.36885245901639346</v>
      </c>
    </row>
    <row r="32" spans="1:13" ht="18.75" customHeight="1" x14ac:dyDescent="0.15">
      <c r="A32" s="710" t="s">
        <v>491</v>
      </c>
      <c r="B32" s="509">
        <f>SUM(B68:D68)</f>
        <v>105</v>
      </c>
      <c r="C32" s="509">
        <f>SUM(E68:F68)</f>
        <v>104</v>
      </c>
      <c r="D32" s="509">
        <f>SUM(G68:J68)</f>
        <v>137</v>
      </c>
      <c r="E32" s="509">
        <f>SUM(K68:L68)</f>
        <v>248</v>
      </c>
      <c r="F32" s="509">
        <f>SUM(M68:N68)</f>
        <v>100</v>
      </c>
      <c r="G32" s="509">
        <f>SUM(O68:Q68)</f>
        <v>222</v>
      </c>
      <c r="H32" s="509">
        <f>R68</f>
        <v>0</v>
      </c>
      <c r="I32" s="509">
        <f>S68</f>
        <v>117</v>
      </c>
      <c r="J32" s="510">
        <f t="shared" ref="J32" si="14">SUM(B32:I32)</f>
        <v>1033</v>
      </c>
    </row>
    <row r="33" spans="1:10" ht="18.75" customHeight="1" x14ac:dyDescent="0.15">
      <c r="A33" s="711"/>
      <c r="B33" s="538">
        <f>B32/B$14</f>
        <v>0.3559322033898305</v>
      </c>
      <c r="C33" s="538">
        <f t="shared" ref="C33:J33" si="15">C32/C$14</f>
        <v>0.50980392156862742</v>
      </c>
      <c r="D33" s="538">
        <f t="shared" si="15"/>
        <v>0.47404844290657439</v>
      </c>
      <c r="E33" s="538">
        <f t="shared" si="15"/>
        <v>0.50924024640657084</v>
      </c>
      <c r="F33" s="538">
        <f t="shared" si="15"/>
        <v>0.45045045045045046</v>
      </c>
      <c r="G33" s="538">
        <f t="shared" si="15"/>
        <v>0.42125237191650855</v>
      </c>
      <c r="H33" s="538">
        <f t="shared" si="15"/>
        <v>0</v>
      </c>
      <c r="I33" s="538">
        <f t="shared" si="15"/>
        <v>0.40625</v>
      </c>
      <c r="J33" s="538">
        <f t="shared" si="15"/>
        <v>0.4456427955133736</v>
      </c>
    </row>
    <row r="34" spans="1:10" ht="18.75" customHeight="1" x14ac:dyDescent="0.15">
      <c r="A34" s="710" t="s">
        <v>334</v>
      </c>
      <c r="B34" s="509">
        <f>SUM(B69:D69)</f>
        <v>67</v>
      </c>
      <c r="C34" s="509">
        <f>SUM(E69:F69)</f>
        <v>84</v>
      </c>
      <c r="D34" s="509">
        <f>SUM(G69:J69)</f>
        <v>92</v>
      </c>
      <c r="E34" s="509">
        <f>SUM(K69:L69)</f>
        <v>150</v>
      </c>
      <c r="F34" s="509">
        <f>SUM(M69:N69)</f>
        <v>107</v>
      </c>
      <c r="G34" s="509">
        <f>SUM(O69:Q69)</f>
        <v>158</v>
      </c>
      <c r="H34" s="509">
        <f>R69</f>
        <v>1</v>
      </c>
      <c r="I34" s="509">
        <f>S69</f>
        <v>86</v>
      </c>
      <c r="J34" s="510">
        <f t="shared" ref="J34" si="16">SUM(B34:I34)</f>
        <v>745</v>
      </c>
    </row>
    <row r="35" spans="1:10" ht="18.75" customHeight="1" x14ac:dyDescent="0.15">
      <c r="A35" s="711"/>
      <c r="B35" s="538">
        <f>B34/B$14</f>
        <v>0.22711864406779661</v>
      </c>
      <c r="C35" s="538">
        <f t="shared" ref="C35:J35" si="17">C34/C$14</f>
        <v>0.41176470588235292</v>
      </c>
      <c r="D35" s="538">
        <f t="shared" si="17"/>
        <v>0.31833910034602075</v>
      </c>
      <c r="E35" s="538">
        <f t="shared" si="17"/>
        <v>0.30800821355236141</v>
      </c>
      <c r="F35" s="538">
        <f t="shared" si="17"/>
        <v>0.481981981981982</v>
      </c>
      <c r="G35" s="538">
        <f t="shared" si="17"/>
        <v>0.29981024667931688</v>
      </c>
      <c r="H35" s="538">
        <f t="shared" si="17"/>
        <v>0.16666666666666666</v>
      </c>
      <c r="I35" s="538">
        <f t="shared" si="17"/>
        <v>0.2986111111111111</v>
      </c>
      <c r="J35" s="538">
        <f t="shared" si="17"/>
        <v>0.32139775668679899</v>
      </c>
    </row>
    <row r="36" spans="1:10" ht="18.75" customHeight="1" x14ac:dyDescent="0.15">
      <c r="A36" s="710" t="s">
        <v>492</v>
      </c>
      <c r="B36" s="509">
        <f>SUM(B70:D70)</f>
        <v>30</v>
      </c>
      <c r="C36" s="509">
        <f>SUM(E70:F70)</f>
        <v>12</v>
      </c>
      <c r="D36" s="509">
        <f>SUM(G70:J70)</f>
        <v>48</v>
      </c>
      <c r="E36" s="509">
        <f>SUM(K70:L70)</f>
        <v>65</v>
      </c>
      <c r="F36" s="509">
        <f>SUM(M70:N70)</f>
        <v>26</v>
      </c>
      <c r="G36" s="509">
        <f>SUM(O70:Q70)</f>
        <v>48</v>
      </c>
      <c r="H36" s="509">
        <f>R70</f>
        <v>0</v>
      </c>
      <c r="I36" s="509">
        <f>S70</f>
        <v>20</v>
      </c>
      <c r="J36" s="510">
        <f t="shared" ref="J36" si="18">SUM(B36:I36)</f>
        <v>249</v>
      </c>
    </row>
    <row r="37" spans="1:10" ht="18.75" customHeight="1" x14ac:dyDescent="0.15">
      <c r="A37" s="711"/>
      <c r="B37" s="538">
        <f>B36/B$14</f>
        <v>0.10169491525423729</v>
      </c>
      <c r="C37" s="538">
        <f t="shared" ref="C37:J37" si="19">C36/C$14</f>
        <v>5.8823529411764705E-2</v>
      </c>
      <c r="D37" s="538">
        <f t="shared" si="19"/>
        <v>0.16608996539792387</v>
      </c>
      <c r="E37" s="538">
        <f t="shared" si="19"/>
        <v>0.13347022587268995</v>
      </c>
      <c r="F37" s="538">
        <f t="shared" si="19"/>
        <v>0.11711711711711711</v>
      </c>
      <c r="G37" s="538">
        <f t="shared" si="19"/>
        <v>9.1081593927893736E-2</v>
      </c>
      <c r="H37" s="538">
        <f t="shared" si="19"/>
        <v>0</v>
      </c>
      <c r="I37" s="538">
        <f t="shared" si="19"/>
        <v>6.9444444444444448E-2</v>
      </c>
      <c r="J37" s="538">
        <f t="shared" si="19"/>
        <v>0.10742018981880933</v>
      </c>
    </row>
    <row r="38" spans="1:10" ht="18.75" customHeight="1" x14ac:dyDescent="0.15">
      <c r="A38" s="710" t="s">
        <v>335</v>
      </c>
      <c r="B38" s="509">
        <f>SUM(B71:D71)</f>
        <v>56</v>
      </c>
      <c r="C38" s="509">
        <f>SUM(E71:F71)</f>
        <v>104</v>
      </c>
      <c r="D38" s="509">
        <f>SUM(G71:J71)</f>
        <v>118</v>
      </c>
      <c r="E38" s="509">
        <f>SUM(K71:L71)</f>
        <v>195</v>
      </c>
      <c r="F38" s="509">
        <f>SUM(M71:N71)</f>
        <v>102</v>
      </c>
      <c r="G38" s="509">
        <f>SUM(O71:Q71)</f>
        <v>190</v>
      </c>
      <c r="H38" s="509">
        <f>R71</f>
        <v>0</v>
      </c>
      <c r="I38" s="509">
        <f>S71</f>
        <v>82</v>
      </c>
      <c r="J38" s="510">
        <f t="shared" ref="J38" si="20">SUM(B38:I38)</f>
        <v>847</v>
      </c>
    </row>
    <row r="39" spans="1:10" ht="18.75" customHeight="1" x14ac:dyDescent="0.15">
      <c r="A39" s="711"/>
      <c r="B39" s="538">
        <f>B38/B$14</f>
        <v>0.18983050847457628</v>
      </c>
      <c r="C39" s="538">
        <f t="shared" ref="C39:J39" si="21">C38/C$14</f>
        <v>0.50980392156862742</v>
      </c>
      <c r="D39" s="538">
        <f t="shared" si="21"/>
        <v>0.40830449826989618</v>
      </c>
      <c r="E39" s="538">
        <f t="shared" si="21"/>
        <v>0.40041067761806981</v>
      </c>
      <c r="F39" s="538">
        <f t="shared" si="21"/>
        <v>0.45945945945945948</v>
      </c>
      <c r="G39" s="538">
        <f t="shared" si="21"/>
        <v>0.36053130929791272</v>
      </c>
      <c r="H39" s="538">
        <f t="shared" si="21"/>
        <v>0</v>
      </c>
      <c r="I39" s="538">
        <f t="shared" si="21"/>
        <v>0.28472222222222221</v>
      </c>
      <c r="J39" s="538">
        <f t="shared" si="21"/>
        <v>0.3654012079378775</v>
      </c>
    </row>
    <row r="40" spans="1:10" ht="18.75" customHeight="1" x14ac:dyDescent="0.15">
      <c r="A40" s="710" t="s">
        <v>336</v>
      </c>
      <c r="B40" s="509">
        <f>SUM(B72:D72)</f>
        <v>59</v>
      </c>
      <c r="C40" s="509">
        <f>SUM(E72:F72)</f>
        <v>44</v>
      </c>
      <c r="D40" s="509">
        <f>SUM(G72:J72)</f>
        <v>58</v>
      </c>
      <c r="E40" s="509">
        <f>SUM(K72:L72)</f>
        <v>52</v>
      </c>
      <c r="F40" s="509">
        <f>SUM(M72:N72)</f>
        <v>27</v>
      </c>
      <c r="G40" s="509">
        <f>SUM(O72:Q72)</f>
        <v>141</v>
      </c>
      <c r="H40" s="509">
        <f>R72</f>
        <v>1</v>
      </c>
      <c r="I40" s="509">
        <f>S72</f>
        <v>43</v>
      </c>
      <c r="J40" s="510">
        <f t="shared" ref="J40" si="22">SUM(B40:I40)</f>
        <v>425</v>
      </c>
    </row>
    <row r="41" spans="1:10" ht="18.75" customHeight="1" x14ac:dyDescent="0.15">
      <c r="A41" s="711"/>
      <c r="B41" s="538">
        <f>B40/B$14</f>
        <v>0.2</v>
      </c>
      <c r="C41" s="538">
        <f t="shared" ref="C41:J41" si="23">C40/C$14</f>
        <v>0.21568627450980393</v>
      </c>
      <c r="D41" s="538">
        <f t="shared" si="23"/>
        <v>0.20069204152249134</v>
      </c>
      <c r="E41" s="538">
        <f t="shared" si="23"/>
        <v>0.10677618069815195</v>
      </c>
      <c r="F41" s="538">
        <f t="shared" si="23"/>
        <v>0.12162162162162163</v>
      </c>
      <c r="G41" s="538">
        <f t="shared" si="23"/>
        <v>0.26755218216318788</v>
      </c>
      <c r="H41" s="538">
        <f t="shared" si="23"/>
        <v>0.16666666666666666</v>
      </c>
      <c r="I41" s="538">
        <f t="shared" si="23"/>
        <v>0.14930555555555555</v>
      </c>
      <c r="J41" s="538">
        <f t="shared" si="23"/>
        <v>0.18334771354616047</v>
      </c>
    </row>
    <row r="42" spans="1:10" ht="18.75" customHeight="1" x14ac:dyDescent="0.15">
      <c r="A42" s="710" t="s">
        <v>247</v>
      </c>
      <c r="B42" s="509">
        <f>SUM(B73:D73)</f>
        <v>68</v>
      </c>
      <c r="C42" s="509">
        <f>SUM(E73:F73)</f>
        <v>38</v>
      </c>
      <c r="D42" s="509">
        <f>SUM(G73:J73)</f>
        <v>85</v>
      </c>
      <c r="E42" s="509">
        <f>SUM(K73:L73)</f>
        <v>88</v>
      </c>
      <c r="F42" s="509">
        <f>SUM(M73:N73)</f>
        <v>68</v>
      </c>
      <c r="G42" s="509">
        <f>SUM(O73:Q73)</f>
        <v>114</v>
      </c>
      <c r="H42" s="509">
        <f>R73</f>
        <v>2</v>
      </c>
      <c r="I42" s="509">
        <f>S73</f>
        <v>54</v>
      </c>
      <c r="J42" s="510">
        <f t="shared" ref="J42" si="24">SUM(B42:I42)</f>
        <v>517</v>
      </c>
    </row>
    <row r="43" spans="1:10" ht="18.75" customHeight="1" x14ac:dyDescent="0.15">
      <c r="A43" s="711"/>
      <c r="B43" s="538">
        <f>B42/B$14</f>
        <v>0.23050847457627119</v>
      </c>
      <c r="C43" s="538">
        <f t="shared" ref="C43:J43" si="25">C42/C$14</f>
        <v>0.18627450980392157</v>
      </c>
      <c r="D43" s="538">
        <f t="shared" si="25"/>
        <v>0.29411764705882354</v>
      </c>
      <c r="E43" s="538">
        <f t="shared" si="25"/>
        <v>0.1806981519507187</v>
      </c>
      <c r="F43" s="538">
        <f t="shared" si="25"/>
        <v>0.30630630630630629</v>
      </c>
      <c r="G43" s="538">
        <f t="shared" si="25"/>
        <v>0.21631878557874762</v>
      </c>
      <c r="H43" s="538">
        <f t="shared" si="25"/>
        <v>0.33333333333333331</v>
      </c>
      <c r="I43" s="538">
        <f t="shared" si="25"/>
        <v>0.1875</v>
      </c>
      <c r="J43" s="538">
        <f t="shared" si="25"/>
        <v>0.22303710094909404</v>
      </c>
    </row>
    <row r="44" spans="1:10" ht="18.75" customHeight="1" x14ac:dyDescent="0.15">
      <c r="A44" s="710" t="s">
        <v>493</v>
      </c>
      <c r="B44" s="509">
        <f>SUM(B74:D74)</f>
        <v>95</v>
      </c>
      <c r="C44" s="509">
        <f>SUM(E74:F74)</f>
        <v>100</v>
      </c>
      <c r="D44" s="509">
        <f>SUM(G74:J74)</f>
        <v>149</v>
      </c>
      <c r="E44" s="509">
        <f>SUM(K74:L74)</f>
        <v>186</v>
      </c>
      <c r="F44" s="509">
        <f>SUM(M74:N74)</f>
        <v>63</v>
      </c>
      <c r="G44" s="509">
        <f>SUM(O74:Q74)</f>
        <v>185</v>
      </c>
      <c r="H44" s="509">
        <f>R74</f>
        <v>2</v>
      </c>
      <c r="I44" s="509">
        <f>S74</f>
        <v>76</v>
      </c>
      <c r="J44" s="510">
        <f t="shared" ref="J44" si="26">SUM(B44:I44)</f>
        <v>856</v>
      </c>
    </row>
    <row r="45" spans="1:10" ht="18.75" customHeight="1" x14ac:dyDescent="0.15">
      <c r="A45" s="711"/>
      <c r="B45" s="538">
        <f>B44/B$14</f>
        <v>0.32203389830508472</v>
      </c>
      <c r="C45" s="538">
        <f t="shared" ref="C45:J45" si="27">C44/C$14</f>
        <v>0.49019607843137253</v>
      </c>
      <c r="D45" s="538">
        <f t="shared" si="27"/>
        <v>0.51557093425605538</v>
      </c>
      <c r="E45" s="538">
        <f t="shared" si="27"/>
        <v>0.38193018480492813</v>
      </c>
      <c r="F45" s="538">
        <f t="shared" si="27"/>
        <v>0.28378378378378377</v>
      </c>
      <c r="G45" s="538">
        <f t="shared" si="27"/>
        <v>0.35104364326375709</v>
      </c>
      <c r="H45" s="538">
        <f t="shared" si="27"/>
        <v>0.33333333333333331</v>
      </c>
      <c r="I45" s="538">
        <f t="shared" si="27"/>
        <v>0.2638888888888889</v>
      </c>
      <c r="J45" s="538">
        <f t="shared" si="27"/>
        <v>0.36928386540120794</v>
      </c>
    </row>
    <row r="46" spans="1:10" ht="18.75" customHeight="1" x14ac:dyDescent="0.15">
      <c r="A46" s="710" t="s">
        <v>494</v>
      </c>
      <c r="B46" s="509">
        <f>SUM(B75:D75)</f>
        <v>9</v>
      </c>
      <c r="C46" s="509">
        <f>SUM(E75:F75)</f>
        <v>9</v>
      </c>
      <c r="D46" s="509">
        <f>SUM(G75:J75)</f>
        <v>17</v>
      </c>
      <c r="E46" s="509">
        <f>SUM(K75:L75)</f>
        <v>15</v>
      </c>
      <c r="F46" s="509">
        <f>SUM(M75:N75)</f>
        <v>6</v>
      </c>
      <c r="G46" s="509">
        <f>SUM(O75:Q75)</f>
        <v>29</v>
      </c>
      <c r="H46" s="509">
        <f>R75</f>
        <v>1</v>
      </c>
      <c r="I46" s="509">
        <f>S75</f>
        <v>15</v>
      </c>
      <c r="J46" s="510">
        <f t="shared" ref="J46" si="28">SUM(B46:I46)</f>
        <v>101</v>
      </c>
    </row>
    <row r="47" spans="1:10" ht="18.75" customHeight="1" x14ac:dyDescent="0.15">
      <c r="A47" s="711"/>
      <c r="B47" s="538">
        <f>B46/B$14</f>
        <v>3.0508474576271188E-2</v>
      </c>
      <c r="C47" s="538">
        <f t="shared" ref="C47:J47" si="29">C46/C$14</f>
        <v>4.4117647058823532E-2</v>
      </c>
      <c r="D47" s="538">
        <f t="shared" si="29"/>
        <v>5.8823529411764705E-2</v>
      </c>
      <c r="E47" s="538">
        <f t="shared" si="29"/>
        <v>3.0800821355236138E-2</v>
      </c>
      <c r="F47" s="538">
        <f t="shared" si="29"/>
        <v>2.7027027027027029E-2</v>
      </c>
      <c r="G47" s="538">
        <f t="shared" si="29"/>
        <v>5.5028462998102469E-2</v>
      </c>
      <c r="H47" s="538">
        <f t="shared" si="29"/>
        <v>0.16666666666666666</v>
      </c>
      <c r="I47" s="538">
        <f t="shared" si="29"/>
        <v>5.2083333333333336E-2</v>
      </c>
      <c r="J47" s="538">
        <f t="shared" si="29"/>
        <v>4.3572044866264023E-2</v>
      </c>
    </row>
    <row r="48" spans="1:10" ht="18.75" customHeight="1" x14ac:dyDescent="0.15">
      <c r="A48" s="710" t="s">
        <v>495</v>
      </c>
      <c r="B48" s="509">
        <f>SUM(B76:D76)</f>
        <v>22</v>
      </c>
      <c r="C48" s="509">
        <f>SUM(E76:F76)</f>
        <v>7</v>
      </c>
      <c r="D48" s="509">
        <f>SUM(G76:J76)</f>
        <v>41</v>
      </c>
      <c r="E48" s="509">
        <f>SUM(K76:L76)</f>
        <v>29</v>
      </c>
      <c r="F48" s="509">
        <f>SUM(M76:N76)</f>
        <v>15</v>
      </c>
      <c r="G48" s="509">
        <f>SUM(O76:Q76)</f>
        <v>31</v>
      </c>
      <c r="H48" s="509">
        <f>R76</f>
        <v>0</v>
      </c>
      <c r="I48" s="509">
        <f>S76</f>
        <v>20</v>
      </c>
      <c r="J48" s="510">
        <f t="shared" ref="J48" si="30">SUM(B48:I48)</f>
        <v>165</v>
      </c>
    </row>
    <row r="49" spans="1:19" ht="18.75" customHeight="1" x14ac:dyDescent="0.15">
      <c r="A49" s="711"/>
      <c r="B49" s="538">
        <f>B48/B$14</f>
        <v>7.4576271186440682E-2</v>
      </c>
      <c r="C49" s="538">
        <f t="shared" ref="C49:J49" si="31">C48/C$14</f>
        <v>3.4313725490196081E-2</v>
      </c>
      <c r="D49" s="538">
        <f t="shared" si="31"/>
        <v>0.14186851211072665</v>
      </c>
      <c r="E49" s="538">
        <f t="shared" si="31"/>
        <v>5.9548254620123205E-2</v>
      </c>
      <c r="F49" s="538">
        <f t="shared" si="31"/>
        <v>6.7567567567567571E-2</v>
      </c>
      <c r="G49" s="538">
        <f t="shared" si="31"/>
        <v>5.8823529411764705E-2</v>
      </c>
      <c r="H49" s="538">
        <f t="shared" si="31"/>
        <v>0</v>
      </c>
      <c r="I49" s="538">
        <f t="shared" si="31"/>
        <v>6.9444444444444448E-2</v>
      </c>
      <c r="J49" s="538">
        <f t="shared" si="31"/>
        <v>7.1182053494391717E-2</v>
      </c>
    </row>
    <row r="50" spans="1:19" ht="18.75" customHeight="1" x14ac:dyDescent="0.15">
      <c r="A50" s="710" t="s">
        <v>496</v>
      </c>
      <c r="B50" s="509">
        <f>SUM(B77:D77)</f>
        <v>0</v>
      </c>
      <c r="C50" s="509">
        <f>SUM(E77:F77)</f>
        <v>0</v>
      </c>
      <c r="D50" s="509">
        <f>SUM(G77:J77)</f>
        <v>25</v>
      </c>
      <c r="E50" s="509">
        <f>SUM(K77:L77)</f>
        <v>1</v>
      </c>
      <c r="F50" s="509">
        <f>SUM(M77:N77)</f>
        <v>1</v>
      </c>
      <c r="G50" s="509">
        <f>SUM(O77:Q77)</f>
        <v>0</v>
      </c>
      <c r="H50" s="509">
        <f>R77</f>
        <v>0</v>
      </c>
      <c r="I50" s="509">
        <f>S77</f>
        <v>0</v>
      </c>
      <c r="J50" s="510">
        <f t="shared" ref="J50" si="32">SUM(B50:I50)</f>
        <v>27</v>
      </c>
    </row>
    <row r="51" spans="1:19" ht="18.75" customHeight="1" x14ac:dyDescent="0.15">
      <c r="A51" s="711"/>
      <c r="B51" s="538">
        <f>B50/B$14</f>
        <v>0</v>
      </c>
      <c r="C51" s="538">
        <f t="shared" ref="C51:J51" si="33">C50/C$14</f>
        <v>0</v>
      </c>
      <c r="D51" s="538">
        <f t="shared" si="33"/>
        <v>8.6505190311418678E-2</v>
      </c>
      <c r="E51" s="538">
        <f t="shared" si="33"/>
        <v>2.0533880903490761E-3</v>
      </c>
      <c r="F51" s="538">
        <f t="shared" si="33"/>
        <v>4.5045045045045045E-3</v>
      </c>
      <c r="G51" s="538">
        <f t="shared" si="33"/>
        <v>0</v>
      </c>
      <c r="H51" s="538">
        <f t="shared" si="33"/>
        <v>0</v>
      </c>
      <c r="I51" s="538">
        <f t="shared" si="33"/>
        <v>0</v>
      </c>
      <c r="J51" s="538">
        <f t="shared" si="33"/>
        <v>1.1647972389991372E-2</v>
      </c>
    </row>
    <row r="52" spans="1:19" ht="18.75" customHeight="1" x14ac:dyDescent="0.15">
      <c r="A52" s="710" t="s">
        <v>497</v>
      </c>
      <c r="B52" s="509">
        <f>SUM(B78:D78)</f>
        <v>23</v>
      </c>
      <c r="C52" s="509">
        <f>SUM(E78:F78)</f>
        <v>11</v>
      </c>
      <c r="D52" s="509">
        <f>SUM(G78:J78)</f>
        <v>65</v>
      </c>
      <c r="E52" s="509">
        <f>SUM(K78:L78)</f>
        <v>54</v>
      </c>
      <c r="F52" s="509">
        <f>SUM(M78:N78)</f>
        <v>50</v>
      </c>
      <c r="G52" s="509">
        <f>SUM(O78:Q78)</f>
        <v>33</v>
      </c>
      <c r="H52" s="509">
        <f>R78</f>
        <v>0</v>
      </c>
      <c r="I52" s="509">
        <f>S78</f>
        <v>15</v>
      </c>
      <c r="J52" s="510">
        <f t="shared" ref="J52" si="34">SUM(B52:I52)</f>
        <v>251</v>
      </c>
    </row>
    <row r="53" spans="1:19" ht="18.75" customHeight="1" x14ac:dyDescent="0.15">
      <c r="A53" s="711"/>
      <c r="B53" s="538">
        <f>B52/B$14</f>
        <v>7.796610169491526E-2</v>
      </c>
      <c r="C53" s="538">
        <f t="shared" ref="C53:J53" si="35">C52/C$14</f>
        <v>5.3921568627450983E-2</v>
      </c>
      <c r="D53" s="538">
        <f t="shared" si="35"/>
        <v>0.22491349480968859</v>
      </c>
      <c r="E53" s="538">
        <f t="shared" si="35"/>
        <v>0.11088295687885011</v>
      </c>
      <c r="F53" s="538">
        <f t="shared" si="35"/>
        <v>0.22522522522522523</v>
      </c>
      <c r="G53" s="538">
        <f t="shared" si="35"/>
        <v>6.2618595825426948E-2</v>
      </c>
      <c r="H53" s="538">
        <f t="shared" si="35"/>
        <v>0</v>
      </c>
      <c r="I53" s="538">
        <f t="shared" si="35"/>
        <v>5.2083333333333336E-2</v>
      </c>
      <c r="J53" s="538">
        <f t="shared" si="35"/>
        <v>0.10828300258843832</v>
      </c>
    </row>
    <row r="54" spans="1:19" ht="18.75" customHeight="1" x14ac:dyDescent="0.15">
      <c r="A54" s="710" t="s">
        <v>498</v>
      </c>
      <c r="B54" s="509">
        <f>SUM(B79:D79)</f>
        <v>26</v>
      </c>
      <c r="C54" s="509">
        <f>SUM(E79:F79)</f>
        <v>8</v>
      </c>
      <c r="D54" s="509">
        <f>SUM(G79:J79)</f>
        <v>72</v>
      </c>
      <c r="E54" s="509">
        <f>SUM(K79:L79)</f>
        <v>56</v>
      </c>
      <c r="F54" s="509">
        <f>SUM(M79:N79)</f>
        <v>47</v>
      </c>
      <c r="G54" s="509">
        <f>SUM(O79:Q79)</f>
        <v>75</v>
      </c>
      <c r="H54" s="509">
        <f>R79</f>
        <v>0</v>
      </c>
      <c r="I54" s="509">
        <f>S79</f>
        <v>9</v>
      </c>
      <c r="J54" s="510">
        <f t="shared" ref="J54" si="36">SUM(B54:I54)</f>
        <v>293</v>
      </c>
    </row>
    <row r="55" spans="1:19" ht="18.75" customHeight="1" x14ac:dyDescent="0.15">
      <c r="A55" s="711"/>
      <c r="B55" s="538">
        <f>B54/B$14</f>
        <v>8.8135593220338981E-2</v>
      </c>
      <c r="C55" s="538">
        <f t="shared" ref="C55:J55" si="37">C54/C$14</f>
        <v>3.9215686274509803E-2</v>
      </c>
      <c r="D55" s="538">
        <f t="shared" si="37"/>
        <v>0.2491349480968858</v>
      </c>
      <c r="E55" s="538">
        <f t="shared" si="37"/>
        <v>0.11498973305954825</v>
      </c>
      <c r="F55" s="538">
        <f t="shared" si="37"/>
        <v>0.21171171171171171</v>
      </c>
      <c r="G55" s="538">
        <f t="shared" si="37"/>
        <v>0.14231499051233396</v>
      </c>
      <c r="H55" s="538">
        <f t="shared" si="37"/>
        <v>0</v>
      </c>
      <c r="I55" s="538">
        <f t="shared" si="37"/>
        <v>3.125E-2</v>
      </c>
      <c r="J55" s="538">
        <f t="shared" si="37"/>
        <v>0.12640207075064711</v>
      </c>
    </row>
    <row r="56" spans="1:19" ht="18.75" customHeight="1" x14ac:dyDescent="0.15">
      <c r="A56" s="710" t="s">
        <v>248</v>
      </c>
      <c r="B56" s="509">
        <f>SUM(B80:D80)</f>
        <v>2</v>
      </c>
      <c r="C56" s="509">
        <f>SUM(E80:F80)</f>
        <v>5</v>
      </c>
      <c r="D56" s="509">
        <f>SUM(G80:J80)</f>
        <v>8</v>
      </c>
      <c r="E56" s="509">
        <f>SUM(K80:L80)</f>
        <v>3</v>
      </c>
      <c r="F56" s="509">
        <f>SUM(M80:N80)</f>
        <v>11</v>
      </c>
      <c r="G56" s="509">
        <f>SUM(O80:Q80)</f>
        <v>19</v>
      </c>
      <c r="H56" s="509">
        <f>R80</f>
        <v>0</v>
      </c>
      <c r="I56" s="509">
        <f>S80</f>
        <v>3</v>
      </c>
      <c r="J56" s="510">
        <f t="shared" ref="J56" si="38">SUM(B56:I56)</f>
        <v>51</v>
      </c>
    </row>
    <row r="57" spans="1:19" ht="18.75" customHeight="1" x14ac:dyDescent="0.15">
      <c r="A57" s="711"/>
      <c r="B57" s="538">
        <f>B56/B$14</f>
        <v>6.7796610169491523E-3</v>
      </c>
      <c r="C57" s="538">
        <f t="shared" ref="C57:J57" si="39">C56/C$14</f>
        <v>2.4509803921568627E-2</v>
      </c>
      <c r="D57" s="538">
        <f t="shared" si="39"/>
        <v>2.768166089965398E-2</v>
      </c>
      <c r="E57" s="538">
        <f t="shared" si="39"/>
        <v>6.1601642710472282E-3</v>
      </c>
      <c r="F57" s="538">
        <f t="shared" si="39"/>
        <v>4.954954954954955E-2</v>
      </c>
      <c r="G57" s="538">
        <f t="shared" si="39"/>
        <v>3.6053130929791274E-2</v>
      </c>
      <c r="H57" s="538">
        <f t="shared" si="39"/>
        <v>0</v>
      </c>
      <c r="I57" s="538">
        <f t="shared" si="39"/>
        <v>1.0416666666666666E-2</v>
      </c>
      <c r="J57" s="538">
        <f t="shared" si="39"/>
        <v>2.2001725625539259E-2</v>
      </c>
    </row>
    <row r="58" spans="1:19" ht="18.75" customHeight="1" x14ac:dyDescent="0.15">
      <c r="A58" s="710" t="s">
        <v>499</v>
      </c>
      <c r="B58" s="509">
        <f>SUM(B81:D81)</f>
        <v>15</v>
      </c>
      <c r="C58" s="509">
        <f>SUM(E81:F81)</f>
        <v>14</v>
      </c>
      <c r="D58" s="509">
        <f>SUM(G81:J81)</f>
        <v>25</v>
      </c>
      <c r="E58" s="509">
        <f>SUM(K81:L81)</f>
        <v>62</v>
      </c>
      <c r="F58" s="509">
        <f>SUM(M81:N81)</f>
        <v>10</v>
      </c>
      <c r="G58" s="509">
        <f>SUM(O81:Q81)</f>
        <v>29</v>
      </c>
      <c r="H58" s="509">
        <f>R81</f>
        <v>0</v>
      </c>
      <c r="I58" s="509">
        <f>S81</f>
        <v>17</v>
      </c>
      <c r="J58" s="510">
        <f t="shared" ref="J58" si="40">SUM(B58:I58)</f>
        <v>172</v>
      </c>
    </row>
    <row r="59" spans="1:19" ht="18.75" customHeight="1" x14ac:dyDescent="0.15">
      <c r="A59" s="711"/>
      <c r="B59" s="538">
        <f>B58/B$14</f>
        <v>5.0847457627118647E-2</v>
      </c>
      <c r="C59" s="538">
        <f t="shared" ref="C59:J59" si="41">C58/C$14</f>
        <v>6.8627450980392163E-2</v>
      </c>
      <c r="D59" s="538">
        <f t="shared" si="41"/>
        <v>8.6505190311418678E-2</v>
      </c>
      <c r="E59" s="538">
        <f t="shared" si="41"/>
        <v>0.12731006160164271</v>
      </c>
      <c r="F59" s="538">
        <f t="shared" si="41"/>
        <v>4.5045045045045043E-2</v>
      </c>
      <c r="G59" s="538">
        <f t="shared" si="41"/>
        <v>5.5028462998102469E-2</v>
      </c>
      <c r="H59" s="538">
        <f t="shared" si="41"/>
        <v>0</v>
      </c>
      <c r="I59" s="538">
        <f t="shared" si="41"/>
        <v>5.9027777777777776E-2</v>
      </c>
      <c r="J59" s="538">
        <f t="shared" si="41"/>
        <v>7.4201898188093182E-2</v>
      </c>
    </row>
    <row r="61" spans="1:19" hidden="1" x14ac:dyDescent="0.15">
      <c r="A61" s="378"/>
      <c r="B61" s="378"/>
      <c r="C61" s="378"/>
      <c r="D61" s="378"/>
      <c r="E61" s="378"/>
      <c r="F61" s="378"/>
      <c r="G61" s="378"/>
      <c r="H61" s="378"/>
      <c r="I61" s="378"/>
    </row>
    <row r="62" spans="1:19" hidden="1" x14ac:dyDescent="0.15">
      <c r="A62" s="54"/>
    </row>
    <row r="63" spans="1:19" hidden="1" x14ac:dyDescent="0.15">
      <c r="A63" s="378" t="s">
        <v>63</v>
      </c>
      <c r="B63" s="378" t="s">
        <v>466</v>
      </c>
      <c r="C63" s="378" t="s">
        <v>467</v>
      </c>
      <c r="D63" s="378" t="s">
        <v>468</v>
      </c>
      <c r="E63" s="378" t="s">
        <v>469</v>
      </c>
      <c r="F63" s="378" t="s">
        <v>470</v>
      </c>
      <c r="G63" s="378" t="s">
        <v>471</v>
      </c>
      <c r="H63" s="378" t="s">
        <v>472</v>
      </c>
      <c r="I63" s="378" t="s">
        <v>473</v>
      </c>
      <c r="J63" s="378" t="s">
        <v>474</v>
      </c>
      <c r="K63" s="378" t="s">
        <v>475</v>
      </c>
      <c r="L63" s="378" t="s">
        <v>476</v>
      </c>
      <c r="M63" s="378" t="s">
        <v>477</v>
      </c>
      <c r="N63" s="378" t="s">
        <v>478</v>
      </c>
      <c r="O63" s="378" t="s">
        <v>479</v>
      </c>
      <c r="P63" s="378" t="s">
        <v>480</v>
      </c>
      <c r="Q63" s="378" t="s">
        <v>481</v>
      </c>
      <c r="R63" s="378" t="s">
        <v>482</v>
      </c>
      <c r="S63" s="378" t="s">
        <v>483</v>
      </c>
    </row>
    <row r="64" spans="1:19" hidden="1" x14ac:dyDescent="0.15">
      <c r="A64" s="54" t="s">
        <v>500</v>
      </c>
      <c r="B64" s="23">
        <v>71</v>
      </c>
      <c r="C64" s="23">
        <v>33</v>
      </c>
      <c r="D64" s="23">
        <v>11</v>
      </c>
      <c r="E64" s="23">
        <v>20</v>
      </c>
      <c r="F64" s="23">
        <v>46</v>
      </c>
      <c r="G64" s="23">
        <v>91</v>
      </c>
      <c r="H64" s="23">
        <v>9</v>
      </c>
      <c r="I64" s="23">
        <v>7</v>
      </c>
      <c r="J64" s="23">
        <v>5</v>
      </c>
      <c r="K64" s="23">
        <v>82</v>
      </c>
      <c r="L64" s="23">
        <v>131</v>
      </c>
      <c r="M64" s="23">
        <v>22</v>
      </c>
      <c r="N64" s="23">
        <v>73</v>
      </c>
      <c r="O64" s="23">
        <v>82</v>
      </c>
      <c r="P64" s="23">
        <v>62</v>
      </c>
      <c r="Q64" s="23">
        <v>42</v>
      </c>
      <c r="R64" s="23">
        <v>2</v>
      </c>
      <c r="S64" s="23">
        <v>101</v>
      </c>
    </row>
    <row r="65" spans="1:19" hidden="1" x14ac:dyDescent="0.15">
      <c r="A65" s="54" t="s">
        <v>501</v>
      </c>
      <c r="B65" s="23">
        <v>60</v>
      </c>
      <c r="C65" s="23">
        <v>18</v>
      </c>
      <c r="D65" s="23">
        <v>2</v>
      </c>
      <c r="E65" s="23">
        <v>14</v>
      </c>
      <c r="F65" s="23">
        <v>64</v>
      </c>
      <c r="G65" s="23">
        <v>75</v>
      </c>
      <c r="H65" s="23">
        <v>8</v>
      </c>
      <c r="I65" s="23">
        <v>2</v>
      </c>
      <c r="J65" s="23">
        <v>1</v>
      </c>
      <c r="K65" s="23">
        <v>51</v>
      </c>
      <c r="L65" s="23">
        <v>151</v>
      </c>
      <c r="M65" s="23">
        <v>21</v>
      </c>
      <c r="N65" s="23">
        <v>43</v>
      </c>
      <c r="O65" s="23">
        <v>77</v>
      </c>
      <c r="P65" s="23">
        <v>37</v>
      </c>
      <c r="Q65" s="23">
        <v>29</v>
      </c>
      <c r="R65" s="23">
        <v>0</v>
      </c>
      <c r="S65" s="23">
        <v>80</v>
      </c>
    </row>
    <row r="66" spans="1:19" hidden="1" x14ac:dyDescent="0.15">
      <c r="A66" s="54" t="s">
        <v>167</v>
      </c>
      <c r="B66" s="23">
        <v>8</v>
      </c>
      <c r="C66" s="23">
        <v>4</v>
      </c>
      <c r="D66" s="23">
        <v>0</v>
      </c>
      <c r="E66" s="23">
        <v>2</v>
      </c>
      <c r="F66" s="23">
        <v>9</v>
      </c>
      <c r="G66" s="23">
        <v>13</v>
      </c>
      <c r="H66" s="23">
        <v>3</v>
      </c>
      <c r="I66" s="23">
        <v>0</v>
      </c>
      <c r="J66" s="23">
        <v>1</v>
      </c>
      <c r="K66" s="23">
        <v>10</v>
      </c>
      <c r="L66" s="23">
        <v>47</v>
      </c>
      <c r="M66" s="23">
        <v>9</v>
      </c>
      <c r="N66" s="23">
        <v>11</v>
      </c>
      <c r="O66" s="23">
        <v>17</v>
      </c>
      <c r="P66" s="23">
        <v>13</v>
      </c>
      <c r="Q66" s="23">
        <v>5</v>
      </c>
      <c r="R66" s="23">
        <v>0</v>
      </c>
      <c r="S66" s="23">
        <v>14</v>
      </c>
    </row>
    <row r="67" spans="1:19" hidden="1" x14ac:dyDescent="0.15">
      <c r="A67" s="54" t="s">
        <v>168</v>
      </c>
      <c r="B67" s="23">
        <v>35</v>
      </c>
      <c r="C67" s="23">
        <v>16</v>
      </c>
      <c r="D67" s="23">
        <v>21</v>
      </c>
      <c r="E67" s="23">
        <v>33</v>
      </c>
      <c r="F67" s="23">
        <v>69</v>
      </c>
      <c r="G67" s="23">
        <v>93</v>
      </c>
      <c r="H67" s="23">
        <v>4</v>
      </c>
      <c r="I67" s="23">
        <v>6</v>
      </c>
      <c r="J67" s="23">
        <v>4</v>
      </c>
      <c r="K67" s="23">
        <v>62</v>
      </c>
      <c r="L67" s="23">
        <v>92</v>
      </c>
      <c r="M67" s="23">
        <v>10</v>
      </c>
      <c r="N67" s="23">
        <v>104</v>
      </c>
      <c r="O67" s="23">
        <v>108</v>
      </c>
      <c r="P67" s="23">
        <v>47</v>
      </c>
      <c r="Q67" s="23">
        <v>38</v>
      </c>
      <c r="R67" s="23">
        <v>0</v>
      </c>
      <c r="S67" s="23">
        <v>113</v>
      </c>
    </row>
    <row r="68" spans="1:19" hidden="1" x14ac:dyDescent="0.15">
      <c r="A68" s="54" t="s">
        <v>169</v>
      </c>
      <c r="B68" s="23">
        <v>75</v>
      </c>
      <c r="C68" s="23">
        <v>19</v>
      </c>
      <c r="D68" s="23">
        <v>11</v>
      </c>
      <c r="E68" s="23">
        <v>21</v>
      </c>
      <c r="F68" s="23">
        <v>83</v>
      </c>
      <c r="G68" s="23">
        <v>113</v>
      </c>
      <c r="H68" s="23">
        <v>16</v>
      </c>
      <c r="I68" s="23">
        <v>6</v>
      </c>
      <c r="J68" s="23">
        <v>2</v>
      </c>
      <c r="K68" s="23">
        <v>63</v>
      </c>
      <c r="L68" s="23">
        <v>185</v>
      </c>
      <c r="M68" s="23">
        <v>21</v>
      </c>
      <c r="N68" s="23">
        <v>79</v>
      </c>
      <c r="O68" s="23">
        <v>113</v>
      </c>
      <c r="P68" s="23">
        <v>63</v>
      </c>
      <c r="Q68" s="23">
        <v>46</v>
      </c>
      <c r="R68" s="23">
        <v>0</v>
      </c>
      <c r="S68" s="23">
        <v>117</v>
      </c>
    </row>
    <row r="69" spans="1:19" hidden="1" x14ac:dyDescent="0.15">
      <c r="A69" s="54" t="s">
        <v>170</v>
      </c>
      <c r="B69" s="23">
        <v>32</v>
      </c>
      <c r="C69" s="23">
        <v>19</v>
      </c>
      <c r="D69" s="23">
        <v>16</v>
      </c>
      <c r="E69" s="23">
        <v>34</v>
      </c>
      <c r="F69" s="23">
        <v>50</v>
      </c>
      <c r="G69" s="23">
        <v>78</v>
      </c>
      <c r="H69" s="23">
        <v>7</v>
      </c>
      <c r="I69" s="23">
        <v>4</v>
      </c>
      <c r="J69" s="23">
        <v>3</v>
      </c>
      <c r="K69" s="23">
        <v>54</v>
      </c>
      <c r="L69" s="23">
        <v>96</v>
      </c>
      <c r="M69" s="23">
        <v>20</v>
      </c>
      <c r="N69" s="23">
        <v>87</v>
      </c>
      <c r="O69" s="23">
        <v>87</v>
      </c>
      <c r="P69" s="23">
        <v>28</v>
      </c>
      <c r="Q69" s="23">
        <v>43</v>
      </c>
      <c r="R69" s="23">
        <v>1</v>
      </c>
      <c r="S69" s="23">
        <v>86</v>
      </c>
    </row>
    <row r="70" spans="1:19" hidden="1" x14ac:dyDescent="0.15">
      <c r="A70" s="54" t="s">
        <v>171</v>
      </c>
      <c r="B70" s="23">
        <v>16</v>
      </c>
      <c r="C70" s="23">
        <v>10</v>
      </c>
      <c r="D70" s="23">
        <v>4</v>
      </c>
      <c r="E70" s="23">
        <v>6</v>
      </c>
      <c r="F70" s="23">
        <v>6</v>
      </c>
      <c r="G70" s="23">
        <v>46</v>
      </c>
      <c r="H70" s="23">
        <v>0</v>
      </c>
      <c r="I70" s="23">
        <v>2</v>
      </c>
      <c r="J70" s="23">
        <v>0</v>
      </c>
      <c r="K70" s="23">
        <v>22</v>
      </c>
      <c r="L70" s="23">
        <v>43</v>
      </c>
      <c r="M70" s="23">
        <v>6</v>
      </c>
      <c r="N70" s="23">
        <v>20</v>
      </c>
      <c r="O70" s="23">
        <v>27</v>
      </c>
      <c r="P70" s="23">
        <v>12</v>
      </c>
      <c r="Q70" s="23">
        <v>9</v>
      </c>
      <c r="R70" s="23">
        <v>0</v>
      </c>
      <c r="S70" s="23">
        <v>20</v>
      </c>
    </row>
    <row r="71" spans="1:19" hidden="1" x14ac:dyDescent="0.15">
      <c r="A71" s="54" t="s">
        <v>172</v>
      </c>
      <c r="B71" s="23">
        <v>38</v>
      </c>
      <c r="C71" s="23">
        <v>12</v>
      </c>
      <c r="D71" s="23">
        <v>6</v>
      </c>
      <c r="E71" s="23">
        <v>36</v>
      </c>
      <c r="F71" s="23">
        <v>68</v>
      </c>
      <c r="G71" s="23">
        <v>96</v>
      </c>
      <c r="H71" s="23">
        <v>14</v>
      </c>
      <c r="I71" s="23">
        <v>4</v>
      </c>
      <c r="J71" s="23">
        <v>4</v>
      </c>
      <c r="K71" s="23">
        <v>47</v>
      </c>
      <c r="L71" s="23">
        <v>148</v>
      </c>
      <c r="M71" s="23">
        <v>4</v>
      </c>
      <c r="N71" s="23">
        <v>98</v>
      </c>
      <c r="O71" s="23">
        <v>100</v>
      </c>
      <c r="P71" s="23">
        <v>36</v>
      </c>
      <c r="Q71" s="23">
        <v>54</v>
      </c>
      <c r="R71" s="23">
        <v>0</v>
      </c>
      <c r="S71" s="23">
        <v>82</v>
      </c>
    </row>
    <row r="72" spans="1:19" hidden="1" x14ac:dyDescent="0.15">
      <c r="A72" s="54" t="s">
        <v>173</v>
      </c>
      <c r="B72" s="23">
        <v>26</v>
      </c>
      <c r="C72" s="23">
        <v>13</v>
      </c>
      <c r="D72" s="23">
        <v>20</v>
      </c>
      <c r="E72" s="23">
        <v>9</v>
      </c>
      <c r="F72" s="23">
        <v>35</v>
      </c>
      <c r="G72" s="23">
        <v>52</v>
      </c>
      <c r="H72" s="23">
        <v>3</v>
      </c>
      <c r="I72" s="23">
        <v>2</v>
      </c>
      <c r="J72" s="23">
        <v>1</v>
      </c>
      <c r="K72" s="23">
        <v>22</v>
      </c>
      <c r="L72" s="23">
        <v>30</v>
      </c>
      <c r="M72" s="23">
        <v>10</v>
      </c>
      <c r="N72" s="23">
        <v>17</v>
      </c>
      <c r="O72" s="23">
        <v>60</v>
      </c>
      <c r="P72" s="23">
        <v>41</v>
      </c>
      <c r="Q72" s="23">
        <v>40</v>
      </c>
      <c r="R72" s="23">
        <v>1</v>
      </c>
      <c r="S72" s="23">
        <v>43</v>
      </c>
    </row>
    <row r="73" spans="1:19" hidden="1" x14ac:dyDescent="0.15">
      <c r="A73" s="54" t="s">
        <v>174</v>
      </c>
      <c r="B73" s="23">
        <v>31</v>
      </c>
      <c r="C73" s="23">
        <v>25</v>
      </c>
      <c r="D73" s="23">
        <v>12</v>
      </c>
      <c r="E73" s="23">
        <v>9</v>
      </c>
      <c r="F73" s="23">
        <v>29</v>
      </c>
      <c r="G73" s="23">
        <v>67</v>
      </c>
      <c r="H73" s="23">
        <v>9</v>
      </c>
      <c r="I73" s="23">
        <v>4</v>
      </c>
      <c r="J73" s="23">
        <v>5</v>
      </c>
      <c r="K73" s="23">
        <v>45</v>
      </c>
      <c r="L73" s="23">
        <v>43</v>
      </c>
      <c r="M73" s="23">
        <v>7</v>
      </c>
      <c r="N73" s="23">
        <v>61</v>
      </c>
      <c r="O73" s="23">
        <v>61</v>
      </c>
      <c r="P73" s="23">
        <v>36</v>
      </c>
      <c r="Q73" s="23">
        <v>17</v>
      </c>
      <c r="R73" s="23">
        <v>2</v>
      </c>
      <c r="S73" s="23">
        <v>54</v>
      </c>
    </row>
    <row r="74" spans="1:19" hidden="1" x14ac:dyDescent="0.15">
      <c r="A74" s="54" t="s">
        <v>175</v>
      </c>
      <c r="B74" s="23">
        <v>20</v>
      </c>
      <c r="C74" s="23">
        <v>57</v>
      </c>
      <c r="D74" s="23">
        <v>18</v>
      </c>
      <c r="E74" s="23">
        <v>37</v>
      </c>
      <c r="F74" s="23">
        <v>63</v>
      </c>
      <c r="G74" s="23">
        <v>111</v>
      </c>
      <c r="H74" s="23">
        <v>23</v>
      </c>
      <c r="I74" s="23">
        <v>7</v>
      </c>
      <c r="J74" s="23">
        <v>8</v>
      </c>
      <c r="K74" s="23">
        <v>49</v>
      </c>
      <c r="L74" s="23">
        <v>137</v>
      </c>
      <c r="M74" s="23">
        <v>9</v>
      </c>
      <c r="N74" s="23">
        <v>54</v>
      </c>
      <c r="O74" s="23">
        <v>83</v>
      </c>
      <c r="P74" s="23">
        <v>48</v>
      </c>
      <c r="Q74" s="23">
        <v>54</v>
      </c>
      <c r="R74" s="23">
        <v>2</v>
      </c>
      <c r="S74" s="23">
        <v>76</v>
      </c>
    </row>
    <row r="75" spans="1:19" hidden="1" x14ac:dyDescent="0.15">
      <c r="A75" s="54" t="s">
        <v>176</v>
      </c>
      <c r="B75" s="23">
        <v>6</v>
      </c>
      <c r="C75" s="23">
        <v>3</v>
      </c>
      <c r="D75" s="23">
        <v>0</v>
      </c>
      <c r="E75" s="23">
        <v>3</v>
      </c>
      <c r="F75" s="23">
        <v>6</v>
      </c>
      <c r="G75" s="23">
        <v>14</v>
      </c>
      <c r="H75" s="23">
        <v>3</v>
      </c>
      <c r="I75" s="23">
        <v>0</v>
      </c>
      <c r="J75" s="23">
        <v>0</v>
      </c>
      <c r="K75" s="23">
        <v>13</v>
      </c>
      <c r="L75" s="23">
        <v>2</v>
      </c>
      <c r="M75" s="23">
        <v>1</v>
      </c>
      <c r="N75" s="23">
        <v>5</v>
      </c>
      <c r="O75" s="23">
        <v>16</v>
      </c>
      <c r="P75" s="23">
        <v>8</v>
      </c>
      <c r="Q75" s="23">
        <v>5</v>
      </c>
      <c r="R75" s="23">
        <v>1</v>
      </c>
      <c r="S75" s="23">
        <v>15</v>
      </c>
    </row>
    <row r="76" spans="1:19" hidden="1" x14ac:dyDescent="0.15">
      <c r="A76" s="54" t="s">
        <v>177</v>
      </c>
      <c r="B76" s="23">
        <v>16</v>
      </c>
      <c r="C76" s="23">
        <v>5</v>
      </c>
      <c r="D76" s="23">
        <v>1</v>
      </c>
      <c r="E76" s="23">
        <v>3</v>
      </c>
      <c r="F76" s="23">
        <v>4</v>
      </c>
      <c r="G76" s="23">
        <v>38</v>
      </c>
      <c r="H76" s="23">
        <v>0</v>
      </c>
      <c r="I76" s="23">
        <v>1</v>
      </c>
      <c r="J76" s="23">
        <v>2</v>
      </c>
      <c r="K76" s="23">
        <v>18</v>
      </c>
      <c r="L76" s="23">
        <v>11</v>
      </c>
      <c r="M76" s="23">
        <v>2</v>
      </c>
      <c r="N76" s="23">
        <v>13</v>
      </c>
      <c r="O76" s="23">
        <v>17</v>
      </c>
      <c r="P76" s="23">
        <v>11</v>
      </c>
      <c r="Q76" s="23">
        <v>3</v>
      </c>
      <c r="R76" s="23">
        <v>0</v>
      </c>
      <c r="S76" s="23">
        <v>20</v>
      </c>
    </row>
    <row r="77" spans="1:19" hidden="1" x14ac:dyDescent="0.15">
      <c r="A77" s="54" t="s">
        <v>178</v>
      </c>
      <c r="B77" s="23">
        <v>0</v>
      </c>
      <c r="C77" s="23">
        <v>0</v>
      </c>
      <c r="D77" s="23">
        <v>0</v>
      </c>
      <c r="E77" s="23">
        <v>0</v>
      </c>
      <c r="F77" s="23">
        <v>0</v>
      </c>
      <c r="G77" s="23">
        <v>25</v>
      </c>
      <c r="H77" s="23">
        <v>0</v>
      </c>
      <c r="I77" s="23">
        <v>0</v>
      </c>
      <c r="J77" s="23">
        <v>0</v>
      </c>
      <c r="K77" s="23">
        <v>1</v>
      </c>
      <c r="L77" s="23">
        <v>0</v>
      </c>
      <c r="M77" s="23">
        <v>1</v>
      </c>
      <c r="N77" s="23">
        <v>0</v>
      </c>
      <c r="O77" s="23">
        <v>0</v>
      </c>
      <c r="P77" s="23">
        <v>0</v>
      </c>
      <c r="Q77" s="23">
        <v>0</v>
      </c>
      <c r="R77" s="23">
        <v>0</v>
      </c>
      <c r="S77" s="23">
        <v>0</v>
      </c>
    </row>
    <row r="78" spans="1:19" hidden="1" x14ac:dyDescent="0.15">
      <c r="A78" s="54" t="s">
        <v>179</v>
      </c>
      <c r="B78" s="23">
        <v>8</v>
      </c>
      <c r="C78" s="23">
        <v>13</v>
      </c>
      <c r="D78" s="23">
        <v>2</v>
      </c>
      <c r="E78" s="23">
        <v>6</v>
      </c>
      <c r="F78" s="23">
        <v>5</v>
      </c>
      <c r="G78" s="23">
        <v>62</v>
      </c>
      <c r="H78" s="23">
        <v>0</v>
      </c>
      <c r="I78" s="23">
        <v>2</v>
      </c>
      <c r="J78" s="23">
        <v>1</v>
      </c>
      <c r="K78" s="23">
        <v>23</v>
      </c>
      <c r="L78" s="23">
        <v>31</v>
      </c>
      <c r="M78" s="23">
        <v>0</v>
      </c>
      <c r="N78" s="23">
        <v>50</v>
      </c>
      <c r="O78" s="23">
        <v>15</v>
      </c>
      <c r="P78" s="23">
        <v>10</v>
      </c>
      <c r="Q78" s="23">
        <v>8</v>
      </c>
      <c r="R78" s="23">
        <v>0</v>
      </c>
      <c r="S78" s="23">
        <v>15</v>
      </c>
    </row>
    <row r="79" spans="1:19" hidden="1" x14ac:dyDescent="0.15">
      <c r="A79" s="54" t="s">
        <v>180</v>
      </c>
      <c r="B79" s="23">
        <v>10</v>
      </c>
      <c r="C79" s="23">
        <v>16</v>
      </c>
      <c r="D79" s="23">
        <v>0</v>
      </c>
      <c r="E79" s="23">
        <v>7</v>
      </c>
      <c r="F79" s="23">
        <v>1</v>
      </c>
      <c r="G79" s="23">
        <v>70</v>
      </c>
      <c r="H79" s="23">
        <v>0</v>
      </c>
      <c r="I79" s="23">
        <v>2</v>
      </c>
      <c r="J79" s="23">
        <v>0</v>
      </c>
      <c r="K79" s="23">
        <v>28</v>
      </c>
      <c r="L79" s="23">
        <v>28</v>
      </c>
      <c r="M79" s="23">
        <v>0</v>
      </c>
      <c r="N79" s="23">
        <v>47</v>
      </c>
      <c r="O79" s="23">
        <v>35</v>
      </c>
      <c r="P79" s="23">
        <v>29</v>
      </c>
      <c r="Q79" s="23">
        <v>11</v>
      </c>
      <c r="R79" s="23">
        <v>0</v>
      </c>
      <c r="S79" s="23">
        <v>9</v>
      </c>
    </row>
    <row r="80" spans="1:19" hidden="1" x14ac:dyDescent="0.15">
      <c r="A80" s="54" t="s">
        <v>181</v>
      </c>
      <c r="B80" s="23">
        <v>1</v>
      </c>
      <c r="C80" s="23">
        <v>1</v>
      </c>
      <c r="D80" s="23">
        <v>0</v>
      </c>
      <c r="E80" s="23">
        <v>1</v>
      </c>
      <c r="F80" s="23">
        <v>4</v>
      </c>
      <c r="G80" s="23">
        <v>7</v>
      </c>
      <c r="H80" s="23">
        <v>1</v>
      </c>
      <c r="I80" s="23">
        <v>0</v>
      </c>
      <c r="J80" s="23">
        <v>0</v>
      </c>
      <c r="K80" s="23">
        <v>2</v>
      </c>
      <c r="L80" s="23">
        <v>1</v>
      </c>
      <c r="M80" s="23">
        <v>0</v>
      </c>
      <c r="N80" s="23">
        <v>11</v>
      </c>
      <c r="O80" s="23">
        <v>14</v>
      </c>
      <c r="P80" s="23">
        <v>3</v>
      </c>
      <c r="Q80" s="23">
        <v>2</v>
      </c>
      <c r="R80" s="23">
        <v>0</v>
      </c>
      <c r="S80" s="23">
        <v>3</v>
      </c>
    </row>
    <row r="81" spans="1:19" hidden="1" x14ac:dyDescent="0.15">
      <c r="A81" s="54" t="s">
        <v>182</v>
      </c>
      <c r="B81" s="23">
        <v>5</v>
      </c>
      <c r="C81" s="23">
        <v>8</v>
      </c>
      <c r="D81" s="23">
        <v>2</v>
      </c>
      <c r="E81" s="23">
        <v>10</v>
      </c>
      <c r="F81" s="23">
        <v>4</v>
      </c>
      <c r="G81" s="23">
        <v>23</v>
      </c>
      <c r="H81" s="23">
        <v>1</v>
      </c>
      <c r="I81" s="23">
        <v>1</v>
      </c>
      <c r="J81" s="23">
        <v>0</v>
      </c>
      <c r="K81" s="23">
        <v>21</v>
      </c>
      <c r="L81" s="23">
        <v>41</v>
      </c>
      <c r="M81" s="23">
        <v>0</v>
      </c>
      <c r="N81" s="23">
        <v>10</v>
      </c>
      <c r="O81" s="23">
        <v>11</v>
      </c>
      <c r="P81" s="23">
        <v>15</v>
      </c>
      <c r="Q81" s="23">
        <v>3</v>
      </c>
      <c r="R81" s="23">
        <v>0</v>
      </c>
      <c r="S81" s="23">
        <v>17</v>
      </c>
    </row>
    <row r="82" spans="1:19" hidden="1" x14ac:dyDescent="0.15">
      <c r="A82" s="54"/>
    </row>
    <row r="83" spans="1:19" x14ac:dyDescent="0.15">
      <c r="A83" s="54"/>
    </row>
  </sheetData>
  <mergeCells count="25">
    <mergeCell ref="A58:A59"/>
    <mergeCell ref="A46:A47"/>
    <mergeCell ref="A48:A49"/>
    <mergeCell ref="A50:A51"/>
    <mergeCell ref="A52:A53"/>
    <mergeCell ref="A54:A55"/>
    <mergeCell ref="A56:A57"/>
    <mergeCell ref="A44:A45"/>
    <mergeCell ref="A18:A19"/>
    <mergeCell ref="A24:A25"/>
    <mergeCell ref="A26:A27"/>
    <mergeCell ref="A28:A29"/>
    <mergeCell ref="A30:A31"/>
    <mergeCell ref="A32:A33"/>
    <mergeCell ref="A34:A35"/>
    <mergeCell ref="A36:A37"/>
    <mergeCell ref="A38:A39"/>
    <mergeCell ref="A40:A41"/>
    <mergeCell ref="A42:A43"/>
    <mergeCell ref="A16:A17"/>
    <mergeCell ref="A4:A5"/>
    <mergeCell ref="A6:A7"/>
    <mergeCell ref="A8:A9"/>
    <mergeCell ref="A10:A11"/>
    <mergeCell ref="A14:A15"/>
  </mergeCells>
  <phoneticPr fontId="2"/>
  <pageMargins left="0.70866141732283472" right="0.70866141732283472" top="0.74803149606299213" bottom="0.74803149606299213" header="0.31496062992125984" footer="0.31496062992125984"/>
  <pageSetup paperSize="9" scale="72" orientation="portrait" r:id="rId1"/>
  <rowBreaks count="1" manualBreakCount="1">
    <brk id="20" max="9" man="1"/>
  </rowBreak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A1:U43"/>
  <sheetViews>
    <sheetView view="pageBreakPreview" zoomScaleNormal="100" zoomScaleSheetLayoutView="100" workbookViewId="0">
      <selection activeCell="A30" sqref="A30:XFD43"/>
    </sheetView>
  </sheetViews>
  <sheetFormatPr defaultColWidth="13.75" defaultRowHeight="18.75" x14ac:dyDescent="0.15"/>
  <cols>
    <col min="1" max="1" width="15.625" style="1" customWidth="1"/>
    <col min="2" max="11" width="9.375" style="1" customWidth="1"/>
    <col min="12" max="20" width="8" style="1" customWidth="1"/>
    <col min="21" max="21" width="7.625" style="1" customWidth="1"/>
    <col min="22" max="16384" width="13.75" style="1"/>
  </cols>
  <sheetData>
    <row r="1" spans="1:11" s="3" customFormat="1" ht="19.5" x14ac:dyDescent="0.15">
      <c r="A1" s="2" t="s">
        <v>502</v>
      </c>
    </row>
    <row r="2" spans="1:11" x14ac:dyDescent="0.15">
      <c r="A2" s="4"/>
    </row>
    <row r="3" spans="1:11" ht="37.5" x14ac:dyDescent="0.15">
      <c r="A3" s="508"/>
      <c r="B3" s="508" t="s">
        <v>382</v>
      </c>
      <c r="C3" s="508" t="s">
        <v>383</v>
      </c>
      <c r="D3" s="508" t="s">
        <v>384</v>
      </c>
      <c r="E3" s="508" t="s">
        <v>385</v>
      </c>
      <c r="F3" s="508" t="s">
        <v>386</v>
      </c>
      <c r="G3" s="508" t="s">
        <v>387</v>
      </c>
      <c r="H3" s="508" t="s">
        <v>388</v>
      </c>
      <c r="I3" s="508" t="s">
        <v>389</v>
      </c>
      <c r="J3" s="540" t="s">
        <v>503</v>
      </c>
      <c r="K3" s="508" t="s">
        <v>62</v>
      </c>
    </row>
    <row r="4" spans="1:11" s="22" customFormat="1" ht="18.75" customHeight="1" x14ac:dyDescent="0.15">
      <c r="A4" s="695" t="s">
        <v>2</v>
      </c>
      <c r="B4" s="509">
        <f>SUM(B32:D32)</f>
        <v>11</v>
      </c>
      <c r="C4" s="509">
        <f>SUM(E32:F32)</f>
        <v>8</v>
      </c>
      <c r="D4" s="509">
        <f>SUM(G32:J32)</f>
        <v>13</v>
      </c>
      <c r="E4" s="509">
        <f>SUM(K32:L32)</f>
        <v>12</v>
      </c>
      <c r="F4" s="509">
        <f>SUM(M32:N32)</f>
        <v>10</v>
      </c>
      <c r="G4" s="509">
        <f>SUM(O32:Q32)</f>
        <v>14</v>
      </c>
      <c r="H4" s="509">
        <f>R32</f>
        <v>31</v>
      </c>
      <c r="I4" s="509">
        <f>S32</f>
        <v>14</v>
      </c>
      <c r="J4" s="509">
        <f>SUM(T32:U32)</f>
        <v>12</v>
      </c>
      <c r="K4" s="510">
        <f>SUM(B4:J4)</f>
        <v>125</v>
      </c>
    </row>
    <row r="5" spans="1:11" s="22" customFormat="1" ht="18.75" customHeight="1" x14ac:dyDescent="0.15">
      <c r="A5" s="697"/>
      <c r="B5" s="514">
        <f>B4/B$22</f>
        <v>8.7789305666400638E-3</v>
      </c>
      <c r="C5" s="514">
        <f t="shared" ref="C5:K5" si="0">C4/C$22</f>
        <v>6.0015003750937736E-3</v>
      </c>
      <c r="D5" s="514">
        <f t="shared" si="0"/>
        <v>9.9160945842868033E-3</v>
      </c>
      <c r="E5" s="514">
        <f t="shared" si="0"/>
        <v>9.7640358014646055E-3</v>
      </c>
      <c r="F5" s="514">
        <f t="shared" si="0"/>
        <v>9.3370681605975722E-3</v>
      </c>
      <c r="G5" s="514">
        <f t="shared" si="0"/>
        <v>4.3223217042297002E-3</v>
      </c>
      <c r="H5" s="514">
        <f t="shared" si="0"/>
        <v>9.3683892414626775E-3</v>
      </c>
      <c r="I5" s="514">
        <f t="shared" si="0"/>
        <v>9.1443500979751791E-3</v>
      </c>
      <c r="J5" s="514">
        <f t="shared" si="0"/>
        <v>8.7019579405366206E-3</v>
      </c>
      <c r="K5" s="514">
        <f t="shared" si="0"/>
        <v>7.9846694346854038E-3</v>
      </c>
    </row>
    <row r="6" spans="1:11" s="22" customFormat="1" ht="18.75" customHeight="1" x14ac:dyDescent="0.15">
      <c r="A6" s="695" t="s">
        <v>3</v>
      </c>
      <c r="B6" s="509">
        <f>SUM(B33:D33)</f>
        <v>33</v>
      </c>
      <c r="C6" s="509">
        <f>SUM(E33:F33)</f>
        <v>14</v>
      </c>
      <c r="D6" s="509">
        <f>SUM(G33:J33)</f>
        <v>29</v>
      </c>
      <c r="E6" s="509">
        <f>SUM(K33:L33)</f>
        <v>25</v>
      </c>
      <c r="F6" s="509">
        <f>SUM(M33:N33)</f>
        <v>20</v>
      </c>
      <c r="G6" s="509">
        <f>SUM(O33:Q33)</f>
        <v>40</v>
      </c>
      <c r="H6" s="509">
        <f>R33</f>
        <v>95</v>
      </c>
      <c r="I6" s="509">
        <f>S33</f>
        <v>36</v>
      </c>
      <c r="J6" s="509">
        <f>SUM(T33:U33)</f>
        <v>26</v>
      </c>
      <c r="K6" s="510">
        <f>SUM(B6:J6)</f>
        <v>318</v>
      </c>
    </row>
    <row r="7" spans="1:11" s="22" customFormat="1" ht="18.75" customHeight="1" x14ac:dyDescent="0.15">
      <c r="A7" s="697"/>
      <c r="B7" s="514">
        <f>B6/B$22</f>
        <v>2.6336791699920193E-2</v>
      </c>
      <c r="C7" s="514">
        <f t="shared" ref="C7:K7" si="1">C6/C$22</f>
        <v>1.0502625656414103E-2</v>
      </c>
      <c r="D7" s="514">
        <f t="shared" si="1"/>
        <v>2.212051868802441E-2</v>
      </c>
      <c r="E7" s="514">
        <f t="shared" si="1"/>
        <v>2.034174125305126E-2</v>
      </c>
      <c r="F7" s="514">
        <f t="shared" si="1"/>
        <v>1.8674136321195144E-2</v>
      </c>
      <c r="G7" s="514">
        <f t="shared" si="1"/>
        <v>1.234949058351343E-2</v>
      </c>
      <c r="H7" s="514">
        <f t="shared" si="1"/>
        <v>2.8709579933514657E-2</v>
      </c>
      <c r="I7" s="514">
        <f t="shared" si="1"/>
        <v>2.3514043109079032E-2</v>
      </c>
      <c r="J7" s="514">
        <f t="shared" si="1"/>
        <v>1.8854242204496011E-2</v>
      </c>
      <c r="K7" s="514">
        <f t="shared" si="1"/>
        <v>2.0312999041839669E-2</v>
      </c>
    </row>
    <row r="8" spans="1:11" s="22" customFormat="1" ht="18.75" customHeight="1" x14ac:dyDescent="0.15">
      <c r="A8" s="695" t="s">
        <v>4</v>
      </c>
      <c r="B8" s="509">
        <f>SUM(B34:D34)</f>
        <v>55</v>
      </c>
      <c r="C8" s="509">
        <f>SUM(E34:F34)</f>
        <v>43</v>
      </c>
      <c r="D8" s="509">
        <f>SUM(G34:J34)</f>
        <v>66</v>
      </c>
      <c r="E8" s="509">
        <f>SUM(K34:L34)</f>
        <v>75</v>
      </c>
      <c r="F8" s="509">
        <f>SUM(M34:N34)</f>
        <v>49</v>
      </c>
      <c r="G8" s="509">
        <f>SUM(O34:Q34)</f>
        <v>95</v>
      </c>
      <c r="H8" s="509">
        <f>R34</f>
        <v>177</v>
      </c>
      <c r="I8" s="509">
        <f>S34</f>
        <v>62</v>
      </c>
      <c r="J8" s="509">
        <f>SUM(T34:U34)</f>
        <v>47</v>
      </c>
      <c r="K8" s="510">
        <f>SUM(B8:J8)</f>
        <v>669</v>
      </c>
    </row>
    <row r="9" spans="1:11" s="22" customFormat="1" ht="18.75" customHeight="1" x14ac:dyDescent="0.15">
      <c r="A9" s="697"/>
      <c r="B9" s="514">
        <f>B8/B$22</f>
        <v>4.3894652833200321E-2</v>
      </c>
      <c r="C9" s="514">
        <f t="shared" ref="C9:K9" si="2">C8/C$22</f>
        <v>3.2258064516129031E-2</v>
      </c>
      <c r="D9" s="514">
        <f t="shared" si="2"/>
        <v>5.0343249427917618E-2</v>
      </c>
      <c r="E9" s="514">
        <f t="shared" si="2"/>
        <v>6.1025223759153785E-2</v>
      </c>
      <c r="F9" s="514">
        <f t="shared" si="2"/>
        <v>4.5751633986928102E-2</v>
      </c>
      <c r="G9" s="514">
        <f t="shared" si="2"/>
        <v>2.9330040135844396E-2</v>
      </c>
      <c r="H9" s="514">
        <f t="shared" si="2"/>
        <v>5.3490480507706259E-2</v>
      </c>
      <c r="I9" s="514">
        <f t="shared" si="2"/>
        <v>4.0496407576747225E-2</v>
      </c>
      <c r="J9" s="514">
        <f t="shared" si="2"/>
        <v>3.4082668600435101E-2</v>
      </c>
      <c r="K9" s="514">
        <f t="shared" si="2"/>
        <v>4.2733950814436282E-2</v>
      </c>
    </row>
    <row r="10" spans="1:11" s="22" customFormat="1" ht="18.75" customHeight="1" x14ac:dyDescent="0.15">
      <c r="A10" s="695" t="s">
        <v>5</v>
      </c>
      <c r="B10" s="509">
        <f>SUM(B35:D35)</f>
        <v>121</v>
      </c>
      <c r="C10" s="509">
        <f>SUM(E35:F35)</f>
        <v>105</v>
      </c>
      <c r="D10" s="509">
        <f>SUM(G35:J35)</f>
        <v>186</v>
      </c>
      <c r="E10" s="509">
        <f>SUM(K35:L35)</f>
        <v>140</v>
      </c>
      <c r="F10" s="509">
        <f>SUM(M35:N35)</f>
        <v>110</v>
      </c>
      <c r="G10" s="509">
        <f>SUM(O35:Q35)</f>
        <v>229</v>
      </c>
      <c r="H10" s="509">
        <f>R35</f>
        <v>347</v>
      </c>
      <c r="I10" s="509">
        <f>S35</f>
        <v>151</v>
      </c>
      <c r="J10" s="509">
        <f>SUM(T35:U35)</f>
        <v>127</v>
      </c>
      <c r="K10" s="510">
        <f>SUM(B10:J10)</f>
        <v>1516</v>
      </c>
    </row>
    <row r="11" spans="1:11" s="22" customFormat="1" ht="18.75" customHeight="1" x14ac:dyDescent="0.15">
      <c r="A11" s="697"/>
      <c r="B11" s="514">
        <f>B10/B$22</f>
        <v>9.65682362330407E-2</v>
      </c>
      <c r="C11" s="514">
        <f t="shared" ref="C11:K11" si="3">C10/C$22</f>
        <v>7.8769692423105775E-2</v>
      </c>
      <c r="D11" s="514">
        <f t="shared" si="3"/>
        <v>0.14187643020594964</v>
      </c>
      <c r="E11" s="514">
        <f t="shared" si="3"/>
        <v>0.11391375101708706</v>
      </c>
      <c r="F11" s="514">
        <f t="shared" si="3"/>
        <v>0.10270774976657329</v>
      </c>
      <c r="G11" s="514">
        <f t="shared" si="3"/>
        <v>7.0700833590614381E-2</v>
      </c>
      <c r="H11" s="514">
        <f t="shared" si="3"/>
        <v>0.10486551828346932</v>
      </c>
      <c r="I11" s="514">
        <f t="shared" si="3"/>
        <v>9.8628347485303719E-2</v>
      </c>
      <c r="J11" s="514">
        <f t="shared" si="3"/>
        <v>9.2095721537345909E-2</v>
      </c>
      <c r="K11" s="514">
        <f t="shared" si="3"/>
        <v>9.6838070903864579E-2</v>
      </c>
    </row>
    <row r="12" spans="1:11" s="22" customFormat="1" ht="18.75" customHeight="1" x14ac:dyDescent="0.15">
      <c r="A12" s="695" t="s">
        <v>6</v>
      </c>
      <c r="B12" s="509">
        <f>SUM(B36:D36)</f>
        <v>195</v>
      </c>
      <c r="C12" s="509">
        <f>SUM(E36:F36)</f>
        <v>195</v>
      </c>
      <c r="D12" s="509">
        <f>SUM(G36:J36)</f>
        <v>232</v>
      </c>
      <c r="E12" s="509">
        <f>SUM(K36:L36)</f>
        <v>231</v>
      </c>
      <c r="F12" s="509">
        <f>SUM(M36:N36)</f>
        <v>167</v>
      </c>
      <c r="G12" s="509">
        <f>SUM(O36:Q36)</f>
        <v>384</v>
      </c>
      <c r="H12" s="509">
        <f>R36</f>
        <v>611</v>
      </c>
      <c r="I12" s="509">
        <f>S36</f>
        <v>220</v>
      </c>
      <c r="J12" s="509">
        <f>SUM(T36:U36)</f>
        <v>221</v>
      </c>
      <c r="K12" s="510">
        <f>SUM(B12:J12)</f>
        <v>2456</v>
      </c>
    </row>
    <row r="13" spans="1:11" s="22" customFormat="1" ht="18.75" customHeight="1" x14ac:dyDescent="0.15">
      <c r="A13" s="697"/>
      <c r="B13" s="514">
        <f>B12/B$22</f>
        <v>0.15562649640861931</v>
      </c>
      <c r="C13" s="514">
        <f t="shared" ref="C13:K13" si="4">C12/C$22</f>
        <v>0.14628657164291073</v>
      </c>
      <c r="D13" s="514">
        <f t="shared" si="4"/>
        <v>0.17696414950419528</v>
      </c>
      <c r="E13" s="514">
        <f t="shared" si="4"/>
        <v>0.18795768917819367</v>
      </c>
      <c r="F13" s="514">
        <f t="shared" si="4"/>
        <v>0.15592903828197946</v>
      </c>
      <c r="G13" s="514">
        <f t="shared" si="4"/>
        <v>0.11855510960172892</v>
      </c>
      <c r="H13" s="514">
        <f t="shared" si="4"/>
        <v>0.18464792988818374</v>
      </c>
      <c r="I13" s="514">
        <f t="shared" si="4"/>
        <v>0.14369693011103854</v>
      </c>
      <c r="J13" s="514">
        <f t="shared" si="4"/>
        <v>0.16026105873821611</v>
      </c>
      <c r="K13" s="514">
        <f t="shared" si="4"/>
        <v>0.15688278505269881</v>
      </c>
    </row>
    <row r="14" spans="1:11" s="22" customFormat="1" ht="18.75" customHeight="1" x14ac:dyDescent="0.15">
      <c r="A14" s="695" t="s">
        <v>7</v>
      </c>
      <c r="B14" s="509">
        <f>SUM(B37:D37)</f>
        <v>204</v>
      </c>
      <c r="C14" s="509">
        <f>SUM(E37:F37)</f>
        <v>219</v>
      </c>
      <c r="D14" s="509">
        <f>SUM(G37:J37)</f>
        <v>214</v>
      </c>
      <c r="E14" s="509">
        <f>SUM(K37:L37)</f>
        <v>230</v>
      </c>
      <c r="F14" s="509">
        <f>SUM(M37:N37)</f>
        <v>210</v>
      </c>
      <c r="G14" s="509">
        <f>SUM(O37:Q37)</f>
        <v>510</v>
      </c>
      <c r="H14" s="509">
        <f>R37</f>
        <v>650</v>
      </c>
      <c r="I14" s="509">
        <f>S37</f>
        <v>286</v>
      </c>
      <c r="J14" s="509">
        <f>SUM(T37:U37)</f>
        <v>283</v>
      </c>
      <c r="K14" s="510">
        <f>SUM(B14:J14)</f>
        <v>2806</v>
      </c>
    </row>
    <row r="15" spans="1:11" s="22" customFormat="1" ht="18.75" customHeight="1" x14ac:dyDescent="0.15">
      <c r="A15" s="697"/>
      <c r="B15" s="514">
        <f>B14/B$22</f>
        <v>0.16280925778132482</v>
      </c>
      <c r="C15" s="514">
        <f t="shared" ref="C15:K15" si="5">C14/C$22</f>
        <v>0.16429107276819205</v>
      </c>
      <c r="D15" s="514">
        <f t="shared" si="5"/>
        <v>0.16323417238749047</v>
      </c>
      <c r="E15" s="514">
        <f t="shared" si="5"/>
        <v>0.18714401952807161</v>
      </c>
      <c r="F15" s="514">
        <f t="shared" si="5"/>
        <v>0.19607843137254902</v>
      </c>
      <c r="G15" s="514">
        <f t="shared" si="5"/>
        <v>0.15745600493979622</v>
      </c>
      <c r="H15" s="514">
        <f t="shared" si="5"/>
        <v>0.19643396796615292</v>
      </c>
      <c r="I15" s="514">
        <f t="shared" si="5"/>
        <v>0.18680600914435011</v>
      </c>
      <c r="J15" s="514">
        <f t="shared" si="5"/>
        <v>0.20522117476432197</v>
      </c>
      <c r="K15" s="514">
        <f t="shared" si="5"/>
        <v>0.17923985946981794</v>
      </c>
    </row>
    <row r="16" spans="1:11" s="22" customFormat="1" ht="18.75" customHeight="1" x14ac:dyDescent="0.15">
      <c r="A16" s="695" t="s">
        <v>8</v>
      </c>
      <c r="B16" s="509">
        <f>SUM(B38:D38)</f>
        <v>349</v>
      </c>
      <c r="C16" s="509">
        <f>SUM(E38:F38)</f>
        <v>336</v>
      </c>
      <c r="D16" s="509">
        <f>SUM(G38:J38)</f>
        <v>335</v>
      </c>
      <c r="E16" s="509">
        <f>SUM(K38:L38)</f>
        <v>289</v>
      </c>
      <c r="F16" s="509">
        <f>SUM(M38:N38)</f>
        <v>283</v>
      </c>
      <c r="G16" s="509">
        <f>SUM(O38:Q38)</f>
        <v>859</v>
      </c>
      <c r="H16" s="509">
        <f>R38</f>
        <v>790</v>
      </c>
      <c r="I16" s="509">
        <f>S38</f>
        <v>405</v>
      </c>
      <c r="J16" s="509">
        <f>SUM(T38:U38)</f>
        <v>379</v>
      </c>
      <c r="K16" s="510">
        <f>SUM(B16:J16)</f>
        <v>4025</v>
      </c>
    </row>
    <row r="17" spans="1:21" s="22" customFormat="1" ht="18.75" customHeight="1" x14ac:dyDescent="0.15">
      <c r="A17" s="697"/>
      <c r="B17" s="514">
        <f>B16/B$22</f>
        <v>0.27853152434158018</v>
      </c>
      <c r="C17" s="514">
        <f t="shared" ref="C17:K17" si="6">C16/C$22</f>
        <v>0.25206301575393847</v>
      </c>
      <c r="D17" s="514">
        <f t="shared" si="6"/>
        <v>0.25553012967200611</v>
      </c>
      <c r="E17" s="514">
        <f t="shared" si="6"/>
        <v>0.23515052888527258</v>
      </c>
      <c r="F17" s="514">
        <f t="shared" si="6"/>
        <v>0.2642390289449113</v>
      </c>
      <c r="G17" s="514">
        <f t="shared" si="6"/>
        <v>0.2652053102809509</v>
      </c>
      <c r="H17" s="514">
        <f t="shared" si="6"/>
        <v>0.23874282260501661</v>
      </c>
      <c r="I17" s="514">
        <f t="shared" si="6"/>
        <v>0.26453298497713912</v>
      </c>
      <c r="J17" s="514">
        <f t="shared" si="6"/>
        <v>0.27483683828861494</v>
      </c>
      <c r="K17" s="514">
        <f t="shared" si="6"/>
        <v>0.25710635579687002</v>
      </c>
    </row>
    <row r="18" spans="1:21" s="22" customFormat="1" ht="18.75" customHeight="1" x14ac:dyDescent="0.15">
      <c r="A18" s="695" t="s">
        <v>9</v>
      </c>
      <c r="B18" s="509">
        <f>SUM(B39:D39)</f>
        <v>240</v>
      </c>
      <c r="C18" s="509">
        <f>SUM(E39:F39)</f>
        <v>321</v>
      </c>
      <c r="D18" s="509">
        <f>SUM(G39:J39)</f>
        <v>208</v>
      </c>
      <c r="E18" s="509">
        <f>SUM(K39:L39)</f>
        <v>195</v>
      </c>
      <c r="F18" s="509">
        <f>SUM(M39:N39)</f>
        <v>169</v>
      </c>
      <c r="G18" s="509">
        <f>SUM(O39:Q39)</f>
        <v>870</v>
      </c>
      <c r="H18" s="509">
        <f>R39</f>
        <v>542</v>
      </c>
      <c r="I18" s="509">
        <f>S39</f>
        <v>302</v>
      </c>
      <c r="J18" s="509">
        <f>SUM(T39:U39)</f>
        <v>228</v>
      </c>
      <c r="K18" s="510">
        <f>SUM(B18:J18)</f>
        <v>3075</v>
      </c>
    </row>
    <row r="19" spans="1:21" s="22" customFormat="1" ht="18.75" customHeight="1" x14ac:dyDescent="0.15">
      <c r="A19" s="697"/>
      <c r="B19" s="514">
        <f>B18/B$22</f>
        <v>0.19154030327214686</v>
      </c>
      <c r="C19" s="514">
        <f t="shared" ref="C19:K19" si="7">C18/C$22</f>
        <v>0.24081020255063765</v>
      </c>
      <c r="D19" s="514">
        <f t="shared" si="7"/>
        <v>0.15865751334858885</v>
      </c>
      <c r="E19" s="514">
        <f t="shared" si="7"/>
        <v>0.15866558177379983</v>
      </c>
      <c r="F19" s="514">
        <f t="shared" si="7"/>
        <v>0.15779645191409897</v>
      </c>
      <c r="G19" s="514">
        <f t="shared" si="7"/>
        <v>0.26860142019141708</v>
      </c>
      <c r="H19" s="514">
        <f t="shared" si="7"/>
        <v>0.16379570867331519</v>
      </c>
      <c r="I19" s="514">
        <f t="shared" si="7"/>
        <v>0.19725669497060744</v>
      </c>
      <c r="J19" s="514">
        <f t="shared" si="7"/>
        <v>0.16533720087019579</v>
      </c>
      <c r="K19" s="514">
        <f t="shared" si="7"/>
        <v>0.19642286809326093</v>
      </c>
    </row>
    <row r="20" spans="1:21" s="22" customFormat="1" ht="18.75" customHeight="1" x14ac:dyDescent="0.15">
      <c r="A20" s="695" t="s">
        <v>10</v>
      </c>
      <c r="B20" s="509">
        <f>SUM(B40:D40)</f>
        <v>45</v>
      </c>
      <c r="C20" s="509">
        <f>SUM(E40:F40)</f>
        <v>92</v>
      </c>
      <c r="D20" s="509">
        <f>SUM(G40:J40)</f>
        <v>28</v>
      </c>
      <c r="E20" s="509">
        <f>SUM(K40:L40)</f>
        <v>32</v>
      </c>
      <c r="F20" s="509">
        <f>SUM(M40:N40)</f>
        <v>53</v>
      </c>
      <c r="G20" s="509">
        <f>SUM(O40:Q40)</f>
        <v>238</v>
      </c>
      <c r="H20" s="509">
        <f>R40</f>
        <v>66</v>
      </c>
      <c r="I20" s="509">
        <f>S40</f>
        <v>55</v>
      </c>
      <c r="J20" s="509">
        <f>SUM(T40:U40)</f>
        <v>56</v>
      </c>
      <c r="K20" s="510">
        <f>SUM(B20:J20)</f>
        <v>665</v>
      </c>
    </row>
    <row r="21" spans="1:21" s="22" customFormat="1" ht="18.75" customHeight="1" x14ac:dyDescent="0.15">
      <c r="A21" s="697"/>
      <c r="B21" s="514">
        <f>B20/B$22</f>
        <v>3.5913806863527534E-2</v>
      </c>
      <c r="C21" s="514">
        <f t="shared" ref="C21:K21" si="8">C20/C$22</f>
        <v>6.9017254313578399E-2</v>
      </c>
      <c r="D21" s="514">
        <f t="shared" si="8"/>
        <v>2.1357742181540809E-2</v>
      </c>
      <c r="E21" s="514">
        <f t="shared" si="8"/>
        <v>2.6037428803905614E-2</v>
      </c>
      <c r="F21" s="514">
        <f t="shared" si="8"/>
        <v>4.9486461251167131E-2</v>
      </c>
      <c r="G21" s="514">
        <f t="shared" si="8"/>
        <v>7.347946897190491E-2</v>
      </c>
      <c r="H21" s="514">
        <f t="shared" si="8"/>
        <v>1.9945602901178604E-2</v>
      </c>
      <c r="I21" s="514">
        <f t="shared" si="8"/>
        <v>3.5924232527759635E-2</v>
      </c>
      <c r="J21" s="514">
        <f t="shared" si="8"/>
        <v>4.060913705583756E-2</v>
      </c>
      <c r="K21" s="514">
        <f t="shared" si="8"/>
        <v>4.247844139252635E-2</v>
      </c>
    </row>
    <row r="22" spans="1:21" s="22" customFormat="1" ht="18.75" customHeight="1" x14ac:dyDescent="0.15">
      <c r="A22" s="541" t="s">
        <v>11</v>
      </c>
      <c r="B22" s="515">
        <f>SUM(B4,B6,B8,B10,B12,B14,B16,B18,B20)</f>
        <v>1253</v>
      </c>
      <c r="C22" s="515">
        <f t="shared" ref="C22:K23" si="9">SUM(C4,C6,C8,C10,C12,C14,C16,C18,C20)</f>
        <v>1333</v>
      </c>
      <c r="D22" s="515">
        <f t="shared" si="9"/>
        <v>1311</v>
      </c>
      <c r="E22" s="515">
        <f t="shared" si="9"/>
        <v>1229</v>
      </c>
      <c r="F22" s="515">
        <f t="shared" si="9"/>
        <v>1071</v>
      </c>
      <c r="G22" s="515">
        <f t="shared" si="9"/>
        <v>3239</v>
      </c>
      <c r="H22" s="515">
        <f t="shared" si="9"/>
        <v>3309</v>
      </c>
      <c r="I22" s="515">
        <f t="shared" si="9"/>
        <v>1531</v>
      </c>
      <c r="J22" s="515">
        <f t="shared" si="9"/>
        <v>1379</v>
      </c>
      <c r="K22" s="516">
        <f>SUM(B22:J22)</f>
        <v>15655</v>
      </c>
    </row>
    <row r="23" spans="1:21" s="22" customFormat="1" ht="18.75" customHeight="1" x14ac:dyDescent="0.15">
      <c r="A23" s="542"/>
      <c r="B23" s="517">
        <f>SUM(B5,B7,B9,B11,B13,B15,B17,B19,B21)</f>
        <v>1</v>
      </c>
      <c r="C23" s="517">
        <f t="shared" si="9"/>
        <v>1</v>
      </c>
      <c r="D23" s="517">
        <f t="shared" si="9"/>
        <v>1</v>
      </c>
      <c r="E23" s="517">
        <f t="shared" si="9"/>
        <v>1</v>
      </c>
      <c r="F23" s="517">
        <f t="shared" si="9"/>
        <v>1</v>
      </c>
      <c r="G23" s="517">
        <f t="shared" si="9"/>
        <v>1</v>
      </c>
      <c r="H23" s="517">
        <f t="shared" si="9"/>
        <v>0.99999999999999989</v>
      </c>
      <c r="I23" s="517">
        <f t="shared" si="9"/>
        <v>0.99999999999999989</v>
      </c>
      <c r="J23" s="517">
        <f t="shared" si="9"/>
        <v>1</v>
      </c>
      <c r="K23" s="517">
        <f t="shared" si="9"/>
        <v>1</v>
      </c>
    </row>
    <row r="24" spans="1:21" ht="18.75" customHeight="1" x14ac:dyDescent="0.15">
      <c r="A24" s="714" t="s">
        <v>90</v>
      </c>
      <c r="B24" s="510">
        <f>B22-B26</f>
        <v>518</v>
      </c>
      <c r="C24" s="510">
        <f t="shared" ref="C24:J24" si="10">C22-C26</f>
        <v>463</v>
      </c>
      <c r="D24" s="510">
        <f t="shared" si="10"/>
        <v>614</v>
      </c>
      <c r="E24" s="510">
        <f t="shared" si="10"/>
        <v>576</v>
      </c>
      <c r="F24" s="510">
        <f t="shared" si="10"/>
        <v>452</v>
      </c>
      <c r="G24" s="510">
        <f t="shared" si="10"/>
        <v>979</v>
      </c>
      <c r="H24" s="510">
        <f t="shared" si="10"/>
        <v>1563</v>
      </c>
      <c r="I24" s="510">
        <f t="shared" si="10"/>
        <v>610</v>
      </c>
      <c r="J24" s="510">
        <f t="shared" si="10"/>
        <v>555</v>
      </c>
      <c r="K24" s="510">
        <f>SUM(B24:J24)</f>
        <v>6330</v>
      </c>
    </row>
    <row r="25" spans="1:21" ht="18.75" customHeight="1" x14ac:dyDescent="0.15">
      <c r="A25" s="715"/>
      <c r="B25" s="518">
        <f>B24/B$22</f>
        <v>0.41340782122905029</v>
      </c>
      <c r="C25" s="518">
        <f t="shared" ref="C25:K25" si="11">C24/C$22</f>
        <v>0.34733683420855216</v>
      </c>
      <c r="D25" s="518">
        <f t="shared" si="11"/>
        <v>0.46834477498093058</v>
      </c>
      <c r="E25" s="518">
        <f t="shared" si="11"/>
        <v>0.46867371847030104</v>
      </c>
      <c r="F25" s="518">
        <f t="shared" si="11"/>
        <v>0.42203548085901027</v>
      </c>
      <c r="G25" s="518">
        <f t="shared" si="11"/>
        <v>0.30225378203149122</v>
      </c>
      <c r="H25" s="518">
        <f t="shared" si="11"/>
        <v>0.47234814143245696</v>
      </c>
      <c r="I25" s="518">
        <f t="shared" si="11"/>
        <v>0.39843239712606138</v>
      </c>
      <c r="J25" s="518">
        <f t="shared" si="11"/>
        <v>0.40246555474981871</v>
      </c>
      <c r="K25" s="518">
        <f t="shared" si="11"/>
        <v>0.40434366017246887</v>
      </c>
    </row>
    <row r="26" spans="1:21" ht="18.75" customHeight="1" x14ac:dyDescent="0.15">
      <c r="A26" s="714" t="s">
        <v>91</v>
      </c>
      <c r="B26" s="509">
        <f>SUM(B42:D42)</f>
        <v>735</v>
      </c>
      <c r="C26" s="509">
        <f>SUM(E42:F42)</f>
        <v>870</v>
      </c>
      <c r="D26" s="509">
        <f>SUM(G42:J42)</f>
        <v>697</v>
      </c>
      <c r="E26" s="509">
        <f>SUM(K42:L42)</f>
        <v>653</v>
      </c>
      <c r="F26" s="509">
        <f>SUM(M42:N42)</f>
        <v>619</v>
      </c>
      <c r="G26" s="509">
        <f>SUM(O42:Q42)</f>
        <v>2260</v>
      </c>
      <c r="H26" s="509">
        <f>R42</f>
        <v>1746</v>
      </c>
      <c r="I26" s="509">
        <f>S42</f>
        <v>921</v>
      </c>
      <c r="J26" s="509">
        <f>SUM(T42:U42)</f>
        <v>824</v>
      </c>
      <c r="K26" s="510">
        <f>SUM(B26:J26)</f>
        <v>9325</v>
      </c>
    </row>
    <row r="27" spans="1:21" ht="18.75" customHeight="1" x14ac:dyDescent="0.15">
      <c r="A27" s="715"/>
      <c r="B27" s="518">
        <f>B26/B$22</f>
        <v>0.58659217877094971</v>
      </c>
      <c r="C27" s="518">
        <f t="shared" ref="C27:K27" si="12">C26/C$22</f>
        <v>0.6526631657914479</v>
      </c>
      <c r="D27" s="518">
        <f t="shared" si="12"/>
        <v>0.53165522501906937</v>
      </c>
      <c r="E27" s="518">
        <f t="shared" si="12"/>
        <v>0.53132628152969896</v>
      </c>
      <c r="F27" s="518">
        <f t="shared" si="12"/>
        <v>0.57796451914098967</v>
      </c>
      <c r="G27" s="518">
        <f t="shared" si="12"/>
        <v>0.69774621796850878</v>
      </c>
      <c r="H27" s="518">
        <f t="shared" si="12"/>
        <v>0.52765185856754304</v>
      </c>
      <c r="I27" s="518">
        <f t="shared" si="12"/>
        <v>0.60156760287393862</v>
      </c>
      <c r="J27" s="518">
        <f t="shared" si="12"/>
        <v>0.59753444525018129</v>
      </c>
      <c r="K27" s="518">
        <f t="shared" si="12"/>
        <v>0.59565633982753119</v>
      </c>
    </row>
    <row r="29" spans="1:21" x14ac:dyDescent="0.15">
      <c r="A29" s="54"/>
    </row>
    <row r="30" spans="1:21" hidden="1" x14ac:dyDescent="0.15"/>
    <row r="31" spans="1:21" hidden="1" x14ac:dyDescent="0.15">
      <c r="A31" s="543" t="s">
        <v>63</v>
      </c>
      <c r="B31" s="543" t="s">
        <v>390</v>
      </c>
      <c r="C31" s="543" t="s">
        <v>391</v>
      </c>
      <c r="D31" s="543" t="s">
        <v>392</v>
      </c>
      <c r="E31" s="543" t="s">
        <v>393</v>
      </c>
      <c r="F31" s="543" t="s">
        <v>394</v>
      </c>
      <c r="G31" s="543" t="s">
        <v>395</v>
      </c>
      <c r="H31" s="543" t="s">
        <v>396</v>
      </c>
      <c r="I31" s="543" t="s">
        <v>397</v>
      </c>
      <c r="J31" s="543" t="s">
        <v>398</v>
      </c>
      <c r="K31" s="543" t="s">
        <v>399</v>
      </c>
      <c r="L31" s="543" t="s">
        <v>400</v>
      </c>
      <c r="M31" s="543" t="s">
        <v>401</v>
      </c>
      <c r="N31" s="543" t="s">
        <v>402</v>
      </c>
      <c r="O31" s="543" t="s">
        <v>403</v>
      </c>
      <c r="P31" s="543" t="s">
        <v>404</v>
      </c>
      <c r="Q31" s="543" t="s">
        <v>405</v>
      </c>
      <c r="R31" s="543" t="s">
        <v>406</v>
      </c>
      <c r="S31" s="543" t="s">
        <v>407</v>
      </c>
      <c r="T31" s="543" t="s">
        <v>504</v>
      </c>
      <c r="U31" s="55" t="s">
        <v>505</v>
      </c>
    </row>
    <row r="32" spans="1:21" hidden="1" x14ac:dyDescent="0.15">
      <c r="A32" s="34" t="s">
        <v>506</v>
      </c>
      <c r="B32" s="23">
        <v>5</v>
      </c>
      <c r="C32" s="23">
        <v>6</v>
      </c>
      <c r="D32" s="23"/>
      <c r="E32" s="23">
        <v>4</v>
      </c>
      <c r="F32" s="23">
        <v>4</v>
      </c>
      <c r="G32" s="23">
        <v>4</v>
      </c>
      <c r="H32" s="23">
        <v>3</v>
      </c>
      <c r="I32" s="23">
        <v>1</v>
      </c>
      <c r="J32" s="23">
        <v>5</v>
      </c>
      <c r="K32" s="23">
        <v>4</v>
      </c>
      <c r="L32" s="23">
        <v>8</v>
      </c>
      <c r="M32" s="23">
        <v>3</v>
      </c>
      <c r="N32" s="23">
        <v>7</v>
      </c>
      <c r="O32" s="23">
        <v>5</v>
      </c>
      <c r="P32" s="23">
        <v>5</v>
      </c>
      <c r="Q32" s="23">
        <v>4</v>
      </c>
      <c r="R32" s="23">
        <v>31</v>
      </c>
      <c r="S32" s="23">
        <v>14</v>
      </c>
      <c r="T32" s="23">
        <v>12</v>
      </c>
      <c r="U32" s="23"/>
    </row>
    <row r="33" spans="1:21" hidden="1" x14ac:dyDescent="0.15">
      <c r="A33" s="34" t="s">
        <v>507</v>
      </c>
      <c r="B33" s="23">
        <v>9</v>
      </c>
      <c r="C33" s="23">
        <v>15</v>
      </c>
      <c r="D33" s="23">
        <v>9</v>
      </c>
      <c r="E33" s="23">
        <v>7</v>
      </c>
      <c r="F33" s="23">
        <v>7</v>
      </c>
      <c r="G33" s="23">
        <v>14</v>
      </c>
      <c r="H33" s="23">
        <v>5</v>
      </c>
      <c r="I33" s="23">
        <v>7</v>
      </c>
      <c r="J33" s="23">
        <v>3</v>
      </c>
      <c r="K33" s="23">
        <v>14</v>
      </c>
      <c r="L33" s="23">
        <v>11</v>
      </c>
      <c r="M33" s="23">
        <v>11</v>
      </c>
      <c r="N33" s="23">
        <v>9</v>
      </c>
      <c r="O33" s="23">
        <v>9</v>
      </c>
      <c r="P33" s="23">
        <v>19</v>
      </c>
      <c r="Q33" s="23">
        <v>12</v>
      </c>
      <c r="R33" s="23">
        <v>95</v>
      </c>
      <c r="S33" s="23">
        <v>36</v>
      </c>
      <c r="T33" s="23">
        <v>25</v>
      </c>
      <c r="U33" s="23">
        <v>1</v>
      </c>
    </row>
    <row r="34" spans="1:21" hidden="1" x14ac:dyDescent="0.15">
      <c r="A34" s="34" t="s">
        <v>508</v>
      </c>
      <c r="B34" s="23">
        <v>13</v>
      </c>
      <c r="C34" s="23">
        <v>20</v>
      </c>
      <c r="D34" s="23">
        <v>22</v>
      </c>
      <c r="E34" s="23">
        <v>20</v>
      </c>
      <c r="F34" s="23">
        <v>23</v>
      </c>
      <c r="G34" s="23">
        <v>23</v>
      </c>
      <c r="H34" s="23">
        <v>14</v>
      </c>
      <c r="I34" s="23">
        <v>19</v>
      </c>
      <c r="J34" s="23">
        <v>10</v>
      </c>
      <c r="K34" s="23">
        <v>46</v>
      </c>
      <c r="L34" s="23">
        <v>29</v>
      </c>
      <c r="M34" s="23">
        <v>28</v>
      </c>
      <c r="N34" s="23">
        <v>21</v>
      </c>
      <c r="O34" s="23">
        <v>27</v>
      </c>
      <c r="P34" s="23">
        <v>39</v>
      </c>
      <c r="Q34" s="23">
        <v>29</v>
      </c>
      <c r="R34" s="23">
        <v>177</v>
      </c>
      <c r="S34" s="23">
        <v>62</v>
      </c>
      <c r="T34" s="23">
        <v>39</v>
      </c>
      <c r="U34" s="23">
        <v>8</v>
      </c>
    </row>
    <row r="35" spans="1:21" hidden="1" x14ac:dyDescent="0.15">
      <c r="A35" s="34" t="s">
        <v>509</v>
      </c>
      <c r="B35" s="23">
        <v>28</v>
      </c>
      <c r="C35" s="23">
        <v>50</v>
      </c>
      <c r="D35" s="23">
        <v>43</v>
      </c>
      <c r="E35" s="23">
        <v>66</v>
      </c>
      <c r="F35" s="23">
        <v>39</v>
      </c>
      <c r="G35" s="23">
        <v>67</v>
      </c>
      <c r="H35" s="23">
        <v>50</v>
      </c>
      <c r="I35" s="23">
        <v>43</v>
      </c>
      <c r="J35" s="23">
        <v>26</v>
      </c>
      <c r="K35" s="23">
        <v>83</v>
      </c>
      <c r="L35" s="23">
        <v>57</v>
      </c>
      <c r="M35" s="23">
        <v>47</v>
      </c>
      <c r="N35" s="23">
        <v>63</v>
      </c>
      <c r="O35" s="23">
        <v>74</v>
      </c>
      <c r="P35" s="23">
        <v>90</v>
      </c>
      <c r="Q35" s="23">
        <v>65</v>
      </c>
      <c r="R35" s="23">
        <v>347</v>
      </c>
      <c r="S35" s="23">
        <v>151</v>
      </c>
      <c r="T35" s="23">
        <v>106</v>
      </c>
      <c r="U35" s="23">
        <v>21</v>
      </c>
    </row>
    <row r="36" spans="1:21" hidden="1" x14ac:dyDescent="0.15">
      <c r="A36" s="34" t="s">
        <v>510</v>
      </c>
      <c r="B36" s="23">
        <v>50</v>
      </c>
      <c r="C36" s="23">
        <v>63</v>
      </c>
      <c r="D36" s="23">
        <v>82</v>
      </c>
      <c r="E36" s="23">
        <v>97</v>
      </c>
      <c r="F36" s="23">
        <v>98</v>
      </c>
      <c r="G36" s="23">
        <v>87</v>
      </c>
      <c r="H36" s="23">
        <v>46</v>
      </c>
      <c r="I36" s="23">
        <v>55</v>
      </c>
      <c r="J36" s="23">
        <v>44</v>
      </c>
      <c r="K36" s="23">
        <v>142</v>
      </c>
      <c r="L36" s="23">
        <v>89</v>
      </c>
      <c r="M36" s="23">
        <v>72</v>
      </c>
      <c r="N36" s="23">
        <v>95</v>
      </c>
      <c r="O36" s="23">
        <v>115</v>
      </c>
      <c r="P36" s="23">
        <v>158</v>
      </c>
      <c r="Q36" s="23">
        <v>111</v>
      </c>
      <c r="R36" s="23">
        <v>611</v>
      </c>
      <c r="S36" s="23">
        <v>220</v>
      </c>
      <c r="T36" s="23">
        <v>186</v>
      </c>
      <c r="U36" s="23">
        <v>35</v>
      </c>
    </row>
    <row r="37" spans="1:21" hidden="1" x14ac:dyDescent="0.15">
      <c r="A37" s="34" t="s">
        <v>511</v>
      </c>
      <c r="B37" s="23">
        <v>61</v>
      </c>
      <c r="C37" s="23">
        <v>79</v>
      </c>
      <c r="D37" s="23">
        <v>64</v>
      </c>
      <c r="E37" s="23">
        <v>118</v>
      </c>
      <c r="F37" s="23">
        <v>101</v>
      </c>
      <c r="G37" s="23">
        <v>63</v>
      </c>
      <c r="H37" s="23">
        <v>34</v>
      </c>
      <c r="I37" s="23">
        <v>76</v>
      </c>
      <c r="J37" s="23">
        <v>41</v>
      </c>
      <c r="K37" s="23">
        <v>144</v>
      </c>
      <c r="L37" s="23">
        <v>86</v>
      </c>
      <c r="M37" s="23">
        <v>89</v>
      </c>
      <c r="N37" s="23">
        <v>121</v>
      </c>
      <c r="O37" s="23">
        <v>159</v>
      </c>
      <c r="P37" s="23">
        <v>213</v>
      </c>
      <c r="Q37" s="23">
        <v>138</v>
      </c>
      <c r="R37" s="23">
        <v>650</v>
      </c>
      <c r="S37" s="23">
        <v>286</v>
      </c>
      <c r="T37" s="23">
        <v>249</v>
      </c>
      <c r="U37" s="23">
        <v>34</v>
      </c>
    </row>
    <row r="38" spans="1:21" hidden="1" x14ac:dyDescent="0.15">
      <c r="A38" s="34" t="s">
        <v>512</v>
      </c>
      <c r="B38" s="23">
        <v>92</v>
      </c>
      <c r="C38" s="23">
        <v>131</v>
      </c>
      <c r="D38" s="23">
        <v>126</v>
      </c>
      <c r="E38" s="23">
        <v>174</v>
      </c>
      <c r="F38" s="23">
        <v>162</v>
      </c>
      <c r="G38" s="23">
        <v>100</v>
      </c>
      <c r="H38" s="23">
        <v>59</v>
      </c>
      <c r="I38" s="23">
        <v>99</v>
      </c>
      <c r="J38" s="23">
        <v>77</v>
      </c>
      <c r="K38" s="23">
        <v>187</v>
      </c>
      <c r="L38" s="23">
        <v>102</v>
      </c>
      <c r="M38" s="23">
        <v>140</v>
      </c>
      <c r="N38" s="23">
        <v>143</v>
      </c>
      <c r="O38" s="23">
        <v>232</v>
      </c>
      <c r="P38" s="23">
        <v>357</v>
      </c>
      <c r="Q38" s="23">
        <v>270</v>
      </c>
      <c r="R38" s="23">
        <v>790</v>
      </c>
      <c r="S38" s="23">
        <v>405</v>
      </c>
      <c r="T38" s="23">
        <v>337</v>
      </c>
      <c r="U38" s="23">
        <v>42</v>
      </c>
    </row>
    <row r="39" spans="1:21" hidden="1" x14ac:dyDescent="0.15">
      <c r="A39" s="34" t="s">
        <v>513</v>
      </c>
      <c r="B39" s="23">
        <v>82</v>
      </c>
      <c r="C39" s="23">
        <v>92</v>
      </c>
      <c r="D39" s="23">
        <v>66</v>
      </c>
      <c r="E39" s="23">
        <v>172</v>
      </c>
      <c r="F39" s="23">
        <v>149</v>
      </c>
      <c r="G39" s="23">
        <v>68</v>
      </c>
      <c r="H39" s="23">
        <v>30</v>
      </c>
      <c r="I39" s="23">
        <v>59</v>
      </c>
      <c r="J39" s="23">
        <v>51</v>
      </c>
      <c r="K39" s="23">
        <v>114</v>
      </c>
      <c r="L39" s="23">
        <v>81</v>
      </c>
      <c r="M39" s="23">
        <v>82</v>
      </c>
      <c r="N39" s="23">
        <v>87</v>
      </c>
      <c r="O39" s="23">
        <v>229</v>
      </c>
      <c r="P39" s="23">
        <v>359</v>
      </c>
      <c r="Q39" s="23">
        <v>282</v>
      </c>
      <c r="R39" s="23">
        <v>542</v>
      </c>
      <c r="S39" s="23">
        <v>302</v>
      </c>
      <c r="T39" s="23">
        <v>213</v>
      </c>
      <c r="U39" s="23">
        <v>15</v>
      </c>
    </row>
    <row r="40" spans="1:21" hidden="1" x14ac:dyDescent="0.15">
      <c r="A40" s="34" t="s">
        <v>514</v>
      </c>
      <c r="B40" s="23">
        <v>8</v>
      </c>
      <c r="C40" s="23">
        <v>17</v>
      </c>
      <c r="D40" s="23">
        <v>20</v>
      </c>
      <c r="E40" s="23">
        <v>53</v>
      </c>
      <c r="F40" s="23">
        <v>39</v>
      </c>
      <c r="G40" s="23">
        <v>11</v>
      </c>
      <c r="H40" s="23">
        <v>8</v>
      </c>
      <c r="I40" s="23">
        <v>3</v>
      </c>
      <c r="J40" s="23">
        <v>6</v>
      </c>
      <c r="K40" s="23">
        <v>16</v>
      </c>
      <c r="L40" s="23">
        <v>16</v>
      </c>
      <c r="M40" s="23">
        <v>20</v>
      </c>
      <c r="N40" s="23">
        <v>33</v>
      </c>
      <c r="O40" s="23">
        <v>64</v>
      </c>
      <c r="P40" s="23">
        <v>107</v>
      </c>
      <c r="Q40" s="23">
        <v>67</v>
      </c>
      <c r="R40" s="23">
        <v>66</v>
      </c>
      <c r="S40" s="23">
        <v>55</v>
      </c>
      <c r="T40" s="23">
        <v>53</v>
      </c>
      <c r="U40" s="23">
        <v>3</v>
      </c>
    </row>
    <row r="41" spans="1:21" hidden="1" x14ac:dyDescent="0.15">
      <c r="A41" s="378"/>
      <c r="B41" s="378" t="s">
        <v>390</v>
      </c>
      <c r="C41" s="378" t="s">
        <v>391</v>
      </c>
      <c r="D41" s="378" t="s">
        <v>392</v>
      </c>
      <c r="E41" s="378" t="s">
        <v>393</v>
      </c>
      <c r="F41" s="378" t="s">
        <v>394</v>
      </c>
      <c r="G41" s="378" t="s">
        <v>395</v>
      </c>
      <c r="H41" s="378" t="s">
        <v>396</v>
      </c>
      <c r="I41" s="378" t="s">
        <v>397</v>
      </c>
      <c r="J41" s="378" t="s">
        <v>398</v>
      </c>
      <c r="K41" s="378" t="s">
        <v>399</v>
      </c>
      <c r="L41" s="378" t="s">
        <v>400</v>
      </c>
      <c r="M41" s="378" t="s">
        <v>401</v>
      </c>
      <c r="N41" s="378" t="s">
        <v>402</v>
      </c>
      <c r="O41" s="378" t="s">
        <v>403</v>
      </c>
      <c r="P41" s="378" t="s">
        <v>404</v>
      </c>
      <c r="Q41" s="378" t="s">
        <v>405</v>
      </c>
      <c r="R41" s="378" t="s">
        <v>406</v>
      </c>
      <c r="S41" s="378" t="s">
        <v>407</v>
      </c>
      <c r="T41" s="378" t="s">
        <v>504</v>
      </c>
      <c r="U41" s="43" t="s">
        <v>505</v>
      </c>
    </row>
    <row r="42" spans="1:21" hidden="1" x14ac:dyDescent="0.15">
      <c r="A42" s="34" t="s">
        <v>91</v>
      </c>
      <c r="B42" s="544">
        <v>216</v>
      </c>
      <c r="C42" s="544">
        <v>277</v>
      </c>
      <c r="D42" s="544">
        <v>242</v>
      </c>
      <c r="E42" s="544">
        <v>463</v>
      </c>
      <c r="F42" s="544">
        <v>407</v>
      </c>
      <c r="G42" s="544">
        <v>216</v>
      </c>
      <c r="H42" s="544">
        <v>114</v>
      </c>
      <c r="I42" s="544">
        <v>209</v>
      </c>
      <c r="J42" s="544">
        <v>158</v>
      </c>
      <c r="K42" s="544">
        <v>401</v>
      </c>
      <c r="L42" s="544">
        <v>252</v>
      </c>
      <c r="M42" s="544">
        <v>295</v>
      </c>
      <c r="N42" s="544">
        <v>324</v>
      </c>
      <c r="O42" s="544">
        <v>620</v>
      </c>
      <c r="P42" s="544">
        <v>942</v>
      </c>
      <c r="Q42" s="544">
        <v>698</v>
      </c>
      <c r="R42" s="544">
        <v>1746</v>
      </c>
      <c r="S42" s="544">
        <v>921</v>
      </c>
      <c r="T42" s="544">
        <v>742</v>
      </c>
      <c r="U42" s="544">
        <v>82</v>
      </c>
    </row>
    <row r="43" spans="1:21" hidden="1" x14ac:dyDescent="0.15"/>
  </sheetData>
  <mergeCells count="11">
    <mergeCell ref="A16:A17"/>
    <mergeCell ref="A18:A19"/>
    <mergeCell ref="A20:A21"/>
    <mergeCell ref="A24:A25"/>
    <mergeCell ref="A26:A27"/>
    <mergeCell ref="A14:A15"/>
    <mergeCell ref="A4:A5"/>
    <mergeCell ref="A6:A7"/>
    <mergeCell ref="A8:A9"/>
    <mergeCell ref="A10:A11"/>
    <mergeCell ref="A12:A13"/>
  </mergeCells>
  <phoneticPr fontId="2"/>
  <printOptions horizontalCentered="1"/>
  <pageMargins left="0.70866141732283472" right="0.70866141732283472" top="0.74803149606299213" bottom="0.74803149606299213" header="0.31496062992125984" footer="0.31496062992125984"/>
  <pageSetup paperSize="9" scale="81"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A1:U28"/>
  <sheetViews>
    <sheetView view="pageBreakPreview" zoomScaleNormal="100" zoomScaleSheetLayoutView="100" workbookViewId="0">
      <selection activeCell="A17" sqref="A17:XFD28"/>
    </sheetView>
  </sheetViews>
  <sheetFormatPr defaultColWidth="13.75" defaultRowHeight="18.75" x14ac:dyDescent="0.15"/>
  <cols>
    <col min="1" max="1" width="13.75" style="1" customWidth="1"/>
    <col min="2" max="11" width="8.625" style="1" customWidth="1"/>
    <col min="12" max="19" width="7.625" style="1" customWidth="1"/>
    <col min="20" max="21" width="7.5" style="1" customWidth="1"/>
    <col min="22" max="16384" width="13.75" style="1"/>
  </cols>
  <sheetData>
    <row r="1" spans="1:11" s="3" customFormat="1" ht="19.5" x14ac:dyDescent="0.15">
      <c r="A1" s="2" t="s">
        <v>515</v>
      </c>
    </row>
    <row r="2" spans="1:11" x14ac:dyDescent="0.15">
      <c r="A2" s="4"/>
    </row>
    <row r="3" spans="1:11" ht="37.5" x14ac:dyDescent="0.15">
      <c r="A3" s="508"/>
      <c r="B3" s="508" t="s">
        <v>382</v>
      </c>
      <c r="C3" s="508" t="s">
        <v>383</v>
      </c>
      <c r="D3" s="508" t="s">
        <v>384</v>
      </c>
      <c r="E3" s="508" t="s">
        <v>385</v>
      </c>
      <c r="F3" s="508" t="s">
        <v>386</v>
      </c>
      <c r="G3" s="508" t="s">
        <v>387</v>
      </c>
      <c r="H3" s="508" t="s">
        <v>388</v>
      </c>
      <c r="I3" s="508" t="s">
        <v>389</v>
      </c>
      <c r="J3" s="540" t="s">
        <v>503</v>
      </c>
      <c r="K3" s="508" t="s">
        <v>62</v>
      </c>
    </row>
    <row r="4" spans="1:11" s="22" customFormat="1" ht="18.75" customHeight="1" x14ac:dyDescent="0.15">
      <c r="A4" s="519" t="s">
        <v>409</v>
      </c>
      <c r="B4" s="509">
        <f>SUM(B20:D20,B26:D26)</f>
        <v>4</v>
      </c>
      <c r="C4" s="509">
        <f>SUM(E20:F20,E26:F26)</f>
        <v>2</v>
      </c>
      <c r="D4" s="509">
        <f>SUM(G20:J20,G26:J26)</f>
        <v>11</v>
      </c>
      <c r="E4" s="509">
        <f>SUM(K20:L20,K26:L26)</f>
        <v>7</v>
      </c>
      <c r="F4" s="509">
        <f>SUM(M20:N20,M26:N26)</f>
        <v>7</v>
      </c>
      <c r="G4" s="509">
        <f>SUM(O20:Q20,O26:Q26)</f>
        <v>8</v>
      </c>
      <c r="H4" s="509">
        <f>SUM(R20,R26)</f>
        <v>35</v>
      </c>
      <c r="I4" s="509">
        <f>SUM(S20,S26)</f>
        <v>6</v>
      </c>
      <c r="J4" s="509">
        <f>SUM(T20:U20,T26:U26)</f>
        <v>11</v>
      </c>
      <c r="K4" s="510">
        <f>SUM(B4:J4)</f>
        <v>91</v>
      </c>
    </row>
    <row r="5" spans="1:11" s="22" customFormat="1" ht="18.75" customHeight="1" x14ac:dyDescent="0.15">
      <c r="A5" s="521" t="s">
        <v>377</v>
      </c>
      <c r="B5" s="514">
        <f t="shared" ref="B5:J5" si="0">B4/B$14</f>
        <v>3.1923383878691143E-3</v>
      </c>
      <c r="C5" s="514">
        <f t="shared" si="0"/>
        <v>1.5003750937734434E-3</v>
      </c>
      <c r="D5" s="514">
        <f t="shared" si="0"/>
        <v>8.3905415713196041E-3</v>
      </c>
      <c r="E5" s="514">
        <f t="shared" si="0"/>
        <v>5.6956875508543531E-3</v>
      </c>
      <c r="F5" s="514">
        <f t="shared" si="0"/>
        <v>6.5359477124183009E-3</v>
      </c>
      <c r="G5" s="514">
        <f t="shared" si="0"/>
        <v>2.469898116702686E-3</v>
      </c>
      <c r="H5" s="514">
        <f t="shared" si="0"/>
        <v>1.0577213659715926E-2</v>
      </c>
      <c r="I5" s="514">
        <f t="shared" si="0"/>
        <v>3.9190071848465057E-3</v>
      </c>
      <c r="J5" s="514">
        <f t="shared" si="0"/>
        <v>7.9767947788252358E-3</v>
      </c>
      <c r="K5" s="514">
        <f>K4/K$14</f>
        <v>5.812839348450974E-3</v>
      </c>
    </row>
    <row r="6" spans="1:11" s="22" customFormat="1" ht="18.75" customHeight="1" x14ac:dyDescent="0.15">
      <c r="A6" s="695" t="s">
        <v>15</v>
      </c>
      <c r="B6" s="509">
        <f>SUM(B21:D21)</f>
        <v>664</v>
      </c>
      <c r="C6" s="509">
        <f>SUM(E21:F21)</f>
        <v>903</v>
      </c>
      <c r="D6" s="509">
        <f>SUM(G21:J21)</f>
        <v>773</v>
      </c>
      <c r="E6" s="509">
        <f>SUM(K21:L21)</f>
        <v>627</v>
      </c>
      <c r="F6" s="509">
        <f>SUM(M21:N21)</f>
        <v>523</v>
      </c>
      <c r="G6" s="509">
        <f>SUM(O21:Q21)</f>
        <v>1665</v>
      </c>
      <c r="H6" s="509">
        <f>R21</f>
        <v>1703</v>
      </c>
      <c r="I6" s="509">
        <f>S21</f>
        <v>875</v>
      </c>
      <c r="J6" s="509">
        <f>SUM(T21:U21)</f>
        <v>658</v>
      </c>
      <c r="K6" s="510">
        <f>SUM(B6:J6)</f>
        <v>8391</v>
      </c>
    </row>
    <row r="7" spans="1:11" s="22" customFormat="1" ht="18.75" customHeight="1" x14ac:dyDescent="0.15">
      <c r="A7" s="697"/>
      <c r="B7" s="514">
        <f t="shared" ref="B7:J7" si="1">B6/B$14</f>
        <v>0.52992817238627299</v>
      </c>
      <c r="C7" s="514">
        <f t="shared" si="1"/>
        <v>0.67741935483870963</v>
      </c>
      <c r="D7" s="514">
        <f t="shared" si="1"/>
        <v>0.58962623951182302</v>
      </c>
      <c r="E7" s="514">
        <f t="shared" si="1"/>
        <v>0.51017087062652566</v>
      </c>
      <c r="F7" s="514">
        <f t="shared" si="1"/>
        <v>0.48832866479925302</v>
      </c>
      <c r="G7" s="514">
        <f t="shared" si="1"/>
        <v>0.51404754553874654</v>
      </c>
      <c r="H7" s="514">
        <f t="shared" si="1"/>
        <v>0.51465699607132065</v>
      </c>
      <c r="I7" s="514">
        <f t="shared" si="1"/>
        <v>0.57152188112344871</v>
      </c>
      <c r="J7" s="514">
        <f t="shared" si="1"/>
        <v>0.47715736040609136</v>
      </c>
      <c r="K7" s="514">
        <f>K6/K$14</f>
        <v>0.53599488981156185</v>
      </c>
    </row>
    <row r="8" spans="1:11" s="22" customFormat="1" ht="18.75" customHeight="1" x14ac:dyDescent="0.15">
      <c r="A8" s="695" t="s">
        <v>16</v>
      </c>
      <c r="B8" s="509">
        <f>SUM(B22:D22)</f>
        <v>579</v>
      </c>
      <c r="C8" s="509">
        <f>SUM(E22:F22)</f>
        <v>427</v>
      </c>
      <c r="D8" s="509">
        <f>SUM(G22:J22)</f>
        <v>520</v>
      </c>
      <c r="E8" s="509">
        <f>SUM(K22:L22)</f>
        <v>591</v>
      </c>
      <c r="F8" s="509">
        <f>SUM(M22:N22)</f>
        <v>538</v>
      </c>
      <c r="G8" s="509">
        <f>SUM(O22:Q22)</f>
        <v>1564</v>
      </c>
      <c r="H8" s="509">
        <f>R22</f>
        <v>1561</v>
      </c>
      <c r="I8" s="509">
        <f>S22</f>
        <v>649</v>
      </c>
      <c r="J8" s="509">
        <f>SUM(T22:U22)</f>
        <v>704</v>
      </c>
      <c r="K8" s="510">
        <f>SUM(B8:J8)</f>
        <v>7133</v>
      </c>
    </row>
    <row r="9" spans="1:11" s="22" customFormat="1" ht="18.75" customHeight="1" x14ac:dyDescent="0.15">
      <c r="A9" s="697"/>
      <c r="B9" s="514">
        <f t="shared" ref="B9:J9" si="2">B8/B$14</f>
        <v>0.46209098164405427</v>
      </c>
      <c r="C9" s="514">
        <f t="shared" si="2"/>
        <v>0.32033008252063017</v>
      </c>
      <c r="D9" s="514">
        <f t="shared" si="2"/>
        <v>0.39664378337147216</v>
      </c>
      <c r="E9" s="514">
        <f t="shared" si="2"/>
        <v>0.4808787632221318</v>
      </c>
      <c r="F9" s="514">
        <f t="shared" si="2"/>
        <v>0.50233426704014938</v>
      </c>
      <c r="G9" s="514">
        <f t="shared" si="2"/>
        <v>0.48286508181537513</v>
      </c>
      <c r="H9" s="514">
        <f t="shared" si="2"/>
        <v>0.4717437292233303</v>
      </c>
      <c r="I9" s="514">
        <f t="shared" si="2"/>
        <v>0.42390594382756369</v>
      </c>
      <c r="J9" s="514">
        <f t="shared" si="2"/>
        <v>0.51051486584481509</v>
      </c>
      <c r="K9" s="514">
        <f>K8/K$14</f>
        <v>0.45563717662088787</v>
      </c>
    </row>
    <row r="10" spans="1:11" s="22" customFormat="1" ht="18.75" customHeight="1" x14ac:dyDescent="0.15">
      <c r="A10" s="695" t="s">
        <v>17</v>
      </c>
      <c r="B10" s="509">
        <f>SUM(B23:D23)</f>
        <v>1</v>
      </c>
      <c r="C10" s="509">
        <f>SUM(E23:F23)</f>
        <v>0</v>
      </c>
      <c r="D10" s="509">
        <f>SUM(G23:J23)</f>
        <v>0</v>
      </c>
      <c r="E10" s="509">
        <f>SUM(K23:L23)</f>
        <v>1</v>
      </c>
      <c r="F10" s="509">
        <f>SUM(M23:N23)</f>
        <v>0</v>
      </c>
      <c r="G10" s="509">
        <f>SUM(O23:Q23)</f>
        <v>1</v>
      </c>
      <c r="H10" s="509">
        <f>R23</f>
        <v>0</v>
      </c>
      <c r="I10" s="509">
        <f>S23</f>
        <v>0</v>
      </c>
      <c r="J10" s="509">
        <f>SUM(T23:U23)</f>
        <v>1</v>
      </c>
      <c r="K10" s="510">
        <f>SUM(B10:J10)</f>
        <v>4</v>
      </c>
    </row>
    <row r="11" spans="1:11" s="22" customFormat="1" ht="18.75" customHeight="1" x14ac:dyDescent="0.15">
      <c r="A11" s="697"/>
      <c r="B11" s="545">
        <f t="shared" ref="B11:J11" si="3">B10/B$14</f>
        <v>7.9808459696727857E-4</v>
      </c>
      <c r="C11" s="545">
        <f t="shared" si="3"/>
        <v>0</v>
      </c>
      <c r="D11" s="545">
        <f t="shared" si="3"/>
        <v>0</v>
      </c>
      <c r="E11" s="545">
        <f t="shared" si="3"/>
        <v>8.1366965012205042E-4</v>
      </c>
      <c r="F11" s="545">
        <f t="shared" si="3"/>
        <v>0</v>
      </c>
      <c r="G11" s="545">
        <f t="shared" si="3"/>
        <v>3.0873726458783575E-4</v>
      </c>
      <c r="H11" s="545">
        <f t="shared" si="3"/>
        <v>0</v>
      </c>
      <c r="I11" s="545">
        <f t="shared" si="3"/>
        <v>0</v>
      </c>
      <c r="J11" s="545">
        <f t="shared" si="3"/>
        <v>7.2516316171138508E-4</v>
      </c>
      <c r="K11" s="545">
        <f>K10/K$14</f>
        <v>2.5550942190993294E-4</v>
      </c>
    </row>
    <row r="12" spans="1:11" s="22" customFormat="1" ht="18.75" customHeight="1" x14ac:dyDescent="0.15">
      <c r="A12" s="695" t="s">
        <v>18</v>
      </c>
      <c r="B12" s="546">
        <f>SUM(B24,C24,D24,B25,C25,D25)</f>
        <v>5</v>
      </c>
      <c r="C12" s="547">
        <f>SUM(E24,F24,E25,F25)</f>
        <v>1</v>
      </c>
      <c r="D12" s="547">
        <f>SUM(G24,H24,I24,J24,G25,H25,I25,J25)</f>
        <v>7</v>
      </c>
      <c r="E12" s="547">
        <f>SUM(K24,L24,K25,L25)</f>
        <v>3</v>
      </c>
      <c r="F12" s="547">
        <f>SUM(M24,N24,M25,N25)</f>
        <v>3</v>
      </c>
      <c r="G12" s="547">
        <f>SUM(O24,P24,Q24,O25,P25,Q25)</f>
        <v>1</v>
      </c>
      <c r="H12" s="547">
        <f>SUM(R24:R25)</f>
        <v>10</v>
      </c>
      <c r="I12" s="547">
        <f>SUM(S24:S25)</f>
        <v>1</v>
      </c>
      <c r="J12" s="547">
        <f>SUM(T24:U25)</f>
        <v>5</v>
      </c>
      <c r="K12" s="510">
        <f>SUM(B12:J12)</f>
        <v>36</v>
      </c>
    </row>
    <row r="13" spans="1:11" s="22" customFormat="1" ht="18.75" customHeight="1" x14ac:dyDescent="0.15">
      <c r="A13" s="697"/>
      <c r="B13" s="514">
        <f t="shared" ref="B13:J13" si="4">B12/B$14</f>
        <v>3.9904229848363925E-3</v>
      </c>
      <c r="C13" s="514">
        <f t="shared" si="4"/>
        <v>7.501875468867217E-4</v>
      </c>
      <c r="D13" s="514">
        <f t="shared" si="4"/>
        <v>5.3394355453852023E-3</v>
      </c>
      <c r="E13" s="514">
        <f t="shared" si="4"/>
        <v>2.4410089503661514E-3</v>
      </c>
      <c r="F13" s="514">
        <f t="shared" si="4"/>
        <v>2.8011204481792717E-3</v>
      </c>
      <c r="G13" s="514">
        <f t="shared" si="4"/>
        <v>3.0873726458783575E-4</v>
      </c>
      <c r="H13" s="514">
        <f t="shared" si="4"/>
        <v>3.0220610456331218E-3</v>
      </c>
      <c r="I13" s="514">
        <f t="shared" si="4"/>
        <v>6.5316786414108428E-4</v>
      </c>
      <c r="J13" s="514">
        <f t="shared" si="4"/>
        <v>3.6258158085569255E-3</v>
      </c>
      <c r="K13" s="514">
        <f>K12/K$14</f>
        <v>2.2995847971893964E-3</v>
      </c>
    </row>
    <row r="14" spans="1:11" s="22" customFormat="1" ht="18.75" customHeight="1" x14ac:dyDescent="0.15">
      <c r="A14" s="716" t="s">
        <v>11</v>
      </c>
      <c r="B14" s="515">
        <f>SUM(B4,B6,B8,B10,B12)</f>
        <v>1253</v>
      </c>
      <c r="C14" s="515">
        <f t="shared" ref="C14:J15" si="5">SUM(C4,C6,C8,C10,C12)</f>
        <v>1333</v>
      </c>
      <c r="D14" s="515">
        <f t="shared" si="5"/>
        <v>1311</v>
      </c>
      <c r="E14" s="515">
        <f t="shared" si="5"/>
        <v>1229</v>
      </c>
      <c r="F14" s="515">
        <f t="shared" si="5"/>
        <v>1071</v>
      </c>
      <c r="G14" s="515">
        <f t="shared" si="5"/>
        <v>3239</v>
      </c>
      <c r="H14" s="515">
        <f t="shared" si="5"/>
        <v>3309</v>
      </c>
      <c r="I14" s="515">
        <f t="shared" si="5"/>
        <v>1531</v>
      </c>
      <c r="J14" s="515">
        <f t="shared" si="5"/>
        <v>1379</v>
      </c>
      <c r="K14" s="516">
        <f>SUM(B14:J14)</f>
        <v>15655</v>
      </c>
    </row>
    <row r="15" spans="1:11" s="22" customFormat="1" ht="18.75" customHeight="1" x14ac:dyDescent="0.15">
      <c r="A15" s="717"/>
      <c r="B15" s="517">
        <f>SUM(B5,B7,B9,B11,B13)</f>
        <v>1</v>
      </c>
      <c r="C15" s="517">
        <f t="shared" si="5"/>
        <v>1</v>
      </c>
      <c r="D15" s="517">
        <f t="shared" si="5"/>
        <v>0.99999999999999989</v>
      </c>
      <c r="E15" s="517">
        <f t="shared" si="5"/>
        <v>1.0000000000000002</v>
      </c>
      <c r="F15" s="517">
        <f t="shared" si="5"/>
        <v>1</v>
      </c>
      <c r="G15" s="517">
        <f t="shared" si="5"/>
        <v>1</v>
      </c>
      <c r="H15" s="517">
        <f t="shared" si="5"/>
        <v>1</v>
      </c>
      <c r="I15" s="517">
        <f t="shared" si="5"/>
        <v>1</v>
      </c>
      <c r="J15" s="517">
        <v>1</v>
      </c>
      <c r="K15" s="517">
        <f>SUM(K5,K7,K9,K11,K13)</f>
        <v>1</v>
      </c>
    </row>
    <row r="17" spans="1:21" hidden="1" x14ac:dyDescent="0.15"/>
    <row r="18" spans="1:21" hidden="1" x14ac:dyDescent="0.15">
      <c r="A18" s="378"/>
      <c r="B18" s="378"/>
      <c r="C18" s="378"/>
      <c r="D18" s="378"/>
      <c r="E18" s="378"/>
      <c r="F18" s="378"/>
      <c r="G18" s="378"/>
      <c r="H18" s="378"/>
      <c r="I18" s="378"/>
    </row>
    <row r="19" spans="1:21" hidden="1" x14ac:dyDescent="0.15">
      <c r="A19" s="543" t="s">
        <v>63</v>
      </c>
      <c r="B19" s="543" t="s">
        <v>390</v>
      </c>
      <c r="C19" s="543" t="s">
        <v>391</v>
      </c>
      <c r="D19" s="543" t="s">
        <v>392</v>
      </c>
      <c r="E19" s="543" t="s">
        <v>393</v>
      </c>
      <c r="F19" s="543" t="s">
        <v>394</v>
      </c>
      <c r="G19" s="543" t="s">
        <v>395</v>
      </c>
      <c r="H19" s="543" t="s">
        <v>396</v>
      </c>
      <c r="I19" s="543" t="s">
        <v>397</v>
      </c>
      <c r="J19" s="543" t="s">
        <v>398</v>
      </c>
      <c r="K19" s="543" t="s">
        <v>399</v>
      </c>
      <c r="L19" s="543" t="s">
        <v>400</v>
      </c>
      <c r="M19" s="543" t="s">
        <v>401</v>
      </c>
      <c r="N19" s="543" t="s">
        <v>402</v>
      </c>
      <c r="O19" s="543" t="s">
        <v>403</v>
      </c>
      <c r="P19" s="543" t="s">
        <v>404</v>
      </c>
      <c r="Q19" s="543" t="s">
        <v>405</v>
      </c>
      <c r="R19" s="543" t="s">
        <v>406</v>
      </c>
      <c r="S19" s="543" t="s">
        <v>407</v>
      </c>
      <c r="T19" s="543" t="s">
        <v>504</v>
      </c>
      <c r="U19" s="55" t="s">
        <v>505</v>
      </c>
    </row>
    <row r="20" spans="1:21" hidden="1" x14ac:dyDescent="0.15">
      <c r="A20" s="543" t="s">
        <v>374</v>
      </c>
      <c r="B20" s="23">
        <v>1</v>
      </c>
      <c r="C20" s="23">
        <v>2</v>
      </c>
      <c r="D20" s="23">
        <v>1</v>
      </c>
      <c r="E20" s="23">
        <v>2</v>
      </c>
      <c r="F20" s="23"/>
      <c r="G20" s="23">
        <v>5</v>
      </c>
      <c r="H20" s="23"/>
      <c r="I20" s="23">
        <v>3</v>
      </c>
      <c r="J20" s="23">
        <v>3</v>
      </c>
      <c r="K20" s="23">
        <v>5</v>
      </c>
      <c r="L20" s="23">
        <v>2</v>
      </c>
      <c r="M20" s="23">
        <v>4</v>
      </c>
      <c r="N20" s="23">
        <v>3</v>
      </c>
      <c r="O20" s="23">
        <v>3</v>
      </c>
      <c r="P20" s="23">
        <v>4</v>
      </c>
      <c r="Q20" s="23">
        <v>1</v>
      </c>
      <c r="R20" s="23">
        <v>33</v>
      </c>
      <c r="S20" s="23">
        <v>6</v>
      </c>
      <c r="T20" s="23">
        <v>7</v>
      </c>
      <c r="U20" s="23">
        <v>4</v>
      </c>
    </row>
    <row r="21" spans="1:21" hidden="1" x14ac:dyDescent="0.15">
      <c r="A21" s="543" t="s">
        <v>15</v>
      </c>
      <c r="B21" s="23">
        <v>195</v>
      </c>
      <c r="C21" s="23">
        <v>231</v>
      </c>
      <c r="D21" s="23">
        <v>238</v>
      </c>
      <c r="E21" s="23">
        <v>501</v>
      </c>
      <c r="F21" s="23">
        <v>402</v>
      </c>
      <c r="G21" s="23">
        <v>252</v>
      </c>
      <c r="H21" s="23">
        <v>175</v>
      </c>
      <c r="I21" s="23">
        <v>210</v>
      </c>
      <c r="J21" s="23">
        <v>136</v>
      </c>
      <c r="K21" s="23">
        <v>404</v>
      </c>
      <c r="L21" s="23">
        <v>223</v>
      </c>
      <c r="M21" s="23">
        <v>226</v>
      </c>
      <c r="N21" s="23">
        <v>297</v>
      </c>
      <c r="O21" s="23">
        <v>458</v>
      </c>
      <c r="P21" s="23">
        <v>588</v>
      </c>
      <c r="Q21" s="23">
        <v>619</v>
      </c>
      <c r="R21" s="23">
        <v>1703</v>
      </c>
      <c r="S21" s="23">
        <v>875</v>
      </c>
      <c r="T21" s="23">
        <v>601</v>
      </c>
      <c r="U21" s="23">
        <v>57</v>
      </c>
    </row>
    <row r="22" spans="1:21" hidden="1" x14ac:dyDescent="0.15">
      <c r="A22" s="543" t="s">
        <v>16</v>
      </c>
      <c r="B22" s="23">
        <v>151</v>
      </c>
      <c r="C22" s="23">
        <v>236</v>
      </c>
      <c r="D22" s="23">
        <v>192</v>
      </c>
      <c r="E22" s="23">
        <v>208</v>
      </c>
      <c r="F22" s="23">
        <v>219</v>
      </c>
      <c r="G22" s="23">
        <v>176</v>
      </c>
      <c r="H22" s="23">
        <v>72</v>
      </c>
      <c r="I22" s="23">
        <v>148</v>
      </c>
      <c r="J22" s="23">
        <v>124</v>
      </c>
      <c r="K22" s="23">
        <v>338</v>
      </c>
      <c r="L22" s="23">
        <v>253</v>
      </c>
      <c r="M22" s="23">
        <v>260</v>
      </c>
      <c r="N22" s="23">
        <v>278</v>
      </c>
      <c r="O22" s="23">
        <v>452</v>
      </c>
      <c r="P22" s="23">
        <v>755</v>
      </c>
      <c r="Q22" s="23">
        <v>357</v>
      </c>
      <c r="R22" s="23">
        <v>1561</v>
      </c>
      <c r="S22" s="23">
        <v>649</v>
      </c>
      <c r="T22" s="23">
        <v>607</v>
      </c>
      <c r="U22" s="23">
        <v>97</v>
      </c>
    </row>
    <row r="23" spans="1:21" hidden="1" x14ac:dyDescent="0.15">
      <c r="A23" s="543" t="s">
        <v>17</v>
      </c>
      <c r="B23" s="23"/>
      <c r="C23" s="23">
        <v>1</v>
      </c>
      <c r="D23" s="23"/>
      <c r="E23" s="23"/>
      <c r="F23" s="23"/>
      <c r="G23" s="23"/>
      <c r="H23" s="23"/>
      <c r="I23" s="23"/>
      <c r="J23" s="23"/>
      <c r="K23" s="23">
        <v>1</v>
      </c>
      <c r="L23" s="23"/>
      <c r="M23" s="23"/>
      <c r="N23" s="23"/>
      <c r="O23" s="23"/>
      <c r="P23" s="23"/>
      <c r="Q23" s="23">
        <v>1</v>
      </c>
      <c r="R23" s="23"/>
      <c r="S23" s="23"/>
      <c r="T23" s="23"/>
      <c r="U23" s="23">
        <v>1</v>
      </c>
    </row>
    <row r="24" spans="1:21" hidden="1" x14ac:dyDescent="0.15">
      <c r="A24" s="543" t="s">
        <v>516</v>
      </c>
      <c r="B24" s="23"/>
      <c r="C24" s="23">
        <v>1</v>
      </c>
      <c r="D24" s="23"/>
      <c r="E24" s="23"/>
      <c r="F24" s="23"/>
      <c r="G24" s="23"/>
      <c r="H24" s="23"/>
      <c r="I24" s="23"/>
      <c r="J24" s="23"/>
      <c r="K24" s="23">
        <v>1</v>
      </c>
      <c r="L24" s="23"/>
      <c r="M24" s="23">
        <v>1</v>
      </c>
      <c r="N24" s="23"/>
      <c r="O24" s="23">
        <v>1</v>
      </c>
      <c r="P24" s="23"/>
      <c r="Q24" s="23"/>
      <c r="R24" s="23">
        <v>2</v>
      </c>
      <c r="S24" s="23">
        <v>1</v>
      </c>
      <c r="T24" s="23"/>
      <c r="U24" s="23"/>
    </row>
    <row r="25" spans="1:21" hidden="1" x14ac:dyDescent="0.15">
      <c r="A25" s="543" t="s">
        <v>376</v>
      </c>
      <c r="B25" s="23">
        <v>1</v>
      </c>
      <c r="C25" s="23">
        <v>2</v>
      </c>
      <c r="D25" s="23">
        <v>1</v>
      </c>
      <c r="E25" s="23"/>
      <c r="F25" s="23">
        <v>1</v>
      </c>
      <c r="G25" s="23">
        <v>4</v>
      </c>
      <c r="H25" s="23">
        <v>2</v>
      </c>
      <c r="I25" s="23">
        <v>1</v>
      </c>
      <c r="J25" s="23"/>
      <c r="K25" s="23">
        <v>1</v>
      </c>
      <c r="L25" s="23">
        <v>1</v>
      </c>
      <c r="M25" s="23">
        <v>1</v>
      </c>
      <c r="N25" s="23">
        <v>1</v>
      </c>
      <c r="O25" s="23"/>
      <c r="P25" s="23"/>
      <c r="Q25" s="23"/>
      <c r="R25" s="23">
        <v>8</v>
      </c>
      <c r="S25" s="23"/>
      <c r="T25" s="23">
        <v>5</v>
      </c>
      <c r="U25" s="23"/>
    </row>
    <row r="26" spans="1:21" hidden="1" x14ac:dyDescent="0.15">
      <c r="A26" s="543" t="s">
        <v>517</v>
      </c>
      <c r="B26" s="23"/>
      <c r="C26" s="23"/>
      <c r="D26" s="23"/>
      <c r="E26" s="23"/>
      <c r="F26" s="23"/>
      <c r="G26" s="23"/>
      <c r="H26" s="23"/>
      <c r="I26" s="23"/>
      <c r="J26" s="23"/>
      <c r="K26" s="23"/>
      <c r="L26" s="23"/>
      <c r="M26" s="23"/>
      <c r="N26" s="23"/>
      <c r="O26" s="23"/>
      <c r="P26" s="23"/>
      <c r="Q26" s="23"/>
      <c r="R26" s="23">
        <v>2</v>
      </c>
      <c r="S26" s="23"/>
      <c r="T26" s="23"/>
      <c r="U26" s="23"/>
    </row>
    <row r="27" spans="1:21" hidden="1" x14ac:dyDescent="0.15">
      <c r="A27" s="543"/>
      <c r="B27" s="548"/>
    </row>
    <row r="28" spans="1:21" hidden="1" x14ac:dyDescent="0.15">
      <c r="A28" s="543"/>
      <c r="B28" s="549"/>
    </row>
  </sheetData>
  <mergeCells count="5">
    <mergeCell ref="A6:A7"/>
    <mergeCell ref="A8:A9"/>
    <mergeCell ref="A10:A11"/>
    <mergeCell ref="A12:A13"/>
    <mergeCell ref="A14:A15"/>
  </mergeCells>
  <phoneticPr fontId="2"/>
  <printOptions horizontalCentered="1"/>
  <pageMargins left="0.70866141732283472" right="0.70866141732283472" top="0.74803149606299213" bottom="0.74803149606299213" header="0.31496062992125984" footer="0.31496062992125984"/>
  <pageSetup paperSize="9" scale="89"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A1:U56"/>
  <sheetViews>
    <sheetView view="pageBreakPreview" zoomScaleNormal="100" zoomScaleSheetLayoutView="100" workbookViewId="0">
      <selection activeCell="A37" sqref="A37:XFD56"/>
    </sheetView>
  </sheetViews>
  <sheetFormatPr defaultColWidth="13.75" defaultRowHeight="18.75" x14ac:dyDescent="0.15"/>
  <cols>
    <col min="1" max="1" width="27.5" style="1" customWidth="1"/>
    <col min="2" max="11" width="8.75" style="1" customWidth="1"/>
    <col min="12" max="21" width="7.5" style="1" customWidth="1"/>
    <col min="22" max="16384" width="13.75" style="1"/>
  </cols>
  <sheetData>
    <row r="1" spans="1:11" s="3" customFormat="1" ht="19.5" x14ac:dyDescent="0.15">
      <c r="A1" s="2" t="s">
        <v>518</v>
      </c>
    </row>
    <row r="2" spans="1:11" x14ac:dyDescent="0.15">
      <c r="A2" s="4"/>
    </row>
    <row r="3" spans="1:11" ht="37.5" x14ac:dyDescent="0.15">
      <c r="A3" s="508"/>
      <c r="B3" s="508" t="s">
        <v>382</v>
      </c>
      <c r="C3" s="508" t="s">
        <v>383</v>
      </c>
      <c r="D3" s="508" t="s">
        <v>384</v>
      </c>
      <c r="E3" s="508" t="s">
        <v>385</v>
      </c>
      <c r="F3" s="508" t="s">
        <v>386</v>
      </c>
      <c r="G3" s="508" t="s">
        <v>387</v>
      </c>
      <c r="H3" s="508" t="s">
        <v>388</v>
      </c>
      <c r="I3" s="508" t="s">
        <v>389</v>
      </c>
      <c r="J3" s="540" t="s">
        <v>503</v>
      </c>
      <c r="K3" s="508" t="s">
        <v>62</v>
      </c>
    </row>
    <row r="4" spans="1:11" s="22" customFormat="1" ht="18" customHeight="1" x14ac:dyDescent="0.15">
      <c r="A4" s="699" t="s">
        <v>411</v>
      </c>
      <c r="B4" s="509">
        <f>SUM(B6,B8,B10)</f>
        <v>270</v>
      </c>
      <c r="C4" s="509">
        <f t="shared" ref="C4:J4" si="0">SUM(C6,C8,C10)</f>
        <v>467</v>
      </c>
      <c r="D4" s="509">
        <f t="shared" si="0"/>
        <v>304</v>
      </c>
      <c r="E4" s="509">
        <f t="shared" si="0"/>
        <v>275</v>
      </c>
      <c r="F4" s="509">
        <f t="shared" si="0"/>
        <v>254</v>
      </c>
      <c r="G4" s="509">
        <f t="shared" si="0"/>
        <v>1276</v>
      </c>
      <c r="H4" s="509">
        <f t="shared" si="0"/>
        <v>731</v>
      </c>
      <c r="I4" s="509">
        <f t="shared" si="0"/>
        <v>399</v>
      </c>
      <c r="J4" s="509">
        <f t="shared" si="0"/>
        <v>308</v>
      </c>
      <c r="K4" s="510">
        <f>SUM(B4:J4)</f>
        <v>4284</v>
      </c>
    </row>
    <row r="5" spans="1:11" s="22" customFormat="1" ht="18" customHeight="1" x14ac:dyDescent="0.15">
      <c r="A5" s="700"/>
      <c r="B5" s="514">
        <f>B4/B$34</f>
        <v>0.2154828411811652</v>
      </c>
      <c r="C5" s="514">
        <f t="shared" ref="C5:J5" si="1">C4/C$34</f>
        <v>0.35033758439609902</v>
      </c>
      <c r="D5" s="514">
        <f t="shared" si="1"/>
        <v>0.2318840579710145</v>
      </c>
      <c r="E5" s="514">
        <f t="shared" si="1"/>
        <v>0.22375915378356387</v>
      </c>
      <c r="F5" s="514">
        <f t="shared" si="1"/>
        <v>0.23716153127917833</v>
      </c>
      <c r="G5" s="514">
        <f t="shared" si="1"/>
        <v>0.39394874961407844</v>
      </c>
      <c r="H5" s="514">
        <f t="shared" si="1"/>
        <v>0.2209126624357812</v>
      </c>
      <c r="I5" s="514">
        <f t="shared" si="1"/>
        <v>0.26061397779229262</v>
      </c>
      <c r="J5" s="514">
        <f t="shared" si="1"/>
        <v>0.2233502538071066</v>
      </c>
      <c r="K5" s="514">
        <f>K4/K$34</f>
        <v>0.27365059086553817</v>
      </c>
    </row>
    <row r="6" spans="1:11" s="22" customFormat="1" ht="18" customHeight="1" x14ac:dyDescent="0.15">
      <c r="A6" s="701" t="s">
        <v>413</v>
      </c>
      <c r="B6" s="509">
        <f>SUM(B39:D39)</f>
        <v>129</v>
      </c>
      <c r="C6" s="509">
        <f>SUM(E39:F39)</f>
        <v>271</v>
      </c>
      <c r="D6" s="509">
        <f>SUM(G39:J39)</f>
        <v>132</v>
      </c>
      <c r="E6" s="509">
        <f>SUM(K39:L39)</f>
        <v>129</v>
      </c>
      <c r="F6" s="509">
        <f>SUM(M39:N39)</f>
        <v>123</v>
      </c>
      <c r="G6" s="509">
        <f>SUM(O39:Q39)</f>
        <v>639</v>
      </c>
      <c r="H6" s="509">
        <f>R39</f>
        <v>286</v>
      </c>
      <c r="I6" s="509">
        <f>S39</f>
        <v>188</v>
      </c>
      <c r="J6" s="509">
        <f>SUM(T39:U39)</f>
        <v>123</v>
      </c>
      <c r="K6" s="510">
        <f>SUM(B6:J6)</f>
        <v>2020</v>
      </c>
    </row>
    <row r="7" spans="1:11" s="22" customFormat="1" ht="18" customHeight="1" x14ac:dyDescent="0.15">
      <c r="A7" s="702"/>
      <c r="B7" s="514">
        <f>B6/B$34</f>
        <v>0.10295291300877893</v>
      </c>
      <c r="C7" s="514">
        <f t="shared" ref="C7:J7" si="2">C6/C$34</f>
        <v>0.20330082520630158</v>
      </c>
      <c r="D7" s="514">
        <f t="shared" si="2"/>
        <v>0.10068649885583524</v>
      </c>
      <c r="E7" s="514">
        <f t="shared" si="2"/>
        <v>0.10496338486574451</v>
      </c>
      <c r="F7" s="514">
        <f t="shared" si="2"/>
        <v>0.11484593837535013</v>
      </c>
      <c r="G7" s="514">
        <f t="shared" si="2"/>
        <v>0.19728311207162705</v>
      </c>
      <c r="H7" s="514">
        <f t="shared" si="2"/>
        <v>8.643094590510729E-2</v>
      </c>
      <c r="I7" s="514">
        <f t="shared" si="2"/>
        <v>0.12279555845852384</v>
      </c>
      <c r="J7" s="514">
        <f t="shared" si="2"/>
        <v>8.9195068890500356E-2</v>
      </c>
      <c r="K7" s="514">
        <f>K6/K$34</f>
        <v>0.12903225806451613</v>
      </c>
    </row>
    <row r="8" spans="1:11" s="22" customFormat="1" ht="18" customHeight="1" x14ac:dyDescent="0.15">
      <c r="A8" s="701" t="s">
        <v>416</v>
      </c>
      <c r="B8" s="509">
        <f>SUM(B40:D40)</f>
        <v>17</v>
      </c>
      <c r="C8" s="509">
        <f>SUM(E40:F40)</f>
        <v>48</v>
      </c>
      <c r="D8" s="509">
        <f>SUM(G40:J40)</f>
        <v>37</v>
      </c>
      <c r="E8" s="509">
        <f>SUM(K40:L40)</f>
        <v>8</v>
      </c>
      <c r="F8" s="509">
        <f>SUM(M40:N40)</f>
        <v>9</v>
      </c>
      <c r="G8" s="509">
        <f>SUM(O40:Q40)</f>
        <v>123</v>
      </c>
      <c r="H8" s="509">
        <f>R40</f>
        <v>40</v>
      </c>
      <c r="I8" s="509">
        <f>S40</f>
        <v>15</v>
      </c>
      <c r="J8" s="509">
        <f>SUM(T40:U40)</f>
        <v>35</v>
      </c>
      <c r="K8" s="510">
        <f>SUM(B8:J8)</f>
        <v>332</v>
      </c>
    </row>
    <row r="9" spans="1:11" s="22" customFormat="1" ht="18" customHeight="1" x14ac:dyDescent="0.15">
      <c r="A9" s="702"/>
      <c r="B9" s="514">
        <f>B8/B$34</f>
        <v>1.3567438148443736E-2</v>
      </c>
      <c r="C9" s="514">
        <f t="shared" ref="C9:J9" si="3">C8/C$34</f>
        <v>3.6009002250562638E-2</v>
      </c>
      <c r="D9" s="514">
        <f t="shared" si="3"/>
        <v>2.8222730739893211E-2</v>
      </c>
      <c r="E9" s="514">
        <f t="shared" si="3"/>
        <v>6.5093572009764034E-3</v>
      </c>
      <c r="F9" s="514">
        <f t="shared" si="3"/>
        <v>8.4033613445378148E-3</v>
      </c>
      <c r="G9" s="514">
        <f t="shared" si="3"/>
        <v>3.7974683544303799E-2</v>
      </c>
      <c r="H9" s="514">
        <f t="shared" si="3"/>
        <v>1.2088244182532487E-2</v>
      </c>
      <c r="I9" s="514">
        <f t="shared" si="3"/>
        <v>9.7975179621162638E-3</v>
      </c>
      <c r="J9" s="514">
        <f t="shared" si="3"/>
        <v>2.5380710659898477E-2</v>
      </c>
      <c r="K9" s="514">
        <f>K8/K$34</f>
        <v>2.1207282018524433E-2</v>
      </c>
    </row>
    <row r="10" spans="1:11" s="22" customFormat="1" ht="18" customHeight="1" x14ac:dyDescent="0.15">
      <c r="A10" s="701" t="s">
        <v>418</v>
      </c>
      <c r="B10" s="509">
        <f>SUM(B41:D41)</f>
        <v>124</v>
      </c>
      <c r="C10" s="509">
        <f>SUM(E41:F41)</f>
        <v>148</v>
      </c>
      <c r="D10" s="509">
        <f>SUM(G41:J41)</f>
        <v>135</v>
      </c>
      <c r="E10" s="509">
        <f>SUM(K41:L41)</f>
        <v>138</v>
      </c>
      <c r="F10" s="509">
        <f>SUM(M41:N41)</f>
        <v>122</v>
      </c>
      <c r="G10" s="509">
        <f>SUM(O41:Q41)</f>
        <v>514</v>
      </c>
      <c r="H10" s="509">
        <f>R41</f>
        <v>405</v>
      </c>
      <c r="I10" s="509">
        <f>S41</f>
        <v>196</v>
      </c>
      <c r="J10" s="509">
        <f>SUM(T41:U41)</f>
        <v>150</v>
      </c>
      <c r="K10" s="510">
        <f>SUM(B10:J10)</f>
        <v>1932</v>
      </c>
    </row>
    <row r="11" spans="1:11" s="22" customFormat="1" ht="26.25" customHeight="1" x14ac:dyDescent="0.15">
      <c r="A11" s="702"/>
      <c r="B11" s="514">
        <f>B10/B$34</f>
        <v>9.8962490023942543E-2</v>
      </c>
      <c r="C11" s="514">
        <f t="shared" ref="C11:J11" si="4">C10/C$34</f>
        <v>0.11102775693923481</v>
      </c>
      <c r="D11" s="514">
        <f t="shared" si="4"/>
        <v>0.10297482837528604</v>
      </c>
      <c r="E11" s="514">
        <f t="shared" si="4"/>
        <v>0.11228641171684296</v>
      </c>
      <c r="F11" s="514">
        <f t="shared" si="4"/>
        <v>0.11391223155929038</v>
      </c>
      <c r="G11" s="514">
        <f t="shared" si="4"/>
        <v>0.15869095399814759</v>
      </c>
      <c r="H11" s="514">
        <f t="shared" si="4"/>
        <v>0.12239347234814144</v>
      </c>
      <c r="I11" s="514">
        <f t="shared" si="4"/>
        <v>0.12802090137165251</v>
      </c>
      <c r="J11" s="514">
        <f t="shared" si="4"/>
        <v>0.10877447425670776</v>
      </c>
      <c r="K11" s="514">
        <f>K10/K$34</f>
        <v>0.1234110507824976</v>
      </c>
    </row>
    <row r="12" spans="1:11" s="22" customFormat="1" ht="18" customHeight="1" x14ac:dyDescent="0.15">
      <c r="A12" s="699" t="s">
        <v>20</v>
      </c>
      <c r="B12" s="509">
        <f>SUM(B42,C42,D42,B43,C43,D43,B44,C44,D44)</f>
        <v>36</v>
      </c>
      <c r="C12" s="509">
        <f>SUM(E42:F42,E43:F43,E44:F44)</f>
        <v>50</v>
      </c>
      <c r="D12" s="509">
        <f>SUM(G42:J42,G43:J43,G44:J44)</f>
        <v>56</v>
      </c>
      <c r="E12" s="509">
        <f>SUM(K42:L42,K43:L43,K44:L44)</f>
        <v>40</v>
      </c>
      <c r="F12" s="509">
        <f>SUM(M42:N42,M43:N43,M44:N44)</f>
        <v>61</v>
      </c>
      <c r="G12" s="509">
        <f>SUM(O42:Q42,O43:Q43,O44:Q44)</f>
        <v>185</v>
      </c>
      <c r="H12" s="509">
        <f>SUM(R42,R43,R44)</f>
        <v>221</v>
      </c>
      <c r="I12" s="509">
        <f>SUM(S42,S43,S44)</f>
        <v>111</v>
      </c>
      <c r="J12" s="509">
        <f>SUM(T42:U42,T43:U43,T44:U44)</f>
        <v>116</v>
      </c>
      <c r="K12" s="510">
        <f>SUM(B12:J12)</f>
        <v>876</v>
      </c>
    </row>
    <row r="13" spans="1:11" s="22" customFormat="1" ht="18" customHeight="1" x14ac:dyDescent="0.15">
      <c r="A13" s="700"/>
      <c r="B13" s="514">
        <f>B12/B$34</f>
        <v>2.8731045490822026E-2</v>
      </c>
      <c r="C13" s="514">
        <f t="shared" ref="C13:J13" si="5">C12/C$34</f>
        <v>3.7509377344336084E-2</v>
      </c>
      <c r="D13" s="514">
        <f t="shared" si="5"/>
        <v>4.2715484363081618E-2</v>
      </c>
      <c r="E13" s="514">
        <f t="shared" si="5"/>
        <v>3.254678600488202E-2</v>
      </c>
      <c r="F13" s="514">
        <f t="shared" si="5"/>
        <v>5.695611577964519E-2</v>
      </c>
      <c r="G13" s="514">
        <f t="shared" si="5"/>
        <v>5.7116393948749615E-2</v>
      </c>
      <c r="H13" s="514">
        <f t="shared" si="5"/>
        <v>6.6787549108491995E-2</v>
      </c>
      <c r="I13" s="514">
        <f t="shared" si="5"/>
        <v>7.2501632919660358E-2</v>
      </c>
      <c r="J13" s="514">
        <f t="shared" si="5"/>
        <v>8.4118926758520673E-2</v>
      </c>
      <c r="K13" s="514">
        <f>K12/K$34</f>
        <v>5.5956563398275309E-2</v>
      </c>
    </row>
    <row r="14" spans="1:11" s="22" customFormat="1" ht="18" customHeight="1" x14ac:dyDescent="0.15">
      <c r="A14" s="699" t="s">
        <v>21</v>
      </c>
      <c r="B14" s="509">
        <f>SUM(B45:D45)</f>
        <v>735</v>
      </c>
      <c r="C14" s="509">
        <f>SUM(E45:F45)</f>
        <v>645</v>
      </c>
      <c r="D14" s="509">
        <f>SUM(G45:J45)</f>
        <v>739</v>
      </c>
      <c r="E14" s="509">
        <f>SUM(K45:L45)</f>
        <v>691</v>
      </c>
      <c r="F14" s="509">
        <f>SUM(M45:N45)</f>
        <v>557</v>
      </c>
      <c r="G14" s="509">
        <f>SUM(O45:Q45)</f>
        <v>1310</v>
      </c>
      <c r="H14" s="509">
        <f>R45</f>
        <v>1756</v>
      </c>
      <c r="I14" s="509">
        <f>S45</f>
        <v>754</v>
      </c>
      <c r="J14" s="509">
        <f>SUM(T45:U45)</f>
        <v>762</v>
      </c>
      <c r="K14" s="510">
        <f>SUM(B14:J14)</f>
        <v>7949</v>
      </c>
    </row>
    <row r="15" spans="1:11" s="22" customFormat="1" ht="18" customHeight="1" x14ac:dyDescent="0.15">
      <c r="A15" s="700"/>
      <c r="B15" s="514">
        <f>B14/B$34</f>
        <v>0.58659217877094971</v>
      </c>
      <c r="C15" s="514">
        <f t="shared" ref="C15:J15" si="6">C14/C$34</f>
        <v>0.4838709677419355</v>
      </c>
      <c r="D15" s="514">
        <f t="shared" si="6"/>
        <v>0.56369183829138059</v>
      </c>
      <c r="E15" s="514">
        <f t="shared" si="6"/>
        <v>0.56224572823433683</v>
      </c>
      <c r="F15" s="514">
        <f t="shared" si="6"/>
        <v>0.52007469654528482</v>
      </c>
      <c r="G15" s="514">
        <f t="shared" si="6"/>
        <v>0.40444581661006485</v>
      </c>
      <c r="H15" s="514">
        <f t="shared" si="6"/>
        <v>0.53067391961317623</v>
      </c>
      <c r="I15" s="514">
        <f t="shared" si="6"/>
        <v>0.49248856956237752</v>
      </c>
      <c r="J15" s="514">
        <f t="shared" si="6"/>
        <v>0.55257432922407546</v>
      </c>
      <c r="K15" s="514">
        <f>K14/K$34</f>
        <v>0.50776109869051422</v>
      </c>
    </row>
    <row r="16" spans="1:11" s="22" customFormat="1" ht="18" customHeight="1" x14ac:dyDescent="0.15">
      <c r="A16" s="699" t="s">
        <v>22</v>
      </c>
      <c r="B16" s="509">
        <f>SUM(B46:D47)</f>
        <v>131</v>
      </c>
      <c r="C16" s="509">
        <f>SUM(E46:F47)</f>
        <v>91</v>
      </c>
      <c r="D16" s="509">
        <f>SUM(G46:J47)</f>
        <v>119</v>
      </c>
      <c r="E16" s="509">
        <f>SUM(K46:L47)</f>
        <v>124</v>
      </c>
      <c r="F16" s="509">
        <f>SUM(M46:N47)</f>
        <v>136</v>
      </c>
      <c r="G16" s="509">
        <f>SUM(O46:Q47)</f>
        <v>282</v>
      </c>
      <c r="H16" s="509">
        <f>SUM(R46:R47)</f>
        <v>359</v>
      </c>
      <c r="I16" s="509">
        <f>SUM(S46:S47)</f>
        <v>180</v>
      </c>
      <c r="J16" s="509">
        <f>SUM(T46:U47)</f>
        <v>112</v>
      </c>
      <c r="K16" s="510">
        <f>SUM(B16:J16)</f>
        <v>1534</v>
      </c>
    </row>
    <row r="17" spans="1:11" s="22" customFormat="1" ht="18" customHeight="1" x14ac:dyDescent="0.15">
      <c r="A17" s="700"/>
      <c r="B17" s="514">
        <f>B16/B$34</f>
        <v>0.10454908220271349</v>
      </c>
      <c r="C17" s="514">
        <f t="shared" ref="C17:J17" si="7">C16/C$34</f>
        <v>6.826706676669167E-2</v>
      </c>
      <c r="D17" s="514">
        <f t="shared" si="7"/>
        <v>9.0770404271548435E-2</v>
      </c>
      <c r="E17" s="514">
        <f t="shared" si="7"/>
        <v>0.10089503661513426</v>
      </c>
      <c r="F17" s="514">
        <f t="shared" si="7"/>
        <v>0.12698412698412698</v>
      </c>
      <c r="G17" s="514">
        <f t="shared" si="7"/>
        <v>8.7063908613769683E-2</v>
      </c>
      <c r="H17" s="514">
        <f t="shared" si="7"/>
        <v>0.10849199153822907</v>
      </c>
      <c r="I17" s="514">
        <f t="shared" si="7"/>
        <v>0.11757021554539517</v>
      </c>
      <c r="J17" s="514">
        <f t="shared" si="7"/>
        <v>8.1218274111675121E-2</v>
      </c>
      <c r="K17" s="514">
        <f>K16/K$34</f>
        <v>9.7987863302459274E-2</v>
      </c>
    </row>
    <row r="18" spans="1:11" s="22" customFormat="1" ht="18" customHeight="1" x14ac:dyDescent="0.15">
      <c r="A18" s="699" t="s">
        <v>254</v>
      </c>
      <c r="B18" s="527">
        <f>SUM(B48:D48)</f>
        <v>17</v>
      </c>
      <c r="C18" s="527">
        <f>SUM(E48:F48)</f>
        <v>16</v>
      </c>
      <c r="D18" s="527">
        <f>SUM(G48:J48)</f>
        <v>34</v>
      </c>
      <c r="E18" s="527">
        <f>SUM(K48:L48)</f>
        <v>28</v>
      </c>
      <c r="F18" s="527">
        <f>SUM(M48:N48)</f>
        <v>18</v>
      </c>
      <c r="G18" s="527">
        <f>SUM(O48:Q48)</f>
        <v>48</v>
      </c>
      <c r="H18" s="527">
        <f>R48</f>
        <v>75</v>
      </c>
      <c r="I18" s="527">
        <f>S48</f>
        <v>27</v>
      </c>
      <c r="J18" s="527">
        <f>SUM(T48:U48)</f>
        <v>23</v>
      </c>
      <c r="K18" s="528">
        <f>SUM(B18:J18)</f>
        <v>286</v>
      </c>
    </row>
    <row r="19" spans="1:11" s="22" customFormat="1" ht="18" customHeight="1" x14ac:dyDescent="0.15">
      <c r="A19" s="700"/>
      <c r="B19" s="514">
        <f>B18/B$34</f>
        <v>1.3567438148443736E-2</v>
      </c>
      <c r="C19" s="514">
        <f t="shared" ref="C19:J19" si="8">C18/C$34</f>
        <v>1.2003000750187547E-2</v>
      </c>
      <c r="D19" s="514">
        <f t="shared" si="8"/>
        <v>2.593440122044241E-2</v>
      </c>
      <c r="E19" s="514">
        <f t="shared" si="8"/>
        <v>2.2782750203417412E-2</v>
      </c>
      <c r="F19" s="514">
        <f t="shared" si="8"/>
        <v>1.680672268907563E-2</v>
      </c>
      <c r="G19" s="514">
        <f t="shared" si="8"/>
        <v>1.4819388700216115E-2</v>
      </c>
      <c r="H19" s="514">
        <f t="shared" si="8"/>
        <v>2.2665457842248413E-2</v>
      </c>
      <c r="I19" s="514">
        <f t="shared" si="8"/>
        <v>1.7635532331809273E-2</v>
      </c>
      <c r="J19" s="514">
        <f t="shared" si="8"/>
        <v>1.6678752719361856E-2</v>
      </c>
      <c r="K19" s="514">
        <f>K18/K$34</f>
        <v>1.8268923666560206E-2</v>
      </c>
    </row>
    <row r="20" spans="1:11" s="22" customFormat="1" ht="18" customHeight="1" x14ac:dyDescent="0.15">
      <c r="A20" s="699" t="s">
        <v>255</v>
      </c>
      <c r="B20" s="509">
        <f>SUM(B49:D49)</f>
        <v>6</v>
      </c>
      <c r="C20" s="509">
        <f>SUM(E49:F49)</f>
        <v>1</v>
      </c>
      <c r="D20" s="509">
        <f>SUM(G49:J49)</f>
        <v>0</v>
      </c>
      <c r="E20" s="509">
        <f>SUM(K49:L49)</f>
        <v>6</v>
      </c>
      <c r="F20" s="509">
        <f>SUM(M49:N49)</f>
        <v>3</v>
      </c>
      <c r="G20" s="509">
        <f>SUM(O49:Q49)</f>
        <v>3</v>
      </c>
      <c r="H20" s="509">
        <f>R49</f>
        <v>12</v>
      </c>
      <c r="I20" s="509">
        <f>S49</f>
        <v>3</v>
      </c>
      <c r="J20" s="509">
        <f>SUM(T49:U49)</f>
        <v>9</v>
      </c>
      <c r="K20" s="510">
        <f>SUM(B20:J20)</f>
        <v>43</v>
      </c>
    </row>
    <row r="21" spans="1:11" s="22" customFormat="1" ht="18" customHeight="1" x14ac:dyDescent="0.15">
      <c r="A21" s="700"/>
      <c r="B21" s="514">
        <f>B20/B$34</f>
        <v>4.7885075818036712E-3</v>
      </c>
      <c r="C21" s="514">
        <f t="shared" ref="C21:J21" si="9">C20/C$34</f>
        <v>7.501875468867217E-4</v>
      </c>
      <c r="D21" s="514">
        <f t="shared" si="9"/>
        <v>0</v>
      </c>
      <c r="E21" s="514">
        <f t="shared" si="9"/>
        <v>4.8820179007323028E-3</v>
      </c>
      <c r="F21" s="514">
        <f t="shared" si="9"/>
        <v>2.8011204481792717E-3</v>
      </c>
      <c r="G21" s="514">
        <f t="shared" si="9"/>
        <v>9.2621179376350721E-4</v>
      </c>
      <c r="H21" s="514">
        <f t="shared" si="9"/>
        <v>3.6264732547597461E-3</v>
      </c>
      <c r="I21" s="514">
        <f t="shared" si="9"/>
        <v>1.9595035924232528E-3</v>
      </c>
      <c r="J21" s="514">
        <f t="shared" si="9"/>
        <v>6.5264684554024654E-3</v>
      </c>
      <c r="K21" s="514">
        <f>K20/K$34</f>
        <v>2.7467262855317789E-3</v>
      </c>
    </row>
    <row r="22" spans="1:11" s="22" customFormat="1" ht="18" customHeight="1" x14ac:dyDescent="0.15">
      <c r="A22" s="699" t="s">
        <v>429</v>
      </c>
      <c r="B22" s="509">
        <f>SUM(B50:D50)</f>
        <v>2</v>
      </c>
      <c r="C22" s="509">
        <f>SUM(E50:F50)</f>
        <v>4</v>
      </c>
      <c r="D22" s="509">
        <f>SUM(G50:J50)</f>
        <v>2</v>
      </c>
      <c r="E22" s="509">
        <f>SUM(K50:L50)</f>
        <v>8</v>
      </c>
      <c r="F22" s="509">
        <f>SUM(M50:N50)</f>
        <v>1</v>
      </c>
      <c r="G22" s="509">
        <f>SUM(O50:Q50)</f>
        <v>7</v>
      </c>
      <c r="H22" s="509">
        <f>R50</f>
        <v>11</v>
      </c>
      <c r="I22" s="509">
        <f>S50</f>
        <v>1</v>
      </c>
      <c r="J22" s="509">
        <f>SUM(T50:U50)</f>
        <v>4</v>
      </c>
      <c r="K22" s="510">
        <f>SUM(B22:J22)</f>
        <v>40</v>
      </c>
    </row>
    <row r="23" spans="1:11" s="22" customFormat="1" ht="18" customHeight="1" x14ac:dyDescent="0.15">
      <c r="A23" s="700"/>
      <c r="B23" s="514">
        <f>B22/B$34</f>
        <v>1.5961691939345571E-3</v>
      </c>
      <c r="C23" s="514">
        <f t="shared" ref="C23:J23" si="10">C22/C$34</f>
        <v>3.0007501875468868E-3</v>
      </c>
      <c r="D23" s="514">
        <f t="shared" si="10"/>
        <v>1.5255530129672007E-3</v>
      </c>
      <c r="E23" s="514">
        <f t="shared" si="10"/>
        <v>6.5093572009764034E-3</v>
      </c>
      <c r="F23" s="514">
        <f t="shared" si="10"/>
        <v>9.3370681605975728E-4</v>
      </c>
      <c r="G23" s="514">
        <f t="shared" si="10"/>
        <v>2.1611608521148501E-3</v>
      </c>
      <c r="H23" s="514">
        <f t="shared" si="10"/>
        <v>3.324267150196434E-3</v>
      </c>
      <c r="I23" s="514">
        <f t="shared" si="10"/>
        <v>6.5316786414108428E-4</v>
      </c>
      <c r="J23" s="514">
        <f t="shared" si="10"/>
        <v>2.9006526468455403E-3</v>
      </c>
      <c r="K23" s="514">
        <f>K22/K$34</f>
        <v>2.5550942190993293E-3</v>
      </c>
    </row>
    <row r="24" spans="1:11" s="22" customFormat="1" ht="18" customHeight="1" x14ac:dyDescent="0.15">
      <c r="A24" s="699" t="s">
        <v>430</v>
      </c>
      <c r="B24" s="509">
        <f>SUM(B51:D51)</f>
        <v>16</v>
      </c>
      <c r="C24" s="509">
        <f>SUM(E51:F51)</f>
        <v>28</v>
      </c>
      <c r="D24" s="509">
        <f>SUM(G51:J51)</f>
        <v>25</v>
      </c>
      <c r="E24" s="509">
        <f>SUM(K51:L51)</f>
        <v>18</v>
      </c>
      <c r="F24" s="509">
        <f>SUM(M51:N51)</f>
        <v>17</v>
      </c>
      <c r="G24" s="509">
        <f>SUM(O51:Q51)</f>
        <v>76</v>
      </c>
      <c r="H24" s="509">
        <f>R51</f>
        <v>69</v>
      </c>
      <c r="I24" s="509">
        <f>S51</f>
        <v>27</v>
      </c>
      <c r="J24" s="509">
        <f>SUM(T51:U51)</f>
        <v>23</v>
      </c>
      <c r="K24" s="528">
        <f>SUM(B24:J24)</f>
        <v>299</v>
      </c>
    </row>
    <row r="25" spans="1:11" s="22" customFormat="1" ht="18" customHeight="1" x14ac:dyDescent="0.15">
      <c r="A25" s="700"/>
      <c r="B25" s="514">
        <f>B24/B$34</f>
        <v>1.2769353551476457E-2</v>
      </c>
      <c r="C25" s="514">
        <f t="shared" ref="C25:J25" si="11">C24/C$34</f>
        <v>2.1005251312828207E-2</v>
      </c>
      <c r="D25" s="514">
        <f t="shared" si="11"/>
        <v>1.9069412662090009E-2</v>
      </c>
      <c r="E25" s="514">
        <f t="shared" si="11"/>
        <v>1.4646053702196907E-2</v>
      </c>
      <c r="F25" s="514">
        <f t="shared" si="11"/>
        <v>1.5873015873015872E-2</v>
      </c>
      <c r="G25" s="514">
        <f t="shared" si="11"/>
        <v>2.3464032108675516E-2</v>
      </c>
      <c r="H25" s="514">
        <f t="shared" si="11"/>
        <v>2.085222121486854E-2</v>
      </c>
      <c r="I25" s="514">
        <f t="shared" si="11"/>
        <v>1.7635532331809273E-2</v>
      </c>
      <c r="J25" s="514">
        <f t="shared" si="11"/>
        <v>1.6678752719361856E-2</v>
      </c>
      <c r="K25" s="514">
        <f>K24/K$34</f>
        <v>1.9099329287767485E-2</v>
      </c>
    </row>
    <row r="26" spans="1:11" s="22" customFormat="1" ht="18" customHeight="1" x14ac:dyDescent="0.15">
      <c r="A26" s="699" t="s">
        <v>83</v>
      </c>
      <c r="B26" s="509">
        <f>SUM(B52:D52)</f>
        <v>12</v>
      </c>
      <c r="C26" s="509">
        <f>SUM(E52:F52)</f>
        <v>11</v>
      </c>
      <c r="D26" s="509">
        <f>SUM(G52:J52)</f>
        <v>11</v>
      </c>
      <c r="E26" s="509">
        <f>SUM(K52:L52)</f>
        <v>16</v>
      </c>
      <c r="F26" s="509">
        <f>SUM(M52:N52)</f>
        <v>8</v>
      </c>
      <c r="G26" s="509">
        <f>SUM(O52:Q52)</f>
        <v>11</v>
      </c>
      <c r="H26" s="509">
        <f>R52</f>
        <v>32</v>
      </c>
      <c r="I26" s="509">
        <f>S52</f>
        <v>13</v>
      </c>
      <c r="J26" s="509">
        <f>SUM(T52:U52)</f>
        <v>5</v>
      </c>
      <c r="K26" s="510">
        <f>SUM(B26:J26)</f>
        <v>119</v>
      </c>
    </row>
    <row r="27" spans="1:11" s="22" customFormat="1" ht="18" customHeight="1" x14ac:dyDescent="0.15">
      <c r="A27" s="700"/>
      <c r="B27" s="514">
        <f>B26/B$34</f>
        <v>9.5770151636073424E-3</v>
      </c>
      <c r="C27" s="514">
        <f t="shared" ref="C27:J27" si="12">C26/C$34</f>
        <v>8.2520630157539385E-3</v>
      </c>
      <c r="D27" s="514">
        <f t="shared" si="12"/>
        <v>8.3905415713196041E-3</v>
      </c>
      <c r="E27" s="514">
        <f t="shared" si="12"/>
        <v>1.3018714401952807E-2</v>
      </c>
      <c r="F27" s="514">
        <f t="shared" si="12"/>
        <v>7.4696545284780582E-3</v>
      </c>
      <c r="G27" s="514">
        <f t="shared" si="12"/>
        <v>3.3961099104661933E-3</v>
      </c>
      <c r="H27" s="514">
        <f t="shared" si="12"/>
        <v>9.6705953460259897E-3</v>
      </c>
      <c r="I27" s="514">
        <f t="shared" si="12"/>
        <v>8.4911822338340961E-3</v>
      </c>
      <c r="J27" s="514">
        <f t="shared" si="12"/>
        <v>3.6258158085569255E-3</v>
      </c>
      <c r="K27" s="514">
        <f>K26/K$34</f>
        <v>7.6014053018205047E-3</v>
      </c>
    </row>
    <row r="28" spans="1:11" s="22" customFormat="1" ht="18" customHeight="1" x14ac:dyDescent="0.15">
      <c r="A28" s="699" t="s">
        <v>431</v>
      </c>
      <c r="B28" s="509">
        <f>SUM(B53:D53)</f>
        <v>6</v>
      </c>
      <c r="C28" s="509">
        <f>SUM(E53:F53)</f>
        <v>2</v>
      </c>
      <c r="D28" s="509">
        <f>SUM(G53:J53)</f>
        <v>10</v>
      </c>
      <c r="E28" s="509">
        <f>SUM(K53:L53)</f>
        <v>4</v>
      </c>
      <c r="F28" s="509">
        <f>SUM(M53:N53)</f>
        <v>2</v>
      </c>
      <c r="G28" s="509">
        <f>SUM(O53:Q53)</f>
        <v>3</v>
      </c>
      <c r="H28" s="509">
        <f>R53</f>
        <v>6</v>
      </c>
      <c r="I28" s="509">
        <f>S53</f>
        <v>5</v>
      </c>
      <c r="J28" s="509">
        <f>SUM(T53:U53)</f>
        <v>1</v>
      </c>
      <c r="K28" s="510">
        <f>SUM(B28:J28)</f>
        <v>39</v>
      </c>
    </row>
    <row r="29" spans="1:11" s="22" customFormat="1" ht="26.25" customHeight="1" x14ac:dyDescent="0.15">
      <c r="A29" s="700"/>
      <c r="B29" s="514">
        <f>B28/B$34</f>
        <v>4.7885075818036712E-3</v>
      </c>
      <c r="C29" s="514">
        <f t="shared" ref="C29:J29" si="13">C28/C$34</f>
        <v>1.5003750937734434E-3</v>
      </c>
      <c r="D29" s="514">
        <f t="shared" si="13"/>
        <v>7.6277650648360028E-3</v>
      </c>
      <c r="E29" s="514">
        <f t="shared" si="13"/>
        <v>3.2546786004882017E-3</v>
      </c>
      <c r="F29" s="514">
        <f t="shared" si="13"/>
        <v>1.8674136321195146E-3</v>
      </c>
      <c r="G29" s="514">
        <f t="shared" si="13"/>
        <v>9.2621179376350721E-4</v>
      </c>
      <c r="H29" s="514">
        <f t="shared" si="13"/>
        <v>1.8132366273798731E-3</v>
      </c>
      <c r="I29" s="514">
        <f t="shared" si="13"/>
        <v>3.2658393207054214E-3</v>
      </c>
      <c r="J29" s="514">
        <f t="shared" si="13"/>
        <v>7.2516316171138508E-4</v>
      </c>
      <c r="K29" s="514">
        <f>K28/K$34</f>
        <v>2.491216863621846E-3</v>
      </c>
    </row>
    <row r="30" spans="1:11" s="22" customFormat="1" ht="18" customHeight="1" x14ac:dyDescent="0.15">
      <c r="A30" s="699" t="s">
        <v>124</v>
      </c>
      <c r="B30" s="509">
        <f>SUM(B54:D54)</f>
        <v>8</v>
      </c>
      <c r="C30" s="509">
        <f>SUM(E54:F54)</f>
        <v>2</v>
      </c>
      <c r="D30" s="509">
        <f>SUM(G54:J54)</f>
        <v>5</v>
      </c>
      <c r="E30" s="509">
        <f>SUM(K54:L54)</f>
        <v>10</v>
      </c>
      <c r="F30" s="509">
        <f>SUM(M54:N54)</f>
        <v>4</v>
      </c>
      <c r="G30" s="509">
        <f>SUM(O54:Q54)</f>
        <v>3</v>
      </c>
      <c r="H30" s="509">
        <f>R54</f>
        <v>10</v>
      </c>
      <c r="I30" s="509">
        <f>S54</f>
        <v>4</v>
      </c>
      <c r="J30" s="509">
        <f>SUM(T54:U54)</f>
        <v>2</v>
      </c>
      <c r="K30" s="510">
        <f>SUM(B30:J30)</f>
        <v>48</v>
      </c>
    </row>
    <row r="31" spans="1:11" s="22" customFormat="1" ht="18" customHeight="1" x14ac:dyDescent="0.15">
      <c r="A31" s="700"/>
      <c r="B31" s="514">
        <f>B30/B$34</f>
        <v>6.3846767757382286E-3</v>
      </c>
      <c r="C31" s="514">
        <f t="shared" ref="C31:J31" si="14">C30/C$34</f>
        <v>1.5003750937734434E-3</v>
      </c>
      <c r="D31" s="514">
        <f t="shared" si="14"/>
        <v>3.8138825324180014E-3</v>
      </c>
      <c r="E31" s="514">
        <f t="shared" si="14"/>
        <v>8.1366965012205049E-3</v>
      </c>
      <c r="F31" s="514">
        <f t="shared" si="14"/>
        <v>3.7348272642390291E-3</v>
      </c>
      <c r="G31" s="514">
        <f t="shared" si="14"/>
        <v>9.2621179376350721E-4</v>
      </c>
      <c r="H31" s="514">
        <f t="shared" si="14"/>
        <v>3.0220610456331218E-3</v>
      </c>
      <c r="I31" s="514">
        <f t="shared" si="14"/>
        <v>2.6126714565643371E-3</v>
      </c>
      <c r="J31" s="514">
        <f t="shared" si="14"/>
        <v>1.4503263234227702E-3</v>
      </c>
      <c r="K31" s="514">
        <f>K30/K$34</f>
        <v>3.0661130629191951E-3</v>
      </c>
    </row>
    <row r="32" spans="1:11" s="22" customFormat="1" ht="18" customHeight="1" x14ac:dyDescent="0.15">
      <c r="A32" s="699" t="s">
        <v>432</v>
      </c>
      <c r="B32" s="509">
        <f>SUM(B55:D55)</f>
        <v>14</v>
      </c>
      <c r="C32" s="509">
        <f>SUM(E55:F55)</f>
        <v>16</v>
      </c>
      <c r="D32" s="509">
        <f>SUM(G55:J55)</f>
        <v>6</v>
      </c>
      <c r="E32" s="509">
        <f>SUM(K55:L55)</f>
        <v>9</v>
      </c>
      <c r="F32" s="509">
        <f>SUM(M55:N55)</f>
        <v>10</v>
      </c>
      <c r="G32" s="509">
        <f>SUM(O55:Q55)</f>
        <v>35</v>
      </c>
      <c r="H32" s="509">
        <f>R55</f>
        <v>27</v>
      </c>
      <c r="I32" s="509">
        <f>S55</f>
        <v>7</v>
      </c>
      <c r="J32" s="509">
        <f>SUM(T55:U55)</f>
        <v>14</v>
      </c>
      <c r="K32" s="510">
        <f>SUM(B32:J32)</f>
        <v>138</v>
      </c>
    </row>
    <row r="33" spans="1:21" s="22" customFormat="1" ht="18" customHeight="1" x14ac:dyDescent="0.15">
      <c r="A33" s="700"/>
      <c r="B33" s="514">
        <f>B32/B$34</f>
        <v>1.11731843575419E-2</v>
      </c>
      <c r="C33" s="514">
        <f t="shared" ref="C33:J33" si="15">C32/C$34</f>
        <v>1.2003000750187547E-2</v>
      </c>
      <c r="D33" s="514">
        <f t="shared" si="15"/>
        <v>4.5766590389016018E-3</v>
      </c>
      <c r="E33" s="514">
        <f t="shared" si="15"/>
        <v>7.3230268510984537E-3</v>
      </c>
      <c r="F33" s="514">
        <f t="shared" si="15"/>
        <v>9.3370681605975722E-3</v>
      </c>
      <c r="G33" s="514">
        <f t="shared" si="15"/>
        <v>1.0805804260574252E-2</v>
      </c>
      <c r="H33" s="514">
        <f t="shared" si="15"/>
        <v>8.1595648232094288E-3</v>
      </c>
      <c r="I33" s="514">
        <f t="shared" si="15"/>
        <v>4.5721750489875895E-3</v>
      </c>
      <c r="J33" s="514">
        <f t="shared" si="15"/>
        <v>1.015228426395939E-2</v>
      </c>
      <c r="K33" s="514">
        <f>K32/K$34</f>
        <v>8.8150750558926867E-3</v>
      </c>
    </row>
    <row r="34" spans="1:21" s="22" customFormat="1" ht="18" customHeight="1" x14ac:dyDescent="0.15">
      <c r="A34" s="698" t="s">
        <v>162</v>
      </c>
      <c r="B34" s="515">
        <f>SUM(B6,B8,B10,B12,B14,B16,B18,B20,B22,B24,B26,B28,B30,B32)</f>
        <v>1253</v>
      </c>
      <c r="C34" s="515">
        <f t="shared" ref="C34:J35" si="16">SUM(C6,C8,C10,C12,C14,C16,C18,C20,C22,C24,C26,C28,C30,C32)</f>
        <v>1333</v>
      </c>
      <c r="D34" s="515">
        <f t="shared" si="16"/>
        <v>1311</v>
      </c>
      <c r="E34" s="515">
        <f t="shared" si="16"/>
        <v>1229</v>
      </c>
      <c r="F34" s="515">
        <f t="shared" si="16"/>
        <v>1071</v>
      </c>
      <c r="G34" s="515">
        <f t="shared" si="16"/>
        <v>3239</v>
      </c>
      <c r="H34" s="515">
        <f t="shared" si="16"/>
        <v>3309</v>
      </c>
      <c r="I34" s="515">
        <f t="shared" si="16"/>
        <v>1531</v>
      </c>
      <c r="J34" s="515">
        <f t="shared" si="16"/>
        <v>1379</v>
      </c>
      <c r="K34" s="516">
        <f>SUM(B34:J34)</f>
        <v>15655</v>
      </c>
    </row>
    <row r="35" spans="1:21" s="22" customFormat="1" ht="18" customHeight="1" x14ac:dyDescent="0.15">
      <c r="A35" s="718"/>
      <c r="B35" s="517">
        <f>SUM(B7,B9,B11,B13,B15,B17,B19,B21,B23,B25,B27,B29,B31,B33)</f>
        <v>1.0000000000000002</v>
      </c>
      <c r="C35" s="517">
        <f t="shared" si="16"/>
        <v>1</v>
      </c>
      <c r="D35" s="517">
        <f t="shared" si="16"/>
        <v>1</v>
      </c>
      <c r="E35" s="517">
        <f t="shared" si="16"/>
        <v>1</v>
      </c>
      <c r="F35" s="517">
        <f t="shared" si="16"/>
        <v>1</v>
      </c>
      <c r="G35" s="517">
        <f t="shared" si="16"/>
        <v>1.0000000000000002</v>
      </c>
      <c r="H35" s="517">
        <f t="shared" si="16"/>
        <v>1</v>
      </c>
      <c r="I35" s="517">
        <f t="shared" si="16"/>
        <v>0.99999999999999978</v>
      </c>
      <c r="J35" s="517">
        <f t="shared" si="16"/>
        <v>1</v>
      </c>
      <c r="K35" s="517">
        <f>SUM(K7,K9,K11,K13,K15,K17,K19,K21,K23,K25,K27,K29,K31,K33)</f>
        <v>0.99999999999999989</v>
      </c>
    </row>
    <row r="37" spans="1:21" hidden="1" x14ac:dyDescent="0.15"/>
    <row r="38" spans="1:21" hidden="1" x14ac:dyDescent="0.15">
      <c r="A38" s="543" t="s">
        <v>63</v>
      </c>
      <c r="B38" s="543" t="s">
        <v>390</v>
      </c>
      <c r="C38" s="543" t="s">
        <v>391</v>
      </c>
      <c r="D38" s="543" t="s">
        <v>392</v>
      </c>
      <c r="E38" s="543" t="s">
        <v>393</v>
      </c>
      <c r="F38" s="543" t="s">
        <v>394</v>
      </c>
      <c r="G38" s="543" t="s">
        <v>395</v>
      </c>
      <c r="H38" s="543" t="s">
        <v>396</v>
      </c>
      <c r="I38" s="543" t="s">
        <v>397</v>
      </c>
      <c r="J38" s="543" t="s">
        <v>398</v>
      </c>
      <c r="K38" s="543" t="s">
        <v>399</v>
      </c>
      <c r="L38" s="543" t="s">
        <v>400</v>
      </c>
      <c r="M38" s="543" t="s">
        <v>401</v>
      </c>
      <c r="N38" s="543" t="s">
        <v>402</v>
      </c>
      <c r="O38" s="543" t="s">
        <v>403</v>
      </c>
      <c r="P38" s="543" t="s">
        <v>404</v>
      </c>
      <c r="Q38" s="543" t="s">
        <v>405</v>
      </c>
      <c r="R38" s="543" t="s">
        <v>406</v>
      </c>
      <c r="S38" s="543" t="s">
        <v>407</v>
      </c>
      <c r="T38" s="543" t="s">
        <v>504</v>
      </c>
      <c r="U38" s="55" t="s">
        <v>505</v>
      </c>
    </row>
    <row r="39" spans="1:21" hidden="1" x14ac:dyDescent="0.15">
      <c r="A39" s="54" t="s">
        <v>412</v>
      </c>
      <c r="B39" s="23">
        <v>45</v>
      </c>
      <c r="C39" s="23">
        <v>33</v>
      </c>
      <c r="D39" s="23">
        <v>51</v>
      </c>
      <c r="E39" s="23">
        <v>149</v>
      </c>
      <c r="F39" s="23">
        <v>122</v>
      </c>
      <c r="G39" s="23">
        <v>48</v>
      </c>
      <c r="H39" s="23">
        <v>24</v>
      </c>
      <c r="I39" s="23">
        <v>39</v>
      </c>
      <c r="J39" s="23">
        <v>21</v>
      </c>
      <c r="K39" s="23">
        <v>65</v>
      </c>
      <c r="L39" s="23">
        <v>64</v>
      </c>
      <c r="M39" s="23">
        <v>58</v>
      </c>
      <c r="N39" s="23">
        <v>65</v>
      </c>
      <c r="O39" s="23">
        <v>137</v>
      </c>
      <c r="P39" s="23">
        <v>311</v>
      </c>
      <c r="Q39" s="23">
        <v>191</v>
      </c>
      <c r="R39" s="23">
        <v>286</v>
      </c>
      <c r="S39" s="23">
        <v>188</v>
      </c>
      <c r="T39" s="23">
        <v>115</v>
      </c>
      <c r="U39" s="23">
        <v>8</v>
      </c>
    </row>
    <row r="40" spans="1:21" hidden="1" x14ac:dyDescent="0.15">
      <c r="A40" s="54" t="s">
        <v>414</v>
      </c>
      <c r="B40" s="23">
        <v>9</v>
      </c>
      <c r="C40" s="23">
        <v>4</v>
      </c>
      <c r="D40" s="23">
        <v>4</v>
      </c>
      <c r="E40" s="23">
        <v>27</v>
      </c>
      <c r="F40" s="23">
        <v>21</v>
      </c>
      <c r="G40" s="23">
        <v>16</v>
      </c>
      <c r="H40" s="23">
        <v>7</v>
      </c>
      <c r="I40" s="23">
        <v>8</v>
      </c>
      <c r="J40" s="23">
        <v>6</v>
      </c>
      <c r="K40" s="23">
        <v>5</v>
      </c>
      <c r="L40" s="23">
        <v>3</v>
      </c>
      <c r="M40" s="23">
        <v>2</v>
      </c>
      <c r="N40" s="23">
        <v>7</v>
      </c>
      <c r="O40" s="23">
        <v>12</v>
      </c>
      <c r="P40" s="23">
        <v>54</v>
      </c>
      <c r="Q40" s="23">
        <v>57</v>
      </c>
      <c r="R40" s="23">
        <v>40</v>
      </c>
      <c r="S40" s="23">
        <v>15</v>
      </c>
      <c r="T40" s="23">
        <v>32</v>
      </c>
      <c r="U40" s="23">
        <v>3</v>
      </c>
    </row>
    <row r="41" spans="1:21" hidden="1" x14ac:dyDescent="0.15">
      <c r="A41" s="54" t="s">
        <v>415</v>
      </c>
      <c r="B41" s="23">
        <v>27</v>
      </c>
      <c r="C41" s="23">
        <v>53</v>
      </c>
      <c r="D41" s="23">
        <v>44</v>
      </c>
      <c r="E41" s="23">
        <v>79</v>
      </c>
      <c r="F41" s="23">
        <v>69</v>
      </c>
      <c r="G41" s="23">
        <v>42</v>
      </c>
      <c r="H41" s="23">
        <v>25</v>
      </c>
      <c r="I41" s="23">
        <v>28</v>
      </c>
      <c r="J41" s="23">
        <v>40</v>
      </c>
      <c r="K41" s="23">
        <v>93</v>
      </c>
      <c r="L41" s="23">
        <v>45</v>
      </c>
      <c r="M41" s="23">
        <v>58</v>
      </c>
      <c r="N41" s="23">
        <v>64</v>
      </c>
      <c r="O41" s="23">
        <v>168</v>
      </c>
      <c r="P41" s="23">
        <v>170</v>
      </c>
      <c r="Q41" s="23">
        <v>176</v>
      </c>
      <c r="R41" s="23">
        <v>405</v>
      </c>
      <c r="S41" s="23">
        <v>196</v>
      </c>
      <c r="T41" s="23">
        <v>143</v>
      </c>
      <c r="U41" s="23">
        <v>7</v>
      </c>
    </row>
    <row r="42" spans="1:21" hidden="1" x14ac:dyDescent="0.15">
      <c r="A42" s="54" t="s">
        <v>417</v>
      </c>
      <c r="B42" s="23">
        <v>12</v>
      </c>
      <c r="C42" s="23">
        <v>12</v>
      </c>
      <c r="D42" s="23">
        <v>8</v>
      </c>
      <c r="E42" s="23">
        <v>20</v>
      </c>
      <c r="F42" s="23">
        <v>29</v>
      </c>
      <c r="G42" s="23">
        <v>12</v>
      </c>
      <c r="H42" s="23">
        <v>9</v>
      </c>
      <c r="I42" s="23">
        <v>15</v>
      </c>
      <c r="J42" s="23">
        <v>6</v>
      </c>
      <c r="K42" s="23">
        <v>17</v>
      </c>
      <c r="L42" s="23">
        <v>11</v>
      </c>
      <c r="M42" s="23">
        <v>27</v>
      </c>
      <c r="N42" s="23">
        <v>19</v>
      </c>
      <c r="O42" s="23">
        <v>70</v>
      </c>
      <c r="P42" s="23">
        <v>61</v>
      </c>
      <c r="Q42" s="23">
        <v>29</v>
      </c>
      <c r="R42" s="23">
        <v>181</v>
      </c>
      <c r="S42" s="23">
        <v>97</v>
      </c>
      <c r="T42" s="23">
        <v>89</v>
      </c>
      <c r="U42" s="23">
        <v>15</v>
      </c>
    </row>
    <row r="43" spans="1:21" hidden="1" x14ac:dyDescent="0.15">
      <c r="A43" s="54" t="s">
        <v>201</v>
      </c>
      <c r="B43" s="23"/>
      <c r="C43" s="23"/>
      <c r="D43" s="23"/>
      <c r="E43" s="23"/>
      <c r="F43" s="23"/>
      <c r="G43" s="23">
        <v>3</v>
      </c>
      <c r="H43" s="23">
        <v>1</v>
      </c>
      <c r="I43" s="23">
        <v>3</v>
      </c>
      <c r="J43" s="23">
        <v>1</v>
      </c>
      <c r="K43" s="23">
        <v>4</v>
      </c>
      <c r="L43" s="23"/>
      <c r="M43" s="23">
        <v>1</v>
      </c>
      <c r="N43" s="23">
        <v>4</v>
      </c>
      <c r="O43" s="23">
        <v>1</v>
      </c>
      <c r="P43" s="23">
        <v>4</v>
      </c>
      <c r="Q43" s="23"/>
      <c r="R43" s="23">
        <v>8</v>
      </c>
      <c r="S43" s="23">
        <v>7</v>
      </c>
      <c r="T43" s="23"/>
      <c r="U43" s="23"/>
    </row>
    <row r="44" spans="1:21" hidden="1" x14ac:dyDescent="0.15">
      <c r="A44" s="54" t="s">
        <v>202</v>
      </c>
      <c r="B44" s="23"/>
      <c r="C44" s="23">
        <v>3</v>
      </c>
      <c r="D44" s="23">
        <v>1</v>
      </c>
      <c r="E44" s="23">
        <v>1</v>
      </c>
      <c r="F44" s="23"/>
      <c r="G44" s="23">
        <v>3</v>
      </c>
      <c r="H44" s="23">
        <v>2</v>
      </c>
      <c r="I44" s="23">
        <v>1</v>
      </c>
      <c r="J44" s="23"/>
      <c r="K44" s="23">
        <v>5</v>
      </c>
      <c r="L44" s="23">
        <v>3</v>
      </c>
      <c r="M44" s="23">
        <v>1</v>
      </c>
      <c r="N44" s="23">
        <v>9</v>
      </c>
      <c r="O44" s="23">
        <v>3</v>
      </c>
      <c r="P44" s="23">
        <v>12</v>
      </c>
      <c r="Q44" s="23">
        <v>5</v>
      </c>
      <c r="R44" s="23">
        <v>32</v>
      </c>
      <c r="S44" s="23">
        <v>7</v>
      </c>
      <c r="T44" s="23">
        <v>7</v>
      </c>
      <c r="U44" s="23">
        <v>5</v>
      </c>
    </row>
    <row r="45" spans="1:21" hidden="1" x14ac:dyDescent="0.15">
      <c r="A45" s="54" t="s">
        <v>419</v>
      </c>
      <c r="B45" s="23">
        <v>196</v>
      </c>
      <c r="C45" s="23">
        <v>286</v>
      </c>
      <c r="D45" s="23">
        <v>253</v>
      </c>
      <c r="E45" s="23">
        <v>350</v>
      </c>
      <c r="F45" s="23">
        <v>295</v>
      </c>
      <c r="G45" s="23">
        <v>236</v>
      </c>
      <c r="H45" s="23">
        <v>143</v>
      </c>
      <c r="I45" s="23">
        <v>208</v>
      </c>
      <c r="J45" s="23">
        <v>152</v>
      </c>
      <c r="K45" s="23">
        <v>436</v>
      </c>
      <c r="L45" s="23">
        <v>255</v>
      </c>
      <c r="M45" s="23">
        <v>261</v>
      </c>
      <c r="N45" s="23">
        <v>296</v>
      </c>
      <c r="O45" s="23">
        <v>397</v>
      </c>
      <c r="P45" s="23">
        <v>547</v>
      </c>
      <c r="Q45" s="23">
        <v>366</v>
      </c>
      <c r="R45" s="23">
        <v>1756</v>
      </c>
      <c r="S45" s="23">
        <v>754</v>
      </c>
      <c r="T45" s="23">
        <v>662</v>
      </c>
      <c r="U45" s="23">
        <v>100</v>
      </c>
    </row>
    <row r="46" spans="1:21" hidden="1" x14ac:dyDescent="0.15">
      <c r="A46" s="54" t="s">
        <v>420</v>
      </c>
      <c r="B46" s="23">
        <v>21</v>
      </c>
      <c r="C46" s="23">
        <v>33</v>
      </c>
      <c r="D46" s="23">
        <v>30</v>
      </c>
      <c r="E46" s="23">
        <v>34</v>
      </c>
      <c r="F46" s="23">
        <v>25</v>
      </c>
      <c r="G46" s="23">
        <v>19</v>
      </c>
      <c r="H46" s="23">
        <v>11</v>
      </c>
      <c r="I46" s="23">
        <v>25</v>
      </c>
      <c r="J46" s="23">
        <v>10</v>
      </c>
      <c r="K46" s="23">
        <v>42</v>
      </c>
      <c r="L46" s="23">
        <v>34</v>
      </c>
      <c r="M46" s="23">
        <v>33</v>
      </c>
      <c r="N46" s="23">
        <v>27</v>
      </c>
      <c r="O46" s="23">
        <v>34</v>
      </c>
      <c r="P46" s="23">
        <v>50</v>
      </c>
      <c r="Q46" s="23">
        <v>28</v>
      </c>
      <c r="R46" s="23">
        <v>175</v>
      </c>
      <c r="S46" s="23">
        <v>70</v>
      </c>
      <c r="T46" s="23">
        <v>59</v>
      </c>
      <c r="U46" s="23">
        <v>4</v>
      </c>
    </row>
    <row r="47" spans="1:21" hidden="1" x14ac:dyDescent="0.15">
      <c r="A47" s="54" t="s">
        <v>421</v>
      </c>
      <c r="B47" s="23">
        <v>17</v>
      </c>
      <c r="C47" s="23">
        <v>14</v>
      </c>
      <c r="D47" s="23">
        <v>16</v>
      </c>
      <c r="E47" s="23">
        <v>16</v>
      </c>
      <c r="F47" s="23">
        <v>16</v>
      </c>
      <c r="G47" s="23">
        <v>22</v>
      </c>
      <c r="H47" s="23">
        <v>10</v>
      </c>
      <c r="I47" s="23">
        <v>13</v>
      </c>
      <c r="J47" s="23">
        <v>9</v>
      </c>
      <c r="K47" s="23">
        <v>33</v>
      </c>
      <c r="L47" s="23">
        <v>15</v>
      </c>
      <c r="M47" s="23">
        <v>24</v>
      </c>
      <c r="N47" s="23">
        <v>52</v>
      </c>
      <c r="O47" s="23">
        <v>48</v>
      </c>
      <c r="P47" s="23">
        <v>54</v>
      </c>
      <c r="Q47" s="23">
        <v>68</v>
      </c>
      <c r="R47" s="23">
        <v>184</v>
      </c>
      <c r="S47" s="23">
        <v>110</v>
      </c>
      <c r="T47" s="23">
        <v>46</v>
      </c>
      <c r="U47" s="23">
        <v>3</v>
      </c>
    </row>
    <row r="48" spans="1:21" hidden="1" x14ac:dyDescent="0.15">
      <c r="A48" s="54" t="s">
        <v>422</v>
      </c>
      <c r="B48" s="23">
        <v>6</v>
      </c>
      <c r="C48" s="23">
        <v>9</v>
      </c>
      <c r="D48" s="23">
        <v>2</v>
      </c>
      <c r="E48" s="23">
        <v>9</v>
      </c>
      <c r="F48" s="23">
        <v>7</v>
      </c>
      <c r="G48" s="23">
        <v>9</v>
      </c>
      <c r="H48" s="23">
        <v>7</v>
      </c>
      <c r="I48" s="23">
        <v>12</v>
      </c>
      <c r="J48" s="23">
        <v>6</v>
      </c>
      <c r="K48" s="23">
        <v>15</v>
      </c>
      <c r="L48" s="23">
        <v>13</v>
      </c>
      <c r="M48" s="23">
        <v>7</v>
      </c>
      <c r="N48" s="23">
        <v>11</v>
      </c>
      <c r="O48" s="23">
        <v>16</v>
      </c>
      <c r="P48" s="23">
        <v>15</v>
      </c>
      <c r="Q48" s="23">
        <v>17</v>
      </c>
      <c r="R48" s="23">
        <v>75</v>
      </c>
      <c r="S48" s="23">
        <v>27</v>
      </c>
      <c r="T48" s="23">
        <v>18</v>
      </c>
      <c r="U48" s="23">
        <v>5</v>
      </c>
    </row>
    <row r="49" spans="1:21" hidden="1" x14ac:dyDescent="0.15">
      <c r="A49" s="54" t="s">
        <v>423</v>
      </c>
      <c r="B49" s="23">
        <v>3</v>
      </c>
      <c r="C49" s="23">
        <v>1</v>
      </c>
      <c r="D49" s="23">
        <v>2</v>
      </c>
      <c r="E49" s="23"/>
      <c r="F49" s="23">
        <v>1</v>
      </c>
      <c r="G49" s="23"/>
      <c r="H49" s="23"/>
      <c r="I49" s="23"/>
      <c r="J49" s="23"/>
      <c r="K49" s="23">
        <v>2</v>
      </c>
      <c r="L49" s="23">
        <v>4</v>
      </c>
      <c r="M49" s="23"/>
      <c r="N49" s="23">
        <v>3</v>
      </c>
      <c r="O49" s="23">
        <v>1</v>
      </c>
      <c r="P49" s="23">
        <v>1</v>
      </c>
      <c r="Q49" s="23">
        <v>1</v>
      </c>
      <c r="R49" s="23">
        <v>12</v>
      </c>
      <c r="S49" s="23">
        <v>3</v>
      </c>
      <c r="T49" s="23">
        <v>9</v>
      </c>
      <c r="U49" s="23"/>
    </row>
    <row r="50" spans="1:21" hidden="1" x14ac:dyDescent="0.15">
      <c r="A50" s="54" t="s">
        <v>424</v>
      </c>
      <c r="B50" s="23"/>
      <c r="C50" s="23"/>
      <c r="D50" s="23">
        <v>2</v>
      </c>
      <c r="E50" s="23">
        <v>1</v>
      </c>
      <c r="F50" s="23">
        <v>3</v>
      </c>
      <c r="G50" s="23">
        <v>2</v>
      </c>
      <c r="H50" s="23"/>
      <c r="I50" s="23"/>
      <c r="J50" s="23"/>
      <c r="K50" s="23">
        <v>5</v>
      </c>
      <c r="L50" s="23">
        <v>3</v>
      </c>
      <c r="M50" s="23">
        <v>1</v>
      </c>
      <c r="N50" s="23"/>
      <c r="O50" s="23"/>
      <c r="P50" s="23">
        <v>6</v>
      </c>
      <c r="Q50" s="23">
        <v>1</v>
      </c>
      <c r="R50" s="23">
        <v>11</v>
      </c>
      <c r="S50" s="23">
        <v>1</v>
      </c>
      <c r="T50" s="23">
        <v>3</v>
      </c>
      <c r="U50" s="23">
        <v>1</v>
      </c>
    </row>
    <row r="51" spans="1:21" hidden="1" x14ac:dyDescent="0.15">
      <c r="A51" s="54" t="s">
        <v>425</v>
      </c>
      <c r="B51" s="23">
        <v>6</v>
      </c>
      <c r="C51" s="23">
        <v>7</v>
      </c>
      <c r="D51" s="23">
        <v>3</v>
      </c>
      <c r="E51" s="23">
        <v>12</v>
      </c>
      <c r="F51" s="23">
        <v>16</v>
      </c>
      <c r="G51" s="23">
        <v>14</v>
      </c>
      <c r="H51" s="23">
        <v>3</v>
      </c>
      <c r="I51" s="23">
        <v>5</v>
      </c>
      <c r="J51" s="23">
        <v>3</v>
      </c>
      <c r="K51" s="23">
        <v>9</v>
      </c>
      <c r="L51" s="23">
        <v>9</v>
      </c>
      <c r="M51" s="23">
        <v>9</v>
      </c>
      <c r="N51" s="23">
        <v>8</v>
      </c>
      <c r="O51" s="23">
        <v>17</v>
      </c>
      <c r="P51" s="23">
        <v>35</v>
      </c>
      <c r="Q51" s="23">
        <v>24</v>
      </c>
      <c r="R51" s="23">
        <v>69</v>
      </c>
      <c r="S51" s="23">
        <v>27</v>
      </c>
      <c r="T51" s="23">
        <v>19</v>
      </c>
      <c r="U51" s="23">
        <v>4</v>
      </c>
    </row>
    <row r="52" spans="1:21" hidden="1" x14ac:dyDescent="0.15">
      <c r="A52" s="54" t="s">
        <v>426</v>
      </c>
      <c r="B52" s="23">
        <v>3</v>
      </c>
      <c r="C52" s="23">
        <v>5</v>
      </c>
      <c r="D52" s="23">
        <v>4</v>
      </c>
      <c r="E52" s="23">
        <v>5</v>
      </c>
      <c r="F52" s="23">
        <v>6</v>
      </c>
      <c r="G52" s="23">
        <v>3</v>
      </c>
      <c r="H52" s="23">
        <v>2</v>
      </c>
      <c r="I52" s="23">
        <v>3</v>
      </c>
      <c r="J52" s="23">
        <v>3</v>
      </c>
      <c r="K52" s="23">
        <v>12</v>
      </c>
      <c r="L52" s="23">
        <v>4</v>
      </c>
      <c r="M52" s="23">
        <v>3</v>
      </c>
      <c r="N52" s="23">
        <v>5</v>
      </c>
      <c r="O52" s="23">
        <v>5</v>
      </c>
      <c r="P52" s="23">
        <v>3</v>
      </c>
      <c r="Q52" s="23">
        <v>3</v>
      </c>
      <c r="R52" s="23">
        <v>32</v>
      </c>
      <c r="S52" s="23">
        <v>13</v>
      </c>
      <c r="T52" s="23">
        <v>5</v>
      </c>
      <c r="U52" s="23"/>
    </row>
    <row r="53" spans="1:21" hidden="1" x14ac:dyDescent="0.15">
      <c r="A53" s="54" t="s">
        <v>427</v>
      </c>
      <c r="B53" s="23"/>
      <c r="C53" s="23">
        <v>3</v>
      </c>
      <c r="D53" s="23">
        <v>3</v>
      </c>
      <c r="E53" s="23">
        <v>2</v>
      </c>
      <c r="F53" s="23"/>
      <c r="G53" s="23">
        <v>4</v>
      </c>
      <c r="H53" s="23">
        <v>3</v>
      </c>
      <c r="I53" s="23"/>
      <c r="J53" s="23">
        <v>3</v>
      </c>
      <c r="K53" s="23">
        <v>1</v>
      </c>
      <c r="L53" s="23">
        <v>3</v>
      </c>
      <c r="M53" s="23"/>
      <c r="N53" s="23">
        <v>2</v>
      </c>
      <c r="O53" s="23"/>
      <c r="P53" s="23">
        <v>3</v>
      </c>
      <c r="Q53" s="23"/>
      <c r="R53" s="23">
        <v>6</v>
      </c>
      <c r="S53" s="23">
        <v>5</v>
      </c>
      <c r="T53" s="23">
        <v>1</v>
      </c>
      <c r="U53" s="23"/>
    </row>
    <row r="54" spans="1:21" hidden="1" x14ac:dyDescent="0.15">
      <c r="A54" s="43" t="s">
        <v>428</v>
      </c>
      <c r="B54" s="23">
        <v>2</v>
      </c>
      <c r="C54" s="23">
        <v>1</v>
      </c>
      <c r="D54" s="23">
        <v>5</v>
      </c>
      <c r="E54" s="23"/>
      <c r="F54" s="23">
        <v>2</v>
      </c>
      <c r="G54" s="23">
        <v>2</v>
      </c>
      <c r="H54" s="23">
        <v>2</v>
      </c>
      <c r="I54" s="23">
        <v>1</v>
      </c>
      <c r="J54" s="23"/>
      <c r="K54" s="23">
        <v>2</v>
      </c>
      <c r="L54" s="23">
        <v>8</v>
      </c>
      <c r="M54" s="23">
        <v>2</v>
      </c>
      <c r="N54" s="23">
        <v>2</v>
      </c>
      <c r="O54" s="23"/>
      <c r="P54" s="23">
        <v>2</v>
      </c>
      <c r="Q54" s="23">
        <v>1</v>
      </c>
      <c r="R54" s="23">
        <v>10</v>
      </c>
      <c r="S54" s="23">
        <v>4</v>
      </c>
      <c r="T54" s="23">
        <v>2</v>
      </c>
      <c r="U54" s="23"/>
    </row>
    <row r="55" spans="1:21" hidden="1" x14ac:dyDescent="0.15">
      <c r="A55" s="54" t="s">
        <v>18</v>
      </c>
      <c r="B55" s="23">
        <v>1</v>
      </c>
      <c r="C55" s="23">
        <v>9</v>
      </c>
      <c r="D55" s="23">
        <v>4</v>
      </c>
      <c r="E55" s="23">
        <v>6</v>
      </c>
      <c r="F55" s="23">
        <v>10</v>
      </c>
      <c r="G55" s="23">
        <v>2</v>
      </c>
      <c r="H55" s="23"/>
      <c r="I55" s="23">
        <v>1</v>
      </c>
      <c r="J55" s="23">
        <v>3</v>
      </c>
      <c r="K55" s="23">
        <v>4</v>
      </c>
      <c r="L55" s="23">
        <v>5</v>
      </c>
      <c r="M55" s="23">
        <v>5</v>
      </c>
      <c r="N55" s="23">
        <v>5</v>
      </c>
      <c r="O55" s="23">
        <v>5</v>
      </c>
      <c r="P55" s="23">
        <v>19</v>
      </c>
      <c r="Q55" s="23">
        <v>11</v>
      </c>
      <c r="R55" s="23">
        <v>27</v>
      </c>
      <c r="S55" s="23">
        <v>7</v>
      </c>
      <c r="T55" s="23">
        <v>10</v>
      </c>
      <c r="U55" s="23">
        <v>4</v>
      </c>
    </row>
    <row r="56" spans="1:21" hidden="1" x14ac:dyDescent="0.15"/>
  </sheetData>
  <mergeCells count="16">
    <mergeCell ref="A28:A29"/>
    <mergeCell ref="A30:A31"/>
    <mergeCell ref="A32:A33"/>
    <mergeCell ref="A34:A35"/>
    <mergeCell ref="A16:A17"/>
    <mergeCell ref="A18:A19"/>
    <mergeCell ref="A20:A21"/>
    <mergeCell ref="A22:A23"/>
    <mergeCell ref="A24:A25"/>
    <mergeCell ref="A26:A27"/>
    <mergeCell ref="A14:A15"/>
    <mergeCell ref="A4:A5"/>
    <mergeCell ref="A6:A7"/>
    <mergeCell ref="A8:A9"/>
    <mergeCell ref="A10:A11"/>
    <mergeCell ref="A12:A13"/>
  </mergeCells>
  <phoneticPr fontId="2"/>
  <printOptions horizontalCentered="1"/>
  <pageMargins left="0.70866141732283472" right="0.70866141732283472" top="0.74803149606299213" bottom="0.74803149606299213" header="0.31496062992125984" footer="0.31496062992125984"/>
  <pageSetup paperSize="9" scale="76"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A1:U66"/>
  <sheetViews>
    <sheetView showGridLines="0" view="pageBreakPreview" zoomScaleNormal="100" zoomScaleSheetLayoutView="100" workbookViewId="0">
      <selection activeCell="A46" sqref="A46:XFD66"/>
    </sheetView>
  </sheetViews>
  <sheetFormatPr defaultColWidth="13.75" defaultRowHeight="18.75" x14ac:dyDescent="0.15"/>
  <cols>
    <col min="1" max="1" width="15.625" style="1" customWidth="1"/>
    <col min="2" max="11" width="8.75" style="1" customWidth="1"/>
    <col min="12" max="21" width="7.25" style="1" customWidth="1"/>
    <col min="22" max="16384" width="13.75" style="1"/>
  </cols>
  <sheetData>
    <row r="1" spans="1:11" s="3" customFormat="1" ht="19.5" x14ac:dyDescent="0.15">
      <c r="A1" s="2" t="s">
        <v>519</v>
      </c>
    </row>
    <row r="2" spans="1:11" x14ac:dyDescent="0.15">
      <c r="A2" s="4"/>
    </row>
    <row r="3" spans="1:11" ht="37.5" x14ac:dyDescent="0.15">
      <c r="A3" s="508"/>
      <c r="B3" s="508" t="s">
        <v>382</v>
      </c>
      <c r="C3" s="508" t="s">
        <v>383</v>
      </c>
      <c r="D3" s="508" t="s">
        <v>384</v>
      </c>
      <c r="E3" s="508" t="s">
        <v>385</v>
      </c>
      <c r="F3" s="508" t="s">
        <v>386</v>
      </c>
      <c r="G3" s="508" t="s">
        <v>387</v>
      </c>
      <c r="H3" s="508" t="s">
        <v>388</v>
      </c>
      <c r="I3" s="508" t="s">
        <v>389</v>
      </c>
      <c r="J3" s="540" t="s">
        <v>503</v>
      </c>
      <c r="K3" s="508" t="s">
        <v>62</v>
      </c>
    </row>
    <row r="4" spans="1:11" s="22" customFormat="1" ht="18.75" customHeight="1" x14ac:dyDescent="0.15">
      <c r="A4" s="703" t="s">
        <v>60</v>
      </c>
      <c r="B4" s="509">
        <f>SUM(B50:D50)</f>
        <v>147</v>
      </c>
      <c r="C4" s="509">
        <f>SUM(E50:F50)</f>
        <v>137</v>
      </c>
      <c r="D4" s="509">
        <f>SUM(G50:J50)</f>
        <v>175</v>
      </c>
      <c r="E4" s="509">
        <f>SUM(K50:L50)</f>
        <v>187</v>
      </c>
      <c r="F4" s="509">
        <f>SUM(M50:N50)</f>
        <v>125</v>
      </c>
      <c r="G4" s="509">
        <f>SUM(O50:Q50)</f>
        <v>205</v>
      </c>
      <c r="H4" s="509">
        <f>R50</f>
        <v>464</v>
      </c>
      <c r="I4" s="509">
        <f>S50</f>
        <v>183</v>
      </c>
      <c r="J4" s="509">
        <f>SUM(T50:U50)</f>
        <v>122</v>
      </c>
      <c r="K4" s="510">
        <f>SUM(B4:J4)</f>
        <v>1745</v>
      </c>
    </row>
    <row r="5" spans="1:11" s="22" customFormat="1" ht="18.75" customHeight="1" x14ac:dyDescent="0.15">
      <c r="A5" s="719"/>
      <c r="B5" s="514">
        <f>B4/B$36</f>
        <v>0.11731843575418995</v>
      </c>
      <c r="C5" s="514">
        <f t="shared" ref="C5:J5" si="0">C4/C$36</f>
        <v>0.10277569392348088</v>
      </c>
      <c r="D5" s="514">
        <f t="shared" si="0"/>
        <v>0.13348588863463004</v>
      </c>
      <c r="E5" s="514">
        <f t="shared" si="0"/>
        <v>0.15215622457282343</v>
      </c>
      <c r="F5" s="514">
        <f t="shared" si="0"/>
        <v>0.11671335200746966</v>
      </c>
      <c r="G5" s="514">
        <f t="shared" si="0"/>
        <v>6.3291139240506333E-2</v>
      </c>
      <c r="H5" s="514">
        <f t="shared" si="0"/>
        <v>0.14022363251737685</v>
      </c>
      <c r="I5" s="514">
        <f t="shared" si="0"/>
        <v>0.11952971913781842</v>
      </c>
      <c r="J5" s="514">
        <f t="shared" si="0"/>
        <v>8.8469905728788975E-2</v>
      </c>
      <c r="K5" s="514">
        <f>K4/K$36</f>
        <v>0.11146598530820824</v>
      </c>
    </row>
    <row r="6" spans="1:11" s="22" customFormat="1" ht="18.75" customHeight="1" x14ac:dyDescent="0.15">
      <c r="A6" s="532" t="s">
        <v>434</v>
      </c>
      <c r="B6" s="509">
        <f>SUM(B51:D51)</f>
        <v>141</v>
      </c>
      <c r="C6" s="509">
        <f>SUM(E51:F51)</f>
        <v>148</v>
      </c>
      <c r="D6" s="509">
        <f>SUM(G51:J51)</f>
        <v>158</v>
      </c>
      <c r="E6" s="509">
        <f>SUM(K51:L51)</f>
        <v>167</v>
      </c>
      <c r="F6" s="509">
        <f>SUM(M51:N51)</f>
        <v>131</v>
      </c>
      <c r="G6" s="509">
        <f>SUM(O51:Q51)</f>
        <v>248</v>
      </c>
      <c r="H6" s="509">
        <f>R51</f>
        <v>465</v>
      </c>
      <c r="I6" s="509">
        <f>S51</f>
        <v>194</v>
      </c>
      <c r="J6" s="509">
        <f>SUM(T51:U51)</f>
        <v>137</v>
      </c>
      <c r="K6" s="510">
        <f>SUM(B6:J6)</f>
        <v>1789</v>
      </c>
    </row>
    <row r="7" spans="1:11" s="22" customFormat="1" ht="18.75" customHeight="1" x14ac:dyDescent="0.15">
      <c r="A7" s="533" t="s">
        <v>435</v>
      </c>
      <c r="B7" s="514">
        <f>B6/B$36</f>
        <v>0.11252992817238627</v>
      </c>
      <c r="C7" s="514">
        <f t="shared" ref="C7:J7" si="1">C6/C$36</f>
        <v>0.11102775693923481</v>
      </c>
      <c r="D7" s="514">
        <f t="shared" si="1"/>
        <v>0.12051868802440885</v>
      </c>
      <c r="E7" s="514">
        <f t="shared" si="1"/>
        <v>0.13588283157038242</v>
      </c>
      <c r="F7" s="514">
        <f t="shared" si="1"/>
        <v>0.12231559290382819</v>
      </c>
      <c r="G7" s="514">
        <f t="shared" si="1"/>
        <v>7.6566841617783266E-2</v>
      </c>
      <c r="H7" s="514">
        <f t="shared" si="1"/>
        <v>0.14052583862194015</v>
      </c>
      <c r="I7" s="514">
        <f t="shared" si="1"/>
        <v>0.12671456564337036</v>
      </c>
      <c r="J7" s="514">
        <f t="shared" si="1"/>
        <v>9.934735315445975E-2</v>
      </c>
      <c r="K7" s="514">
        <f>K6/K$36</f>
        <v>0.11427658894921751</v>
      </c>
    </row>
    <row r="8" spans="1:11" s="22" customFormat="1" ht="18.75" customHeight="1" x14ac:dyDescent="0.15">
      <c r="A8" s="532" t="s">
        <v>436</v>
      </c>
      <c r="B8" s="509">
        <f>SUM(B52:D52)</f>
        <v>105</v>
      </c>
      <c r="C8" s="509">
        <f>SUM(E52:F52)</f>
        <v>141</v>
      </c>
      <c r="D8" s="509">
        <f>SUM(G52:J52)</f>
        <v>121</v>
      </c>
      <c r="E8" s="509">
        <f>SUM(K52:L52)</f>
        <v>127</v>
      </c>
      <c r="F8" s="509">
        <f>SUM(M52:N52)</f>
        <v>99</v>
      </c>
      <c r="G8" s="509">
        <f>SUM(O52:Q52)</f>
        <v>276</v>
      </c>
      <c r="H8" s="509">
        <f>R52</f>
        <v>289</v>
      </c>
      <c r="I8" s="509">
        <f>S52</f>
        <v>119</v>
      </c>
      <c r="J8" s="509">
        <f>SUM(T52:U52)</f>
        <v>98</v>
      </c>
      <c r="K8" s="510">
        <f>SUM(B8:J8)</f>
        <v>1375</v>
      </c>
    </row>
    <row r="9" spans="1:11" s="22" customFormat="1" ht="18.75" customHeight="1" x14ac:dyDescent="0.15">
      <c r="A9" s="533" t="s">
        <v>437</v>
      </c>
      <c r="B9" s="514">
        <f>B8/B$36</f>
        <v>8.3798882681564241E-2</v>
      </c>
      <c r="C9" s="514">
        <f t="shared" ref="C9:J9" si="2">C8/C$36</f>
        <v>0.10577644411102775</v>
      </c>
      <c r="D9" s="514">
        <f t="shared" si="2"/>
        <v>9.2295957284515631E-2</v>
      </c>
      <c r="E9" s="514">
        <f t="shared" si="2"/>
        <v>0.10333604556550041</v>
      </c>
      <c r="F9" s="514">
        <f t="shared" si="2"/>
        <v>9.2436974789915971E-2</v>
      </c>
      <c r="G9" s="514">
        <f t="shared" si="2"/>
        <v>8.5211485026242664E-2</v>
      </c>
      <c r="H9" s="514">
        <f t="shared" si="2"/>
        <v>8.7337564218797223E-2</v>
      </c>
      <c r="I9" s="514">
        <f t="shared" si="2"/>
        <v>7.7726975832789022E-2</v>
      </c>
      <c r="J9" s="514">
        <f t="shared" si="2"/>
        <v>7.1065989847715741E-2</v>
      </c>
      <c r="K9" s="514">
        <f>K8/K$36</f>
        <v>8.783136378153944E-2</v>
      </c>
    </row>
    <row r="10" spans="1:11" s="22" customFormat="1" ht="18.75" customHeight="1" x14ac:dyDescent="0.15">
      <c r="A10" s="532" t="s">
        <v>438</v>
      </c>
      <c r="B10" s="509">
        <f>SUM(B53:D53)</f>
        <v>129</v>
      </c>
      <c r="C10" s="509">
        <f>SUM(E53:F53)</f>
        <v>154</v>
      </c>
      <c r="D10" s="509">
        <f>SUM(G53:J53)</f>
        <v>153</v>
      </c>
      <c r="E10" s="509">
        <f>SUM(K53:L53)</f>
        <v>132</v>
      </c>
      <c r="F10" s="509">
        <f>SUM(M53:N53)</f>
        <v>110</v>
      </c>
      <c r="G10" s="509">
        <f>SUM(O53:Q53)</f>
        <v>369</v>
      </c>
      <c r="H10" s="509">
        <f>R53</f>
        <v>302</v>
      </c>
      <c r="I10" s="509">
        <f>S53</f>
        <v>141</v>
      </c>
      <c r="J10" s="509">
        <f>SUM(T53:U53)</f>
        <v>114</v>
      </c>
      <c r="K10" s="510">
        <f>SUM(B10:J10)</f>
        <v>1604</v>
      </c>
    </row>
    <row r="11" spans="1:11" s="22" customFormat="1" ht="18.75" customHeight="1" x14ac:dyDescent="0.15">
      <c r="A11" s="533" t="s">
        <v>69</v>
      </c>
      <c r="B11" s="514">
        <f>B10/B$36</f>
        <v>0.10295291300877893</v>
      </c>
      <c r="C11" s="514">
        <f t="shared" ref="C11:J11" si="3">C10/C$36</f>
        <v>0.11552888222055514</v>
      </c>
      <c r="D11" s="514">
        <f t="shared" si="3"/>
        <v>0.11670480549199085</v>
      </c>
      <c r="E11" s="514">
        <f t="shared" si="3"/>
        <v>0.10740439381611067</v>
      </c>
      <c r="F11" s="514">
        <f t="shared" si="3"/>
        <v>0.10270774976657329</v>
      </c>
      <c r="G11" s="514">
        <f t="shared" si="3"/>
        <v>0.11392405063291139</v>
      </c>
      <c r="H11" s="514">
        <f t="shared" si="3"/>
        <v>9.1266243578120285E-2</v>
      </c>
      <c r="I11" s="514">
        <f t="shared" si="3"/>
        <v>9.2096668843892879E-2</v>
      </c>
      <c r="J11" s="514">
        <f t="shared" si="3"/>
        <v>8.2668600435097897E-2</v>
      </c>
      <c r="K11" s="514">
        <f>K10/K$36</f>
        <v>0.1024592781858831</v>
      </c>
    </row>
    <row r="12" spans="1:11" s="22" customFormat="1" ht="18.75" customHeight="1" x14ac:dyDescent="0.15">
      <c r="A12" s="532" t="s">
        <v>439</v>
      </c>
      <c r="B12" s="509">
        <f>SUM(B54:D54)</f>
        <v>79</v>
      </c>
      <c r="C12" s="509">
        <f>SUM(E54:F54)</f>
        <v>122</v>
      </c>
      <c r="D12" s="509">
        <f>SUM(G54:J54)</f>
        <v>88</v>
      </c>
      <c r="E12" s="509">
        <f>SUM(K54:L54)</f>
        <v>78</v>
      </c>
      <c r="F12" s="509">
        <f>SUM(M54:N54)</f>
        <v>55</v>
      </c>
      <c r="G12" s="509">
        <f>SUM(O54:Q54)</f>
        <v>271</v>
      </c>
      <c r="H12" s="509">
        <f>R54</f>
        <v>221</v>
      </c>
      <c r="I12" s="509">
        <f>S54</f>
        <v>80</v>
      </c>
      <c r="J12" s="509">
        <f>SUM(T54:U54)</f>
        <v>82</v>
      </c>
      <c r="K12" s="510">
        <f>SUM(B12:J12)</f>
        <v>1076</v>
      </c>
    </row>
    <row r="13" spans="1:11" s="22" customFormat="1" ht="18.75" customHeight="1" x14ac:dyDescent="0.15">
      <c r="A13" s="533" t="s">
        <v>440</v>
      </c>
      <c r="B13" s="514">
        <f>B12/B$36</f>
        <v>6.3048683160415009E-2</v>
      </c>
      <c r="C13" s="514">
        <f t="shared" ref="C13:J13" si="4">C12/C$36</f>
        <v>9.1522880720180042E-2</v>
      </c>
      <c r="D13" s="514">
        <f t="shared" si="4"/>
        <v>6.7124332570556833E-2</v>
      </c>
      <c r="E13" s="514">
        <f t="shared" si="4"/>
        <v>6.346623270951994E-2</v>
      </c>
      <c r="F13" s="514">
        <f t="shared" si="4"/>
        <v>5.1353874883286646E-2</v>
      </c>
      <c r="G13" s="514">
        <f t="shared" si="4"/>
        <v>8.3667798703303486E-2</v>
      </c>
      <c r="H13" s="514">
        <f t="shared" si="4"/>
        <v>6.6787549108491995E-2</v>
      </c>
      <c r="I13" s="514">
        <f t="shared" si="4"/>
        <v>5.2253429131286742E-2</v>
      </c>
      <c r="J13" s="514">
        <f t="shared" si="4"/>
        <v>5.9463379260333578E-2</v>
      </c>
      <c r="K13" s="514">
        <f>K12/K$36</f>
        <v>6.8732034493771951E-2</v>
      </c>
    </row>
    <row r="14" spans="1:11" s="22" customFormat="1" ht="18.75" customHeight="1" x14ac:dyDescent="0.15">
      <c r="A14" s="532" t="s">
        <v>441</v>
      </c>
      <c r="B14" s="509">
        <f>SUM(B55:D55)</f>
        <v>57</v>
      </c>
      <c r="C14" s="509">
        <f>SUM(E55:F55)</f>
        <v>65</v>
      </c>
      <c r="D14" s="509">
        <f>SUM(G55:J55)</f>
        <v>61</v>
      </c>
      <c r="E14" s="509">
        <f>SUM(K55:L55)</f>
        <v>96</v>
      </c>
      <c r="F14" s="509">
        <f>SUM(M55:N55)</f>
        <v>60</v>
      </c>
      <c r="G14" s="509">
        <f>SUM(O55:Q55)</f>
        <v>209</v>
      </c>
      <c r="H14" s="509">
        <f>R55</f>
        <v>171</v>
      </c>
      <c r="I14" s="509">
        <f>S55</f>
        <v>60</v>
      </c>
      <c r="J14" s="509">
        <f>SUM(T55:U55)</f>
        <v>64</v>
      </c>
      <c r="K14" s="510">
        <f>SUM(B14:J14)</f>
        <v>843</v>
      </c>
    </row>
    <row r="15" spans="1:11" s="22" customFormat="1" ht="18.75" customHeight="1" x14ac:dyDescent="0.15">
      <c r="A15" s="533" t="s">
        <v>442</v>
      </c>
      <c r="B15" s="514">
        <f>B14/B$36</f>
        <v>4.5490822027134878E-2</v>
      </c>
      <c r="C15" s="514">
        <f t="shared" ref="C15:J15" si="5">C14/C$36</f>
        <v>4.8762190547636912E-2</v>
      </c>
      <c r="D15" s="514">
        <f t="shared" si="5"/>
        <v>4.6529366895499621E-2</v>
      </c>
      <c r="E15" s="514">
        <f t="shared" si="5"/>
        <v>7.8112286411716844E-2</v>
      </c>
      <c r="F15" s="514">
        <f t="shared" si="5"/>
        <v>5.6022408963585436E-2</v>
      </c>
      <c r="G15" s="514">
        <f t="shared" si="5"/>
        <v>6.452608829885767E-2</v>
      </c>
      <c r="H15" s="514">
        <f t="shared" si="5"/>
        <v>5.1677243880326386E-2</v>
      </c>
      <c r="I15" s="514">
        <f t="shared" si="5"/>
        <v>3.9190071848465055E-2</v>
      </c>
      <c r="J15" s="514">
        <f t="shared" si="5"/>
        <v>4.6410442349528645E-2</v>
      </c>
      <c r="K15" s="514">
        <f>K14/K$36</f>
        <v>5.3848610667518365E-2</v>
      </c>
    </row>
    <row r="16" spans="1:11" s="22" customFormat="1" ht="18.75" customHeight="1" x14ac:dyDescent="0.15">
      <c r="A16" s="532" t="s">
        <v>443</v>
      </c>
      <c r="B16" s="509">
        <f>SUM(B56:D56)</f>
        <v>119</v>
      </c>
      <c r="C16" s="509">
        <f>SUM(E56:F56)</f>
        <v>140</v>
      </c>
      <c r="D16" s="509">
        <f>SUM(G56:J56)</f>
        <v>106</v>
      </c>
      <c r="E16" s="509">
        <f>SUM(K56:L56)</f>
        <v>80</v>
      </c>
      <c r="F16" s="509">
        <f>SUM(M56:N56)</f>
        <v>82</v>
      </c>
      <c r="G16" s="509">
        <f>SUM(O56:Q56)</f>
        <v>328</v>
      </c>
      <c r="H16" s="509">
        <f>R56</f>
        <v>218</v>
      </c>
      <c r="I16" s="509">
        <f>S56</f>
        <v>118</v>
      </c>
      <c r="J16" s="509">
        <f>SUM(T56:U56)</f>
        <v>149</v>
      </c>
      <c r="K16" s="510">
        <f>SUM(B16:J16)</f>
        <v>1340</v>
      </c>
    </row>
    <row r="17" spans="1:11" s="22" customFormat="1" ht="18.75" customHeight="1" x14ac:dyDescent="0.15">
      <c r="A17" s="533" t="s">
        <v>444</v>
      </c>
      <c r="B17" s="550">
        <f>B16/B$36</f>
        <v>9.4972067039106142E-2</v>
      </c>
      <c r="C17" s="550">
        <f t="shared" ref="C17:J17" si="6">C16/C$36</f>
        <v>0.10502625656414104</v>
      </c>
      <c r="D17" s="550">
        <f t="shared" si="6"/>
        <v>8.0854309687261636E-2</v>
      </c>
      <c r="E17" s="550">
        <f t="shared" si="6"/>
        <v>6.5093572009764039E-2</v>
      </c>
      <c r="F17" s="550">
        <f t="shared" si="6"/>
        <v>7.6563958916900099E-2</v>
      </c>
      <c r="G17" s="550">
        <f t="shared" si="6"/>
        <v>0.10126582278481013</v>
      </c>
      <c r="H17" s="550">
        <f t="shared" si="6"/>
        <v>6.5880930794802062E-2</v>
      </c>
      <c r="I17" s="550">
        <f t="shared" si="6"/>
        <v>7.7073807968647948E-2</v>
      </c>
      <c r="J17" s="550">
        <f t="shared" si="6"/>
        <v>0.10804931109499638</v>
      </c>
      <c r="K17" s="550">
        <f>K16/K$36</f>
        <v>8.5595656339827533E-2</v>
      </c>
    </row>
    <row r="18" spans="1:11" s="22" customFormat="1" ht="18.75" customHeight="1" x14ac:dyDescent="0.15">
      <c r="A18" s="551" t="s">
        <v>445</v>
      </c>
      <c r="B18" s="509">
        <f>SUM(B57:D57)</f>
        <v>74</v>
      </c>
      <c r="C18" s="509">
        <f>SUM(E57:F57)</f>
        <v>71</v>
      </c>
      <c r="D18" s="509">
        <f>SUM(G57:J57)</f>
        <v>80</v>
      </c>
      <c r="E18" s="509">
        <f>SUM(K57:L57)</f>
        <v>70</v>
      </c>
      <c r="F18" s="509">
        <f>SUM(M57:N57)</f>
        <v>54</v>
      </c>
      <c r="G18" s="509">
        <f>SUM(O57:Q57)</f>
        <v>255</v>
      </c>
      <c r="H18" s="509">
        <f>R57</f>
        <v>171</v>
      </c>
      <c r="I18" s="509">
        <f>S57</f>
        <v>74</v>
      </c>
      <c r="J18" s="509">
        <f>SUM(T57:U57)</f>
        <v>83</v>
      </c>
      <c r="K18" s="510">
        <f>SUM(B18:J18)</f>
        <v>932</v>
      </c>
    </row>
    <row r="19" spans="1:11" s="22" customFormat="1" ht="18.75" customHeight="1" x14ac:dyDescent="0.15">
      <c r="A19" s="552" t="s">
        <v>446</v>
      </c>
      <c r="B19" s="514">
        <f>B18/B$36</f>
        <v>5.9058260175578609E-2</v>
      </c>
      <c r="C19" s="514">
        <f t="shared" ref="C19:J19" si="7">C18/C$36</f>
        <v>5.3263315828957242E-2</v>
      </c>
      <c r="D19" s="514">
        <f t="shared" si="7"/>
        <v>6.1022120518688022E-2</v>
      </c>
      <c r="E19" s="514">
        <f t="shared" si="7"/>
        <v>5.6956875508543531E-2</v>
      </c>
      <c r="F19" s="514">
        <f t="shared" si="7"/>
        <v>5.0420168067226892E-2</v>
      </c>
      <c r="G19" s="514">
        <f t="shared" si="7"/>
        <v>7.8728002469898112E-2</v>
      </c>
      <c r="H19" s="514">
        <f t="shared" si="7"/>
        <v>5.1677243880326386E-2</v>
      </c>
      <c r="I19" s="514">
        <f t="shared" si="7"/>
        <v>4.8334421946440234E-2</v>
      </c>
      <c r="J19" s="514">
        <f t="shared" si="7"/>
        <v>6.0188542422044959E-2</v>
      </c>
      <c r="K19" s="514">
        <f>K18/K$36</f>
        <v>5.9533695305014372E-2</v>
      </c>
    </row>
    <row r="20" spans="1:11" s="22" customFormat="1" ht="18.75" customHeight="1" x14ac:dyDescent="0.15">
      <c r="A20" s="532" t="s">
        <v>447</v>
      </c>
      <c r="B20" s="509">
        <f>SUM(B58:D58)</f>
        <v>58</v>
      </c>
      <c r="C20" s="509">
        <f>SUM(E58:F58)</f>
        <v>50</v>
      </c>
      <c r="D20" s="509">
        <f>SUM(G58:J58)</f>
        <v>48</v>
      </c>
      <c r="E20" s="509">
        <f>SUM(K58:L58)</f>
        <v>42</v>
      </c>
      <c r="F20" s="509">
        <f>SUM(M58:N58)</f>
        <v>44</v>
      </c>
      <c r="G20" s="509">
        <f>SUM(O58:Q58)</f>
        <v>165</v>
      </c>
      <c r="H20" s="509">
        <f>R58</f>
        <v>123</v>
      </c>
      <c r="I20" s="509">
        <f>S58</f>
        <v>51</v>
      </c>
      <c r="J20" s="509">
        <f>SUM(T58:U58)</f>
        <v>53</v>
      </c>
      <c r="K20" s="510">
        <f>SUM(B20:J20)</f>
        <v>634</v>
      </c>
    </row>
    <row r="21" spans="1:11" s="22" customFormat="1" ht="18.75" customHeight="1" x14ac:dyDescent="0.15">
      <c r="A21" s="533" t="s">
        <v>448</v>
      </c>
      <c r="B21" s="514">
        <f>B20/B$36</f>
        <v>4.6288906624102157E-2</v>
      </c>
      <c r="C21" s="514">
        <f t="shared" ref="C21:J21" si="8">C20/C$36</f>
        <v>3.7509377344336084E-2</v>
      </c>
      <c r="D21" s="514">
        <f t="shared" si="8"/>
        <v>3.6613272311212815E-2</v>
      </c>
      <c r="E21" s="514">
        <f t="shared" si="8"/>
        <v>3.4174125305126118E-2</v>
      </c>
      <c r="F21" s="514">
        <f t="shared" si="8"/>
        <v>4.1083099906629318E-2</v>
      </c>
      <c r="G21" s="514">
        <f t="shared" si="8"/>
        <v>5.0941648656992897E-2</v>
      </c>
      <c r="H21" s="514">
        <f t="shared" si="8"/>
        <v>3.7171350861287401E-2</v>
      </c>
      <c r="I21" s="514">
        <f t="shared" si="8"/>
        <v>3.3311561071195296E-2</v>
      </c>
      <c r="J21" s="514">
        <f t="shared" si="8"/>
        <v>3.8433647570703409E-2</v>
      </c>
      <c r="K21" s="514">
        <f>K20/K$36</f>
        <v>4.0498243372724368E-2</v>
      </c>
    </row>
    <row r="22" spans="1:11" s="22" customFormat="1" ht="18.75" customHeight="1" x14ac:dyDescent="0.15">
      <c r="A22" s="532" t="s">
        <v>449</v>
      </c>
      <c r="B22" s="509">
        <f>SUM(B59:D59)</f>
        <v>53</v>
      </c>
      <c r="C22" s="509">
        <f>SUM(E59:F59)</f>
        <v>31</v>
      </c>
      <c r="D22" s="509">
        <f>SUM(G59:J59)</f>
        <v>52</v>
      </c>
      <c r="E22" s="509">
        <f>SUM(K59:L59)</f>
        <v>39</v>
      </c>
      <c r="F22" s="509">
        <f>SUM(M59:N59)</f>
        <v>41</v>
      </c>
      <c r="G22" s="509">
        <f>SUM(O59:Q59)</f>
        <v>125</v>
      </c>
      <c r="H22" s="509">
        <f>R59</f>
        <v>106</v>
      </c>
      <c r="I22" s="509">
        <f>S59</f>
        <v>48</v>
      </c>
      <c r="J22" s="509">
        <f>SUM(T59:U59)</f>
        <v>52</v>
      </c>
      <c r="K22" s="510">
        <f>SUM(B22:J22)</f>
        <v>547</v>
      </c>
    </row>
    <row r="23" spans="1:11" s="22" customFormat="1" ht="18.75" customHeight="1" x14ac:dyDescent="0.15">
      <c r="A23" s="533" t="s">
        <v>450</v>
      </c>
      <c r="B23" s="514">
        <f>B22/B$36</f>
        <v>4.2298483639265763E-2</v>
      </c>
      <c r="C23" s="514">
        <f t="shared" ref="C23:J23" si="9">C22/C$36</f>
        <v>2.3255813953488372E-2</v>
      </c>
      <c r="D23" s="514">
        <f t="shared" si="9"/>
        <v>3.9664378337147213E-2</v>
      </c>
      <c r="E23" s="514">
        <f t="shared" si="9"/>
        <v>3.173311635475997E-2</v>
      </c>
      <c r="F23" s="514">
        <f t="shared" si="9"/>
        <v>3.8281979458450049E-2</v>
      </c>
      <c r="G23" s="514">
        <f t="shared" si="9"/>
        <v>3.8592158073479467E-2</v>
      </c>
      <c r="H23" s="514">
        <f t="shared" si="9"/>
        <v>3.2033847083711091E-2</v>
      </c>
      <c r="I23" s="514">
        <f t="shared" si="9"/>
        <v>3.1352057478772045E-2</v>
      </c>
      <c r="J23" s="514">
        <f t="shared" si="9"/>
        <v>3.7708484408992021E-2</v>
      </c>
      <c r="K23" s="514">
        <f>K22/K$36</f>
        <v>3.494091344618333E-2</v>
      </c>
    </row>
    <row r="24" spans="1:11" s="22" customFormat="1" ht="18.75" customHeight="1" x14ac:dyDescent="0.15">
      <c r="A24" s="532" t="s">
        <v>451</v>
      </c>
      <c r="B24" s="509">
        <f>SUM(B60:D60)</f>
        <v>40</v>
      </c>
      <c r="C24" s="509">
        <f>SUM(E60:F60)</f>
        <v>36</v>
      </c>
      <c r="D24" s="509">
        <f>SUM(G60:J60)</f>
        <v>34</v>
      </c>
      <c r="E24" s="509">
        <f>SUM(K60:L60)</f>
        <v>15</v>
      </c>
      <c r="F24" s="509">
        <f>SUM(M60:N60)</f>
        <v>34</v>
      </c>
      <c r="G24" s="509">
        <f>SUM(O60:Q60)</f>
        <v>114</v>
      </c>
      <c r="H24" s="509">
        <f>R60</f>
        <v>86</v>
      </c>
      <c r="I24" s="509">
        <f>S60</f>
        <v>45</v>
      </c>
      <c r="J24" s="509">
        <f>SUM(T60:U60)</f>
        <v>54</v>
      </c>
      <c r="K24" s="510">
        <f>SUM(B24:J24)</f>
        <v>458</v>
      </c>
    </row>
    <row r="25" spans="1:11" s="22" customFormat="1" ht="18.75" customHeight="1" x14ac:dyDescent="0.15">
      <c r="A25" s="533" t="s">
        <v>452</v>
      </c>
      <c r="B25" s="514">
        <f>B24/B$36</f>
        <v>3.192338387869114E-2</v>
      </c>
      <c r="C25" s="514">
        <f t="shared" ref="C25:J25" si="10">C24/C$36</f>
        <v>2.7006751687921979E-2</v>
      </c>
      <c r="D25" s="514">
        <f t="shared" si="10"/>
        <v>2.593440122044241E-2</v>
      </c>
      <c r="E25" s="514">
        <f t="shared" si="10"/>
        <v>1.2205044751830757E-2</v>
      </c>
      <c r="F25" s="514">
        <f t="shared" si="10"/>
        <v>3.1746031746031744E-2</v>
      </c>
      <c r="G25" s="514">
        <f t="shared" si="10"/>
        <v>3.5196048163013277E-2</v>
      </c>
      <c r="H25" s="514">
        <f t="shared" si="10"/>
        <v>2.5989724992444847E-2</v>
      </c>
      <c r="I25" s="514">
        <f t="shared" si="10"/>
        <v>2.9392553886348791E-2</v>
      </c>
      <c r="J25" s="514">
        <f t="shared" si="10"/>
        <v>3.9158810732414791E-2</v>
      </c>
      <c r="K25" s="514">
        <f>K24/K$36</f>
        <v>2.925582880868732E-2</v>
      </c>
    </row>
    <row r="26" spans="1:11" s="22" customFormat="1" ht="18.75" customHeight="1" x14ac:dyDescent="0.15">
      <c r="A26" s="532" t="s">
        <v>453</v>
      </c>
      <c r="B26" s="509">
        <f>SUM(B61:D61)</f>
        <v>27</v>
      </c>
      <c r="C26" s="509">
        <f>SUM(E61:F61)</f>
        <v>24</v>
      </c>
      <c r="D26" s="509">
        <f>SUM(G61:J61)</f>
        <v>41</v>
      </c>
      <c r="E26" s="509">
        <f>SUM(K61:L61)</f>
        <v>21</v>
      </c>
      <c r="F26" s="509">
        <f>SUM(M61:N61)</f>
        <v>22</v>
      </c>
      <c r="G26" s="509">
        <f>SUM(O61:Q61)</f>
        <v>87</v>
      </c>
      <c r="H26" s="509">
        <f>R61</f>
        <v>72</v>
      </c>
      <c r="I26" s="509">
        <f>S61</f>
        <v>40</v>
      </c>
      <c r="J26" s="509">
        <f>SUM(T61:U61)</f>
        <v>41</v>
      </c>
      <c r="K26" s="510">
        <f>SUM(B26:J26)</f>
        <v>375</v>
      </c>
    </row>
    <row r="27" spans="1:11" s="22" customFormat="1" ht="18.75" customHeight="1" x14ac:dyDescent="0.15">
      <c r="A27" s="533" t="s">
        <v>454</v>
      </c>
      <c r="B27" s="514">
        <f>B26/B$36</f>
        <v>2.1548284118116521E-2</v>
      </c>
      <c r="C27" s="514">
        <f t="shared" ref="C27:J27" si="11">C26/C$36</f>
        <v>1.8004501125281319E-2</v>
      </c>
      <c r="D27" s="514">
        <f t="shared" si="11"/>
        <v>3.1273836765827616E-2</v>
      </c>
      <c r="E27" s="514">
        <f t="shared" si="11"/>
        <v>1.7087062652563059E-2</v>
      </c>
      <c r="F27" s="514">
        <f t="shared" si="11"/>
        <v>2.0541549953314659E-2</v>
      </c>
      <c r="G27" s="514">
        <f t="shared" si="11"/>
        <v>2.6860142019141709E-2</v>
      </c>
      <c r="H27" s="514">
        <f t="shared" si="11"/>
        <v>2.1758839528558477E-2</v>
      </c>
      <c r="I27" s="514">
        <f t="shared" si="11"/>
        <v>2.6126714565643371E-2</v>
      </c>
      <c r="J27" s="514">
        <f t="shared" si="11"/>
        <v>2.9731689630166789E-2</v>
      </c>
      <c r="K27" s="514">
        <f>K26/K$36</f>
        <v>2.3954008304056213E-2</v>
      </c>
    </row>
    <row r="28" spans="1:11" s="22" customFormat="1" ht="18.75" customHeight="1" x14ac:dyDescent="0.15">
      <c r="A28" s="532" t="s">
        <v>455</v>
      </c>
      <c r="B28" s="509">
        <f>SUM(B62:D62)</f>
        <v>20</v>
      </c>
      <c r="C28" s="509">
        <f>SUM(E62:F62)</f>
        <v>16</v>
      </c>
      <c r="D28" s="509">
        <f>SUM(G62:J62)</f>
        <v>19</v>
      </c>
      <c r="E28" s="509">
        <f>SUM(K62:L62)</f>
        <v>25</v>
      </c>
      <c r="F28" s="509">
        <f>SUM(M62:N62)</f>
        <v>27</v>
      </c>
      <c r="G28" s="509">
        <f>SUM(O62:Q62)</f>
        <v>80</v>
      </c>
      <c r="H28" s="509">
        <f>R62</f>
        <v>60</v>
      </c>
      <c r="I28" s="509">
        <f>S62</f>
        <v>47</v>
      </c>
      <c r="J28" s="509">
        <f>SUM(T62:U62)</f>
        <v>40</v>
      </c>
      <c r="K28" s="510">
        <f>SUM(B28:J28)</f>
        <v>334</v>
      </c>
    </row>
    <row r="29" spans="1:11" s="22" customFormat="1" ht="18.75" customHeight="1" x14ac:dyDescent="0.15">
      <c r="A29" s="533" t="s">
        <v>456</v>
      </c>
      <c r="B29" s="514">
        <f>B28/B$36</f>
        <v>1.596169193934557E-2</v>
      </c>
      <c r="C29" s="514">
        <f t="shared" ref="C29:J29" si="12">C28/C$36</f>
        <v>1.2003000750187547E-2</v>
      </c>
      <c r="D29" s="514">
        <f t="shared" si="12"/>
        <v>1.4492753623188406E-2</v>
      </c>
      <c r="E29" s="514">
        <f t="shared" si="12"/>
        <v>2.034174125305126E-2</v>
      </c>
      <c r="F29" s="514">
        <f t="shared" si="12"/>
        <v>2.5210084033613446E-2</v>
      </c>
      <c r="G29" s="514">
        <f t="shared" si="12"/>
        <v>2.4698981167026859E-2</v>
      </c>
      <c r="H29" s="514">
        <f t="shared" si="12"/>
        <v>1.8132366273798731E-2</v>
      </c>
      <c r="I29" s="514">
        <f t="shared" si="12"/>
        <v>3.0698889614630961E-2</v>
      </c>
      <c r="J29" s="514">
        <f t="shared" si="12"/>
        <v>2.9006526468455404E-2</v>
      </c>
      <c r="K29" s="514">
        <f>K28/K$36</f>
        <v>2.1335036729479399E-2</v>
      </c>
    </row>
    <row r="30" spans="1:11" s="22" customFormat="1" ht="18.75" customHeight="1" x14ac:dyDescent="0.15">
      <c r="A30" s="532" t="s">
        <v>457</v>
      </c>
      <c r="B30" s="509">
        <f>SUM(B63:D63)</f>
        <v>19</v>
      </c>
      <c r="C30" s="509">
        <f>SUM(E63:F63)</f>
        <v>28</v>
      </c>
      <c r="D30" s="509">
        <f>SUM(G63:J63)</f>
        <v>22</v>
      </c>
      <c r="E30" s="509">
        <f>SUM(K63:L63)</f>
        <v>19</v>
      </c>
      <c r="F30" s="509">
        <f>SUM(M63:N63)</f>
        <v>16</v>
      </c>
      <c r="G30" s="509">
        <f>SUM(O63:Q63)</f>
        <v>60</v>
      </c>
      <c r="H30" s="509">
        <f>R63</f>
        <v>66</v>
      </c>
      <c r="I30" s="509">
        <f>S63</f>
        <v>31</v>
      </c>
      <c r="J30" s="509">
        <f>SUM(T63:U63)</f>
        <v>38</v>
      </c>
      <c r="K30" s="510">
        <f>SUM(B30:J30)</f>
        <v>299</v>
      </c>
    </row>
    <row r="31" spans="1:11" s="22" customFormat="1" ht="18.75" customHeight="1" x14ac:dyDescent="0.15">
      <c r="A31" s="533" t="s">
        <v>458</v>
      </c>
      <c r="B31" s="514">
        <f>B30/B$36</f>
        <v>1.5163607342378291E-2</v>
      </c>
      <c r="C31" s="514">
        <f t="shared" ref="C31:J31" si="13">C30/C$36</f>
        <v>2.1005251312828207E-2</v>
      </c>
      <c r="D31" s="514">
        <f t="shared" si="13"/>
        <v>1.6781083142639208E-2</v>
      </c>
      <c r="E31" s="514">
        <f t="shared" si="13"/>
        <v>1.5459723352318959E-2</v>
      </c>
      <c r="F31" s="514">
        <f t="shared" si="13"/>
        <v>1.4939309056956116E-2</v>
      </c>
      <c r="G31" s="514">
        <f t="shared" si="13"/>
        <v>1.8524235875270145E-2</v>
      </c>
      <c r="H31" s="514">
        <f t="shared" si="13"/>
        <v>1.9945602901178604E-2</v>
      </c>
      <c r="I31" s="514">
        <f t="shared" si="13"/>
        <v>2.0248203788373612E-2</v>
      </c>
      <c r="J31" s="514">
        <f t="shared" si="13"/>
        <v>2.7556200145032631E-2</v>
      </c>
      <c r="K31" s="514">
        <f>K30/K$36</f>
        <v>1.9099329287767485E-2</v>
      </c>
    </row>
    <row r="32" spans="1:11" s="22" customFormat="1" ht="18.75" customHeight="1" x14ac:dyDescent="0.15">
      <c r="A32" s="532" t="s">
        <v>459</v>
      </c>
      <c r="B32" s="509">
        <f>SUM(B64:D64)</f>
        <v>108</v>
      </c>
      <c r="C32" s="509">
        <f>SUM(E64:F64)</f>
        <v>120</v>
      </c>
      <c r="D32" s="509">
        <f>SUM(G64:J64)</f>
        <v>108</v>
      </c>
      <c r="E32" s="509">
        <f>SUM(K64:L64)</f>
        <v>83</v>
      </c>
      <c r="F32" s="509">
        <f>SUM(M64:N64)</f>
        <v>119</v>
      </c>
      <c r="G32" s="509">
        <f>SUM(O64:Q64)</f>
        <v>283</v>
      </c>
      <c r="H32" s="509">
        <f>R64</f>
        <v>301</v>
      </c>
      <c r="I32" s="509">
        <f>S64</f>
        <v>153</v>
      </c>
      <c r="J32" s="509">
        <f>SUM(T64:U64)</f>
        <v>136</v>
      </c>
      <c r="K32" s="510">
        <f>SUM(B32:J32)</f>
        <v>1411</v>
      </c>
    </row>
    <row r="33" spans="1:11" s="22" customFormat="1" ht="18.75" customHeight="1" x14ac:dyDescent="0.15">
      <c r="A33" s="533" t="s">
        <v>460</v>
      </c>
      <c r="B33" s="514">
        <f>B32/B$36</f>
        <v>8.6193136472466084E-2</v>
      </c>
      <c r="C33" s="514">
        <f t="shared" ref="C33:J33" si="14">C32/C$36</f>
        <v>9.0022505626406596E-2</v>
      </c>
      <c r="D33" s="514">
        <f t="shared" si="14"/>
        <v>8.2379862700228831E-2</v>
      </c>
      <c r="E33" s="514">
        <f t="shared" si="14"/>
        <v>6.7534580960130181E-2</v>
      </c>
      <c r="F33" s="514">
        <f t="shared" si="14"/>
        <v>0.1111111111111111</v>
      </c>
      <c r="G33" s="514">
        <f t="shared" si="14"/>
        <v>8.7372645878357524E-2</v>
      </c>
      <c r="H33" s="514">
        <f t="shared" si="14"/>
        <v>9.0964037473556969E-2</v>
      </c>
      <c r="I33" s="514">
        <f t="shared" si="14"/>
        <v>9.9934683213585895E-2</v>
      </c>
      <c r="J33" s="514">
        <f t="shared" si="14"/>
        <v>9.8622189992748369E-2</v>
      </c>
      <c r="K33" s="514">
        <f>K32/K$36</f>
        <v>9.0130948578728845E-2</v>
      </c>
    </row>
    <row r="34" spans="1:11" s="22" customFormat="1" ht="18.75" customHeight="1" x14ac:dyDescent="0.15">
      <c r="A34" s="703" t="s">
        <v>61</v>
      </c>
      <c r="B34" s="509">
        <f>SUM(B65:D65)</f>
        <v>77</v>
      </c>
      <c r="C34" s="509">
        <f>SUM(E65:F65)</f>
        <v>50</v>
      </c>
      <c r="D34" s="509">
        <f>SUM(G65:J65)</f>
        <v>45</v>
      </c>
      <c r="E34" s="509">
        <f>SUM(K65:L65)</f>
        <v>48</v>
      </c>
      <c r="F34" s="509">
        <f>SUM(M65:N65)</f>
        <v>52</v>
      </c>
      <c r="G34" s="509">
        <f>SUM(O65:Q65)</f>
        <v>164</v>
      </c>
      <c r="H34" s="509">
        <f>R65</f>
        <v>194</v>
      </c>
      <c r="I34" s="509">
        <f>S65</f>
        <v>147</v>
      </c>
      <c r="J34" s="509">
        <f>SUM(T65:U65)</f>
        <v>116</v>
      </c>
      <c r="K34" s="510">
        <f>SUM(B34:J34)</f>
        <v>893</v>
      </c>
    </row>
    <row r="35" spans="1:11" s="22" customFormat="1" ht="18.75" customHeight="1" x14ac:dyDescent="0.15">
      <c r="A35" s="719"/>
      <c r="B35" s="514">
        <f>B34/B$36</f>
        <v>6.1452513966480445E-2</v>
      </c>
      <c r="C35" s="514">
        <f t="shared" ref="C35:J35" si="15">C34/C$36</f>
        <v>3.7509377344336084E-2</v>
      </c>
      <c r="D35" s="514">
        <f t="shared" si="15"/>
        <v>3.4324942791762014E-2</v>
      </c>
      <c r="E35" s="514">
        <f t="shared" si="15"/>
        <v>3.9056143205858422E-2</v>
      </c>
      <c r="F35" s="514">
        <f t="shared" si="15"/>
        <v>4.8552754435107377E-2</v>
      </c>
      <c r="G35" s="514">
        <f t="shared" si="15"/>
        <v>5.0632911392405063E-2</v>
      </c>
      <c r="H35" s="514">
        <f t="shared" si="15"/>
        <v>5.8627984285282563E-2</v>
      </c>
      <c r="I35" s="514">
        <f t="shared" si="15"/>
        <v>9.601567602873938E-2</v>
      </c>
      <c r="J35" s="514">
        <f t="shared" si="15"/>
        <v>8.4118926758520673E-2</v>
      </c>
      <c r="K35" s="514">
        <f>K34/K$36</f>
        <v>5.7042478441392527E-2</v>
      </c>
    </row>
    <row r="36" spans="1:11" s="22" customFormat="1" ht="18.75" customHeight="1" x14ac:dyDescent="0.15">
      <c r="A36" s="716" t="s">
        <v>11</v>
      </c>
      <c r="B36" s="515">
        <f>SUM(B4,B6,B8,B10,B12,B14,B16,B18,B20,B22,B24,B26,B28,B30,B32,B34)</f>
        <v>1253</v>
      </c>
      <c r="C36" s="515">
        <f t="shared" ref="C36:J37" si="16">SUM(C4,C6,C8,C10,C12,C14,C16,C18,C20,C22,C24,C26,C28,C30,C32,C34)</f>
        <v>1333</v>
      </c>
      <c r="D36" s="515">
        <f t="shared" si="16"/>
        <v>1311</v>
      </c>
      <c r="E36" s="515">
        <f t="shared" si="16"/>
        <v>1229</v>
      </c>
      <c r="F36" s="515">
        <f t="shared" si="16"/>
        <v>1071</v>
      </c>
      <c r="G36" s="515">
        <f t="shared" si="16"/>
        <v>3239</v>
      </c>
      <c r="H36" s="515">
        <f t="shared" si="16"/>
        <v>3309</v>
      </c>
      <c r="I36" s="515">
        <f t="shared" si="16"/>
        <v>1531</v>
      </c>
      <c r="J36" s="515">
        <f t="shared" si="16"/>
        <v>1379</v>
      </c>
      <c r="K36" s="516">
        <f>SUM(B36:J36)</f>
        <v>15655</v>
      </c>
    </row>
    <row r="37" spans="1:11" s="22" customFormat="1" ht="18.75" customHeight="1" x14ac:dyDescent="0.15">
      <c r="A37" s="717"/>
      <c r="B37" s="517">
        <f t="shared" ref="B37:I37" si="17">SUM(B5,B7,B9,B11,B13,B15,B17,B19,B21,B23,B25,B27,B29,B31,B33,B35)</f>
        <v>0.99999999999999989</v>
      </c>
      <c r="C37" s="517">
        <f t="shared" si="17"/>
        <v>1</v>
      </c>
      <c r="D37" s="517">
        <f t="shared" si="17"/>
        <v>0.99999999999999978</v>
      </c>
      <c r="E37" s="517">
        <f t="shared" si="17"/>
        <v>0.99999999999999989</v>
      </c>
      <c r="F37" s="517">
        <f t="shared" si="17"/>
        <v>1</v>
      </c>
      <c r="G37" s="517">
        <f t="shared" si="17"/>
        <v>1</v>
      </c>
      <c r="H37" s="517">
        <f t="shared" si="17"/>
        <v>1.0000000000000002</v>
      </c>
      <c r="I37" s="517">
        <f t="shared" si="17"/>
        <v>1</v>
      </c>
      <c r="J37" s="517">
        <f t="shared" si="16"/>
        <v>1</v>
      </c>
      <c r="K37" s="517">
        <f>SUM(K5,K7,K9,K11,K13,K15,K17,K19,K21,K23,K25,K27,K29,K31,K33,K35)</f>
        <v>1</v>
      </c>
    </row>
    <row r="38" spans="1:11" s="6" customFormat="1" ht="18.75" customHeight="1" x14ac:dyDescent="0.15">
      <c r="A38" s="720" t="s">
        <v>56</v>
      </c>
      <c r="B38" s="509">
        <f>SUM(B4,B6,B8,B10)</f>
        <v>522</v>
      </c>
      <c r="C38" s="509">
        <f t="shared" ref="C38:J38" si="18">SUM(C4,C6,C8,C10)</f>
        <v>580</v>
      </c>
      <c r="D38" s="509">
        <f t="shared" si="18"/>
        <v>607</v>
      </c>
      <c r="E38" s="509">
        <f t="shared" si="18"/>
        <v>613</v>
      </c>
      <c r="F38" s="509">
        <f t="shared" si="18"/>
        <v>465</v>
      </c>
      <c r="G38" s="509">
        <f t="shared" si="18"/>
        <v>1098</v>
      </c>
      <c r="H38" s="509">
        <f t="shared" si="18"/>
        <v>1520</v>
      </c>
      <c r="I38" s="509">
        <f t="shared" si="18"/>
        <v>637</v>
      </c>
      <c r="J38" s="509">
        <f t="shared" si="18"/>
        <v>471</v>
      </c>
      <c r="K38" s="510">
        <f>SUM(B38:J38)</f>
        <v>6513</v>
      </c>
    </row>
    <row r="39" spans="1:11" s="6" customFormat="1" ht="18.75" customHeight="1" x14ac:dyDescent="0.15">
      <c r="A39" s="721"/>
      <c r="B39" s="514">
        <f>B38/B$36</f>
        <v>0.41660015961691937</v>
      </c>
      <c r="C39" s="514">
        <f t="shared" ref="C39:J45" si="19">C38/C$36</f>
        <v>0.43510877719429858</v>
      </c>
      <c r="D39" s="514">
        <f t="shared" si="19"/>
        <v>0.46300533943554539</v>
      </c>
      <c r="E39" s="514">
        <f t="shared" si="19"/>
        <v>0.49877949552481693</v>
      </c>
      <c r="F39" s="514">
        <f t="shared" si="19"/>
        <v>0.43417366946778713</v>
      </c>
      <c r="G39" s="514">
        <f t="shared" si="19"/>
        <v>0.33899351651744364</v>
      </c>
      <c r="H39" s="514">
        <f t="shared" si="19"/>
        <v>0.45935327893623451</v>
      </c>
      <c r="I39" s="514">
        <f t="shared" si="19"/>
        <v>0.41606792945787069</v>
      </c>
      <c r="J39" s="514">
        <f t="shared" si="19"/>
        <v>0.34155184916606235</v>
      </c>
      <c r="K39" s="514">
        <f>K38/K$36</f>
        <v>0.41603321622484829</v>
      </c>
    </row>
    <row r="40" spans="1:11" s="22" customFormat="1" ht="18.75" customHeight="1" x14ac:dyDescent="0.15">
      <c r="A40" s="534" t="s">
        <v>461</v>
      </c>
      <c r="B40" s="509">
        <f>SUM(B12,B14,B16,B18,B20)</f>
        <v>387</v>
      </c>
      <c r="C40" s="509">
        <f t="shared" ref="C40:J40" si="20">SUM(C12,C14,C16,C18,C20)</f>
        <v>448</v>
      </c>
      <c r="D40" s="509">
        <f t="shared" si="20"/>
        <v>383</v>
      </c>
      <c r="E40" s="509">
        <f t="shared" si="20"/>
        <v>366</v>
      </c>
      <c r="F40" s="509">
        <f t="shared" si="20"/>
        <v>295</v>
      </c>
      <c r="G40" s="509">
        <f t="shared" si="20"/>
        <v>1228</v>
      </c>
      <c r="H40" s="509">
        <f t="shared" si="20"/>
        <v>904</v>
      </c>
      <c r="I40" s="509">
        <f t="shared" si="20"/>
        <v>383</v>
      </c>
      <c r="J40" s="509">
        <f t="shared" si="20"/>
        <v>431</v>
      </c>
      <c r="K40" s="510">
        <f>SUM(B40:J40)</f>
        <v>4825</v>
      </c>
    </row>
    <row r="41" spans="1:11" s="22" customFormat="1" ht="18.75" customHeight="1" x14ac:dyDescent="0.15">
      <c r="A41" s="535" t="s">
        <v>462</v>
      </c>
      <c r="B41" s="514">
        <f>B40/B$36</f>
        <v>0.30885873902633681</v>
      </c>
      <c r="C41" s="514">
        <f t="shared" si="19"/>
        <v>0.33608402100525131</v>
      </c>
      <c r="D41" s="514">
        <f t="shared" si="19"/>
        <v>0.29214340198321892</v>
      </c>
      <c r="E41" s="514">
        <f t="shared" si="19"/>
        <v>0.29780309194467047</v>
      </c>
      <c r="F41" s="514">
        <f t="shared" si="19"/>
        <v>0.27544351073762841</v>
      </c>
      <c r="G41" s="514">
        <f t="shared" si="19"/>
        <v>0.37912936091386229</v>
      </c>
      <c r="H41" s="514">
        <f t="shared" si="19"/>
        <v>0.27319431852523424</v>
      </c>
      <c r="I41" s="514">
        <f t="shared" si="19"/>
        <v>0.25016329196603526</v>
      </c>
      <c r="J41" s="514">
        <f t="shared" si="19"/>
        <v>0.31254532269760699</v>
      </c>
      <c r="K41" s="514">
        <f>K40/K$36</f>
        <v>0.30820824017885662</v>
      </c>
    </row>
    <row r="42" spans="1:11" s="6" customFormat="1" ht="18.75" customHeight="1" x14ac:dyDescent="0.15">
      <c r="A42" s="534" t="s">
        <v>463</v>
      </c>
      <c r="B42" s="509">
        <f>SUM(B22,B24,B26,B28,B30)</f>
        <v>159</v>
      </c>
      <c r="C42" s="509">
        <f t="shared" ref="C42:J42" si="21">SUM(C22,C24,C26,C28,C30)</f>
        <v>135</v>
      </c>
      <c r="D42" s="509">
        <f t="shared" si="21"/>
        <v>168</v>
      </c>
      <c r="E42" s="509">
        <f t="shared" si="21"/>
        <v>119</v>
      </c>
      <c r="F42" s="509">
        <f t="shared" si="21"/>
        <v>140</v>
      </c>
      <c r="G42" s="509">
        <f t="shared" si="21"/>
        <v>466</v>
      </c>
      <c r="H42" s="509">
        <f t="shared" si="21"/>
        <v>390</v>
      </c>
      <c r="I42" s="509">
        <f t="shared" si="21"/>
        <v>211</v>
      </c>
      <c r="J42" s="509">
        <f t="shared" si="21"/>
        <v>225</v>
      </c>
      <c r="K42" s="510">
        <f>SUM(B42:J42)</f>
        <v>2013</v>
      </c>
    </row>
    <row r="43" spans="1:11" s="6" customFormat="1" ht="18.75" customHeight="1" x14ac:dyDescent="0.15">
      <c r="A43" s="536" t="s">
        <v>464</v>
      </c>
      <c r="B43" s="514">
        <f>B42/B$36</f>
        <v>0.12689545091779728</v>
      </c>
      <c r="C43" s="514">
        <f t="shared" si="19"/>
        <v>0.10127531882970743</v>
      </c>
      <c r="D43" s="514">
        <f t="shared" si="19"/>
        <v>0.12814645308924486</v>
      </c>
      <c r="E43" s="514">
        <f t="shared" si="19"/>
        <v>9.6826688364524002E-2</v>
      </c>
      <c r="F43" s="514">
        <f t="shared" si="19"/>
        <v>0.13071895424836602</v>
      </c>
      <c r="G43" s="514">
        <f t="shared" si="19"/>
        <v>0.14387156529793146</v>
      </c>
      <c r="H43" s="514">
        <f t="shared" si="19"/>
        <v>0.11786038077969176</v>
      </c>
      <c r="I43" s="514">
        <f t="shared" si="19"/>
        <v>0.13781841933376879</v>
      </c>
      <c r="J43" s="514">
        <f t="shared" si="19"/>
        <v>0.16316171138506164</v>
      </c>
      <c r="K43" s="514">
        <f>K42/K$36</f>
        <v>0.12858511657617375</v>
      </c>
    </row>
    <row r="44" spans="1:11" s="22" customFormat="1" ht="18.75" customHeight="1" x14ac:dyDescent="0.15">
      <c r="A44" s="720" t="s">
        <v>465</v>
      </c>
      <c r="B44" s="509">
        <f>SUM(B32,B34)</f>
        <v>185</v>
      </c>
      <c r="C44" s="509">
        <f t="shared" ref="C44:J44" si="22">SUM(C32,C34)</f>
        <v>170</v>
      </c>
      <c r="D44" s="509">
        <f t="shared" si="22"/>
        <v>153</v>
      </c>
      <c r="E44" s="509">
        <f t="shared" si="22"/>
        <v>131</v>
      </c>
      <c r="F44" s="509">
        <f t="shared" si="22"/>
        <v>171</v>
      </c>
      <c r="G44" s="509">
        <f t="shared" si="22"/>
        <v>447</v>
      </c>
      <c r="H44" s="509">
        <f t="shared" si="22"/>
        <v>495</v>
      </c>
      <c r="I44" s="509">
        <f t="shared" si="22"/>
        <v>300</v>
      </c>
      <c r="J44" s="509">
        <f t="shared" si="22"/>
        <v>252</v>
      </c>
      <c r="K44" s="510">
        <f>SUM(B44:J44)</f>
        <v>2304</v>
      </c>
    </row>
    <row r="45" spans="1:11" s="22" customFormat="1" ht="18.75" customHeight="1" x14ac:dyDescent="0.15">
      <c r="A45" s="721"/>
      <c r="B45" s="514">
        <f>B44/B$36</f>
        <v>0.14764565043894654</v>
      </c>
      <c r="C45" s="514">
        <f t="shared" si="19"/>
        <v>0.12753188297074269</v>
      </c>
      <c r="D45" s="514">
        <f t="shared" si="19"/>
        <v>0.11670480549199085</v>
      </c>
      <c r="E45" s="514">
        <f t="shared" si="19"/>
        <v>0.10659072416598861</v>
      </c>
      <c r="F45" s="514">
        <f t="shared" si="19"/>
        <v>0.15966386554621848</v>
      </c>
      <c r="G45" s="514">
        <f t="shared" si="19"/>
        <v>0.13800555727076258</v>
      </c>
      <c r="H45" s="514">
        <f t="shared" si="19"/>
        <v>0.14959202175883954</v>
      </c>
      <c r="I45" s="514">
        <f t="shared" si="19"/>
        <v>0.19595035924232529</v>
      </c>
      <c r="J45" s="514">
        <f t="shared" si="19"/>
        <v>0.18274111675126903</v>
      </c>
      <c r="K45" s="514">
        <f>K44/K$36</f>
        <v>0.14717342702012137</v>
      </c>
    </row>
    <row r="46" spans="1:11" hidden="1" x14ac:dyDescent="0.15">
      <c r="B46" s="40">
        <f>SUM(B38,B40,B42,B44)</f>
        <v>1253</v>
      </c>
      <c r="C46" s="40">
        <f t="shared" ref="C46:J46" si="23">SUM(C38,C40,C42,C44)</f>
        <v>1333</v>
      </c>
      <c r="D46" s="40">
        <f t="shared" si="23"/>
        <v>1311</v>
      </c>
      <c r="E46" s="40">
        <f t="shared" si="23"/>
        <v>1229</v>
      </c>
      <c r="F46" s="40">
        <f t="shared" si="23"/>
        <v>1071</v>
      </c>
      <c r="G46" s="40">
        <f t="shared" si="23"/>
        <v>3239</v>
      </c>
      <c r="H46" s="40">
        <f t="shared" si="23"/>
        <v>3309</v>
      </c>
      <c r="I46" s="40">
        <f t="shared" si="23"/>
        <v>1531</v>
      </c>
      <c r="J46" s="40">
        <f t="shared" si="23"/>
        <v>1379</v>
      </c>
    </row>
    <row r="47" spans="1:11" hidden="1" x14ac:dyDescent="0.15">
      <c r="B47" s="40"/>
      <c r="C47" s="40"/>
      <c r="D47" s="40"/>
      <c r="E47" s="40"/>
      <c r="F47" s="40"/>
      <c r="G47" s="40"/>
      <c r="H47" s="40"/>
      <c r="I47" s="40"/>
    </row>
    <row r="48" spans="1:11" hidden="1" x14ac:dyDescent="0.15"/>
    <row r="49" spans="1:21" hidden="1" x14ac:dyDescent="0.15">
      <c r="A49" s="378" t="s">
        <v>63</v>
      </c>
      <c r="B49" s="543" t="s">
        <v>390</v>
      </c>
      <c r="C49" s="543" t="s">
        <v>391</v>
      </c>
      <c r="D49" s="543" t="s">
        <v>392</v>
      </c>
      <c r="E49" s="543" t="s">
        <v>393</v>
      </c>
      <c r="F49" s="543" t="s">
        <v>394</v>
      </c>
      <c r="G49" s="543" t="s">
        <v>395</v>
      </c>
      <c r="H49" s="543" t="s">
        <v>396</v>
      </c>
      <c r="I49" s="543" t="s">
        <v>397</v>
      </c>
      <c r="J49" s="543" t="s">
        <v>398</v>
      </c>
      <c r="K49" s="543" t="s">
        <v>399</v>
      </c>
      <c r="L49" s="543" t="s">
        <v>400</v>
      </c>
      <c r="M49" s="543" t="s">
        <v>401</v>
      </c>
      <c r="N49" s="543" t="s">
        <v>402</v>
      </c>
      <c r="O49" s="543" t="s">
        <v>403</v>
      </c>
      <c r="P49" s="543" t="s">
        <v>404</v>
      </c>
      <c r="Q49" s="543" t="s">
        <v>405</v>
      </c>
      <c r="R49" s="543" t="s">
        <v>406</v>
      </c>
      <c r="S49" s="543" t="s">
        <v>407</v>
      </c>
      <c r="T49" s="543" t="s">
        <v>504</v>
      </c>
      <c r="U49" s="55" t="s">
        <v>505</v>
      </c>
    </row>
    <row r="50" spans="1:21" hidden="1" x14ac:dyDescent="0.15">
      <c r="A50" s="54" t="s">
        <v>183</v>
      </c>
      <c r="B50" s="23">
        <v>30</v>
      </c>
      <c r="C50" s="23">
        <v>76</v>
      </c>
      <c r="D50" s="23">
        <v>41</v>
      </c>
      <c r="E50" s="23">
        <v>62</v>
      </c>
      <c r="F50" s="23">
        <v>75</v>
      </c>
      <c r="G50" s="23">
        <v>62</v>
      </c>
      <c r="H50" s="23">
        <v>35</v>
      </c>
      <c r="I50" s="23">
        <v>48</v>
      </c>
      <c r="J50" s="23">
        <v>30</v>
      </c>
      <c r="K50" s="23">
        <v>111</v>
      </c>
      <c r="L50" s="23">
        <v>76</v>
      </c>
      <c r="M50" s="23">
        <v>55</v>
      </c>
      <c r="N50" s="23">
        <v>70</v>
      </c>
      <c r="O50" s="23">
        <v>75</v>
      </c>
      <c r="P50" s="23">
        <v>73</v>
      </c>
      <c r="Q50" s="23">
        <v>57</v>
      </c>
      <c r="R50" s="23">
        <v>464</v>
      </c>
      <c r="S50" s="23">
        <v>183</v>
      </c>
      <c r="T50" s="23">
        <v>111</v>
      </c>
      <c r="U50" s="23">
        <v>11</v>
      </c>
    </row>
    <row r="51" spans="1:21" hidden="1" x14ac:dyDescent="0.15">
      <c r="A51" s="54" t="s">
        <v>184</v>
      </c>
      <c r="B51" s="23">
        <v>35</v>
      </c>
      <c r="C51" s="23">
        <v>62</v>
      </c>
      <c r="D51" s="23">
        <v>44</v>
      </c>
      <c r="E51" s="23">
        <v>64</v>
      </c>
      <c r="F51" s="23">
        <v>84</v>
      </c>
      <c r="G51" s="23">
        <v>53</v>
      </c>
      <c r="H51" s="23">
        <v>28</v>
      </c>
      <c r="I51" s="23">
        <v>41</v>
      </c>
      <c r="J51" s="23">
        <v>36</v>
      </c>
      <c r="K51" s="23">
        <v>88</v>
      </c>
      <c r="L51" s="23">
        <v>79</v>
      </c>
      <c r="M51" s="23">
        <v>51</v>
      </c>
      <c r="N51" s="23">
        <v>80</v>
      </c>
      <c r="O51" s="23">
        <v>85</v>
      </c>
      <c r="P51" s="23">
        <v>77</v>
      </c>
      <c r="Q51" s="23">
        <v>86</v>
      </c>
      <c r="R51" s="23">
        <v>465</v>
      </c>
      <c r="S51" s="23">
        <v>194</v>
      </c>
      <c r="T51" s="23">
        <v>131</v>
      </c>
      <c r="U51" s="23">
        <v>6</v>
      </c>
    </row>
    <row r="52" spans="1:21" hidden="1" x14ac:dyDescent="0.15">
      <c r="A52" s="54" t="s">
        <v>185</v>
      </c>
      <c r="B52" s="23">
        <v>27</v>
      </c>
      <c r="C52" s="23">
        <v>39</v>
      </c>
      <c r="D52" s="23">
        <v>39</v>
      </c>
      <c r="E52" s="23">
        <v>71</v>
      </c>
      <c r="F52" s="23">
        <v>70</v>
      </c>
      <c r="G52" s="23">
        <v>37</v>
      </c>
      <c r="H52" s="23">
        <v>25</v>
      </c>
      <c r="I52" s="23">
        <v>33</v>
      </c>
      <c r="J52" s="23">
        <v>26</v>
      </c>
      <c r="K52" s="23">
        <v>81</v>
      </c>
      <c r="L52" s="23">
        <v>46</v>
      </c>
      <c r="M52" s="23">
        <v>40</v>
      </c>
      <c r="N52" s="23">
        <v>59</v>
      </c>
      <c r="O52" s="23">
        <v>78</v>
      </c>
      <c r="P52" s="23">
        <v>106</v>
      </c>
      <c r="Q52" s="23">
        <v>92</v>
      </c>
      <c r="R52" s="23">
        <v>289</v>
      </c>
      <c r="S52" s="23">
        <v>119</v>
      </c>
      <c r="T52" s="23">
        <v>84</v>
      </c>
      <c r="U52" s="23">
        <v>14</v>
      </c>
    </row>
    <row r="53" spans="1:21" hidden="1" x14ac:dyDescent="0.15">
      <c r="A53" s="54" t="s">
        <v>186</v>
      </c>
      <c r="B53" s="23">
        <v>33</v>
      </c>
      <c r="C53" s="23">
        <v>44</v>
      </c>
      <c r="D53" s="23">
        <v>52</v>
      </c>
      <c r="E53" s="23">
        <v>77</v>
      </c>
      <c r="F53" s="23">
        <v>77</v>
      </c>
      <c r="G53" s="23">
        <v>47</v>
      </c>
      <c r="H53" s="23">
        <v>37</v>
      </c>
      <c r="I53" s="23">
        <v>35</v>
      </c>
      <c r="J53" s="23">
        <v>34</v>
      </c>
      <c r="K53" s="23">
        <v>88</v>
      </c>
      <c r="L53" s="23">
        <v>44</v>
      </c>
      <c r="M53" s="23">
        <v>51</v>
      </c>
      <c r="N53" s="23">
        <v>59</v>
      </c>
      <c r="O53" s="23">
        <v>94</v>
      </c>
      <c r="P53" s="23">
        <v>159</v>
      </c>
      <c r="Q53" s="23">
        <v>116</v>
      </c>
      <c r="R53" s="23">
        <v>302</v>
      </c>
      <c r="S53" s="23">
        <v>141</v>
      </c>
      <c r="T53" s="23">
        <v>100</v>
      </c>
      <c r="U53" s="23">
        <v>14</v>
      </c>
    </row>
    <row r="54" spans="1:21" hidden="1" x14ac:dyDescent="0.15">
      <c r="A54" s="54" t="s">
        <v>187</v>
      </c>
      <c r="B54" s="23">
        <v>26</v>
      </c>
      <c r="C54" s="23">
        <v>20</v>
      </c>
      <c r="D54" s="23">
        <v>33</v>
      </c>
      <c r="E54" s="23">
        <v>71</v>
      </c>
      <c r="F54" s="23">
        <v>51</v>
      </c>
      <c r="G54" s="23">
        <v>26</v>
      </c>
      <c r="H54" s="23">
        <v>16</v>
      </c>
      <c r="I54" s="23">
        <v>29</v>
      </c>
      <c r="J54" s="23">
        <v>17</v>
      </c>
      <c r="K54" s="23">
        <v>46</v>
      </c>
      <c r="L54" s="23">
        <v>32</v>
      </c>
      <c r="M54" s="23">
        <v>25</v>
      </c>
      <c r="N54" s="23">
        <v>30</v>
      </c>
      <c r="O54" s="23">
        <v>70</v>
      </c>
      <c r="P54" s="23">
        <v>111</v>
      </c>
      <c r="Q54" s="23">
        <v>90</v>
      </c>
      <c r="R54" s="23">
        <v>221</v>
      </c>
      <c r="S54" s="23">
        <v>80</v>
      </c>
      <c r="T54" s="23">
        <v>75</v>
      </c>
      <c r="U54" s="23">
        <v>7</v>
      </c>
    </row>
    <row r="55" spans="1:21" hidden="1" x14ac:dyDescent="0.15">
      <c r="A55" s="54" t="s">
        <v>188</v>
      </c>
      <c r="B55" s="23">
        <v>10</v>
      </c>
      <c r="C55" s="23">
        <v>23</v>
      </c>
      <c r="D55" s="23">
        <v>24</v>
      </c>
      <c r="E55" s="23">
        <v>36</v>
      </c>
      <c r="F55" s="23">
        <v>29</v>
      </c>
      <c r="G55" s="23">
        <v>22</v>
      </c>
      <c r="H55" s="23">
        <v>11</v>
      </c>
      <c r="I55" s="23">
        <v>14</v>
      </c>
      <c r="J55" s="23">
        <v>14</v>
      </c>
      <c r="K55" s="23">
        <v>70</v>
      </c>
      <c r="L55" s="23">
        <v>26</v>
      </c>
      <c r="M55" s="23">
        <v>29</v>
      </c>
      <c r="N55" s="23">
        <v>31</v>
      </c>
      <c r="O55" s="23">
        <v>53</v>
      </c>
      <c r="P55" s="23">
        <v>94</v>
      </c>
      <c r="Q55" s="23">
        <v>62</v>
      </c>
      <c r="R55" s="23">
        <v>171</v>
      </c>
      <c r="S55" s="23">
        <v>60</v>
      </c>
      <c r="T55" s="23">
        <v>55</v>
      </c>
      <c r="U55" s="23">
        <v>9</v>
      </c>
    </row>
    <row r="56" spans="1:21" hidden="1" x14ac:dyDescent="0.15">
      <c r="A56" s="54" t="s">
        <v>189</v>
      </c>
      <c r="B56" s="23">
        <v>31</v>
      </c>
      <c r="C56" s="23">
        <v>46</v>
      </c>
      <c r="D56" s="23">
        <v>42</v>
      </c>
      <c r="E56" s="23">
        <v>90</v>
      </c>
      <c r="F56" s="23">
        <v>50</v>
      </c>
      <c r="G56" s="23">
        <v>43</v>
      </c>
      <c r="H56" s="23">
        <v>20</v>
      </c>
      <c r="I56" s="23">
        <v>27</v>
      </c>
      <c r="J56" s="23">
        <v>16</v>
      </c>
      <c r="K56" s="23">
        <v>55</v>
      </c>
      <c r="L56" s="23">
        <v>25</v>
      </c>
      <c r="M56" s="23">
        <v>35</v>
      </c>
      <c r="N56" s="23">
        <v>47</v>
      </c>
      <c r="O56" s="23">
        <v>87</v>
      </c>
      <c r="P56" s="23">
        <v>143</v>
      </c>
      <c r="Q56" s="23">
        <v>98</v>
      </c>
      <c r="R56" s="23">
        <v>218</v>
      </c>
      <c r="S56" s="23">
        <v>118</v>
      </c>
      <c r="T56" s="23">
        <v>141</v>
      </c>
      <c r="U56" s="23">
        <v>8</v>
      </c>
    </row>
    <row r="57" spans="1:21" hidden="1" x14ac:dyDescent="0.15">
      <c r="A57" s="54" t="s">
        <v>190</v>
      </c>
      <c r="B57" s="23">
        <v>25</v>
      </c>
      <c r="C57" s="23">
        <v>25</v>
      </c>
      <c r="D57" s="23">
        <v>24</v>
      </c>
      <c r="E57" s="23">
        <v>42</v>
      </c>
      <c r="F57" s="23">
        <v>29</v>
      </c>
      <c r="G57" s="23">
        <v>23</v>
      </c>
      <c r="H57" s="23">
        <v>11</v>
      </c>
      <c r="I57" s="23">
        <v>28</v>
      </c>
      <c r="J57" s="23">
        <v>18</v>
      </c>
      <c r="K57" s="23">
        <v>45</v>
      </c>
      <c r="L57" s="23">
        <v>25</v>
      </c>
      <c r="M57" s="23">
        <v>29</v>
      </c>
      <c r="N57" s="23">
        <v>25</v>
      </c>
      <c r="O57" s="23">
        <v>65</v>
      </c>
      <c r="P57" s="23">
        <v>103</v>
      </c>
      <c r="Q57" s="23">
        <v>87</v>
      </c>
      <c r="R57" s="23">
        <v>171</v>
      </c>
      <c r="S57" s="23">
        <v>74</v>
      </c>
      <c r="T57" s="23">
        <v>71</v>
      </c>
      <c r="U57" s="23">
        <v>12</v>
      </c>
    </row>
    <row r="58" spans="1:21" hidden="1" x14ac:dyDescent="0.15">
      <c r="A58" s="54" t="s">
        <v>191</v>
      </c>
      <c r="B58" s="23">
        <v>14</v>
      </c>
      <c r="C58" s="23">
        <v>24</v>
      </c>
      <c r="D58" s="23">
        <v>20</v>
      </c>
      <c r="E58" s="23">
        <v>34</v>
      </c>
      <c r="F58" s="23">
        <v>16</v>
      </c>
      <c r="G58" s="23">
        <v>17</v>
      </c>
      <c r="H58" s="23">
        <v>12</v>
      </c>
      <c r="I58" s="23">
        <v>13</v>
      </c>
      <c r="J58" s="23">
        <v>6</v>
      </c>
      <c r="K58" s="23">
        <v>21</v>
      </c>
      <c r="L58" s="23">
        <v>21</v>
      </c>
      <c r="M58" s="23">
        <v>22</v>
      </c>
      <c r="N58" s="23">
        <v>22</v>
      </c>
      <c r="O58" s="23">
        <v>35</v>
      </c>
      <c r="P58" s="23">
        <v>72</v>
      </c>
      <c r="Q58" s="23">
        <v>58</v>
      </c>
      <c r="R58" s="23">
        <v>123</v>
      </c>
      <c r="S58" s="23">
        <v>51</v>
      </c>
      <c r="T58" s="23">
        <v>48</v>
      </c>
      <c r="U58" s="23">
        <v>5</v>
      </c>
    </row>
    <row r="59" spans="1:21" hidden="1" x14ac:dyDescent="0.15">
      <c r="A59" s="54" t="s">
        <v>192</v>
      </c>
      <c r="B59" s="23">
        <v>16</v>
      </c>
      <c r="C59" s="23">
        <v>15</v>
      </c>
      <c r="D59" s="23">
        <v>22</v>
      </c>
      <c r="E59" s="23">
        <v>21</v>
      </c>
      <c r="F59" s="23">
        <v>10</v>
      </c>
      <c r="G59" s="23">
        <v>15</v>
      </c>
      <c r="H59" s="23">
        <v>11</v>
      </c>
      <c r="I59" s="23">
        <v>19</v>
      </c>
      <c r="J59" s="23">
        <v>7</v>
      </c>
      <c r="K59" s="23">
        <v>25</v>
      </c>
      <c r="L59" s="23">
        <v>14</v>
      </c>
      <c r="M59" s="23">
        <v>21</v>
      </c>
      <c r="N59" s="23">
        <v>20</v>
      </c>
      <c r="O59" s="23">
        <v>34</v>
      </c>
      <c r="P59" s="23">
        <v>47</v>
      </c>
      <c r="Q59" s="23">
        <v>44</v>
      </c>
      <c r="R59" s="23">
        <v>106</v>
      </c>
      <c r="S59" s="23">
        <v>48</v>
      </c>
      <c r="T59" s="23">
        <v>48</v>
      </c>
      <c r="U59" s="23">
        <v>4</v>
      </c>
    </row>
    <row r="60" spans="1:21" hidden="1" x14ac:dyDescent="0.15">
      <c r="A60" s="54" t="s">
        <v>193</v>
      </c>
      <c r="B60" s="23">
        <v>14</v>
      </c>
      <c r="C60" s="23">
        <v>8</v>
      </c>
      <c r="D60" s="23">
        <v>18</v>
      </c>
      <c r="E60" s="23">
        <v>19</v>
      </c>
      <c r="F60" s="23">
        <v>17</v>
      </c>
      <c r="G60" s="23">
        <v>12</v>
      </c>
      <c r="H60" s="23">
        <v>3</v>
      </c>
      <c r="I60" s="23">
        <v>9</v>
      </c>
      <c r="J60" s="23">
        <v>10</v>
      </c>
      <c r="K60" s="23">
        <v>11</v>
      </c>
      <c r="L60" s="23">
        <v>4</v>
      </c>
      <c r="M60" s="23">
        <v>21</v>
      </c>
      <c r="N60" s="23">
        <v>13</v>
      </c>
      <c r="O60" s="23">
        <v>37</v>
      </c>
      <c r="P60" s="23">
        <v>53</v>
      </c>
      <c r="Q60" s="23">
        <v>24</v>
      </c>
      <c r="R60" s="23">
        <v>86</v>
      </c>
      <c r="S60" s="23">
        <v>45</v>
      </c>
      <c r="T60" s="23">
        <v>47</v>
      </c>
      <c r="U60" s="23">
        <v>7</v>
      </c>
    </row>
    <row r="61" spans="1:21" hidden="1" x14ac:dyDescent="0.15">
      <c r="A61" s="54" t="s">
        <v>194</v>
      </c>
      <c r="B61" s="23">
        <v>7</v>
      </c>
      <c r="C61" s="23">
        <v>12</v>
      </c>
      <c r="D61" s="23">
        <v>8</v>
      </c>
      <c r="E61" s="23">
        <v>12</v>
      </c>
      <c r="F61" s="23">
        <v>12</v>
      </c>
      <c r="G61" s="23">
        <v>13</v>
      </c>
      <c r="H61" s="23">
        <v>8</v>
      </c>
      <c r="I61" s="23">
        <v>12</v>
      </c>
      <c r="J61" s="23">
        <v>8</v>
      </c>
      <c r="K61" s="23">
        <v>14</v>
      </c>
      <c r="L61" s="23">
        <v>7</v>
      </c>
      <c r="M61" s="23">
        <v>14</v>
      </c>
      <c r="N61" s="23">
        <v>8</v>
      </c>
      <c r="O61" s="23">
        <v>26</v>
      </c>
      <c r="P61" s="23">
        <v>38</v>
      </c>
      <c r="Q61" s="23">
        <v>23</v>
      </c>
      <c r="R61" s="23">
        <v>72</v>
      </c>
      <c r="S61" s="23">
        <v>40</v>
      </c>
      <c r="T61" s="23">
        <v>29</v>
      </c>
      <c r="U61" s="23">
        <v>12</v>
      </c>
    </row>
    <row r="62" spans="1:21" hidden="1" x14ac:dyDescent="0.15">
      <c r="A62" s="54" t="s">
        <v>195</v>
      </c>
      <c r="B62" s="23">
        <v>5</v>
      </c>
      <c r="C62" s="23">
        <v>9</v>
      </c>
      <c r="D62" s="23">
        <v>6</v>
      </c>
      <c r="E62" s="23">
        <v>5</v>
      </c>
      <c r="F62" s="23">
        <v>11</v>
      </c>
      <c r="G62" s="23">
        <v>5</v>
      </c>
      <c r="H62" s="23">
        <v>1</v>
      </c>
      <c r="I62" s="23">
        <v>7</v>
      </c>
      <c r="J62" s="23">
        <v>6</v>
      </c>
      <c r="K62" s="23">
        <v>17</v>
      </c>
      <c r="L62" s="23">
        <v>8</v>
      </c>
      <c r="M62" s="23">
        <v>14</v>
      </c>
      <c r="N62" s="23">
        <v>13</v>
      </c>
      <c r="O62" s="23">
        <v>24</v>
      </c>
      <c r="P62" s="23">
        <v>43</v>
      </c>
      <c r="Q62" s="23">
        <v>13</v>
      </c>
      <c r="R62" s="23">
        <v>60</v>
      </c>
      <c r="S62" s="23">
        <v>47</v>
      </c>
      <c r="T62" s="23">
        <v>32</v>
      </c>
      <c r="U62" s="23">
        <v>8</v>
      </c>
    </row>
    <row r="63" spans="1:21" hidden="1" x14ac:dyDescent="0.15">
      <c r="A63" s="54" t="s">
        <v>196</v>
      </c>
      <c r="B63" s="23">
        <v>6</v>
      </c>
      <c r="C63" s="23">
        <v>7</v>
      </c>
      <c r="D63" s="23">
        <v>6</v>
      </c>
      <c r="E63" s="23">
        <v>15</v>
      </c>
      <c r="F63" s="23">
        <v>13</v>
      </c>
      <c r="G63" s="23">
        <v>6</v>
      </c>
      <c r="H63" s="23">
        <v>4</v>
      </c>
      <c r="I63" s="23">
        <v>7</v>
      </c>
      <c r="J63" s="23">
        <v>5</v>
      </c>
      <c r="K63" s="23">
        <v>10</v>
      </c>
      <c r="L63" s="23">
        <v>9</v>
      </c>
      <c r="M63" s="23">
        <v>10</v>
      </c>
      <c r="N63" s="23">
        <v>6</v>
      </c>
      <c r="O63" s="23">
        <v>15</v>
      </c>
      <c r="P63" s="23">
        <v>22</v>
      </c>
      <c r="Q63" s="23">
        <v>23</v>
      </c>
      <c r="R63" s="23">
        <v>66</v>
      </c>
      <c r="S63" s="23">
        <v>31</v>
      </c>
      <c r="T63" s="23">
        <v>31</v>
      </c>
      <c r="U63" s="23">
        <v>7</v>
      </c>
    </row>
    <row r="64" spans="1:21" hidden="1" x14ac:dyDescent="0.15">
      <c r="A64" s="54" t="s">
        <v>197</v>
      </c>
      <c r="B64" s="23">
        <v>40</v>
      </c>
      <c r="C64" s="23">
        <v>36</v>
      </c>
      <c r="D64" s="23">
        <v>32</v>
      </c>
      <c r="E64" s="23">
        <v>64</v>
      </c>
      <c r="F64" s="23">
        <v>56</v>
      </c>
      <c r="G64" s="23">
        <v>42</v>
      </c>
      <c r="H64" s="23">
        <v>19</v>
      </c>
      <c r="I64" s="23">
        <v>27</v>
      </c>
      <c r="J64" s="23">
        <v>20</v>
      </c>
      <c r="K64" s="23">
        <v>40</v>
      </c>
      <c r="L64" s="23">
        <v>43</v>
      </c>
      <c r="M64" s="23">
        <v>51</v>
      </c>
      <c r="N64" s="23">
        <v>68</v>
      </c>
      <c r="O64" s="23">
        <v>79</v>
      </c>
      <c r="P64" s="23">
        <v>141</v>
      </c>
      <c r="Q64" s="23">
        <v>63</v>
      </c>
      <c r="R64" s="23">
        <v>301</v>
      </c>
      <c r="S64" s="23">
        <v>153</v>
      </c>
      <c r="T64" s="23">
        <v>113</v>
      </c>
      <c r="U64" s="23">
        <v>23</v>
      </c>
    </row>
    <row r="65" spans="1:21" hidden="1" x14ac:dyDescent="0.15">
      <c r="A65" s="54" t="s">
        <v>198</v>
      </c>
      <c r="B65" s="23">
        <v>29</v>
      </c>
      <c r="C65" s="23">
        <v>27</v>
      </c>
      <c r="D65" s="23">
        <v>21</v>
      </c>
      <c r="E65" s="23">
        <v>28</v>
      </c>
      <c r="F65" s="23">
        <v>22</v>
      </c>
      <c r="G65" s="23">
        <v>14</v>
      </c>
      <c r="H65" s="23">
        <v>8</v>
      </c>
      <c r="I65" s="23">
        <v>13</v>
      </c>
      <c r="J65" s="23">
        <v>10</v>
      </c>
      <c r="K65" s="23">
        <v>28</v>
      </c>
      <c r="L65" s="23">
        <v>20</v>
      </c>
      <c r="M65" s="23">
        <v>24</v>
      </c>
      <c r="N65" s="23">
        <v>28</v>
      </c>
      <c r="O65" s="23">
        <v>57</v>
      </c>
      <c r="P65" s="23">
        <v>65</v>
      </c>
      <c r="Q65" s="23">
        <v>42</v>
      </c>
      <c r="R65" s="23">
        <v>194</v>
      </c>
      <c r="S65" s="23">
        <v>147</v>
      </c>
      <c r="T65" s="23">
        <v>104</v>
      </c>
      <c r="U65" s="23">
        <v>12</v>
      </c>
    </row>
    <row r="66" spans="1:21" hidden="1" x14ac:dyDescent="0.15"/>
  </sheetData>
  <mergeCells count="5">
    <mergeCell ref="A4:A5"/>
    <mergeCell ref="A34:A35"/>
    <mergeCell ref="A36:A37"/>
    <mergeCell ref="A38:A39"/>
    <mergeCell ref="A44:A45"/>
  </mergeCells>
  <phoneticPr fontId="2"/>
  <printOptions horizontalCentered="1"/>
  <pageMargins left="0.70866141732283472" right="0.70866141732283472" top="0.74803149606299213" bottom="0.74803149606299213" header="0.31496062992125984" footer="0.31496062992125984"/>
  <pageSetup paperSize="9" scale="85"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A1:U29"/>
  <sheetViews>
    <sheetView view="pageBreakPreview" zoomScaleNormal="100" zoomScaleSheetLayoutView="100" workbookViewId="0">
      <selection activeCell="A20" sqref="A20:XFD29"/>
    </sheetView>
  </sheetViews>
  <sheetFormatPr defaultColWidth="13.75" defaultRowHeight="18.75" x14ac:dyDescent="0.15"/>
  <cols>
    <col min="1" max="1" width="10" style="1" customWidth="1"/>
    <col min="2" max="11" width="8.75" style="1" customWidth="1"/>
    <col min="12" max="21" width="7.5" style="1" customWidth="1"/>
    <col min="22" max="16384" width="13.75" style="1"/>
  </cols>
  <sheetData>
    <row r="1" spans="1:11" s="3" customFormat="1" ht="19.5" x14ac:dyDescent="0.15">
      <c r="A1" s="2" t="s">
        <v>520</v>
      </c>
    </row>
    <row r="2" spans="1:11" x14ac:dyDescent="0.15">
      <c r="A2" s="4"/>
    </row>
    <row r="3" spans="1:11" ht="37.5" x14ac:dyDescent="0.15">
      <c r="A3" s="508"/>
      <c r="B3" s="508" t="s">
        <v>382</v>
      </c>
      <c r="C3" s="508" t="s">
        <v>383</v>
      </c>
      <c r="D3" s="508" t="s">
        <v>384</v>
      </c>
      <c r="E3" s="508" t="s">
        <v>385</v>
      </c>
      <c r="F3" s="508" t="s">
        <v>386</v>
      </c>
      <c r="G3" s="508" t="s">
        <v>387</v>
      </c>
      <c r="H3" s="508" t="s">
        <v>388</v>
      </c>
      <c r="I3" s="508" t="s">
        <v>389</v>
      </c>
      <c r="J3" s="540" t="s">
        <v>503</v>
      </c>
      <c r="K3" s="508" t="s">
        <v>62</v>
      </c>
    </row>
    <row r="4" spans="1:11" s="22" customFormat="1" ht="18.75" customHeight="1" x14ac:dyDescent="0.15">
      <c r="A4" s="695" t="s">
        <v>28</v>
      </c>
      <c r="B4" s="509">
        <f>SUM(B22:D22)</f>
        <v>25</v>
      </c>
      <c r="C4" s="509">
        <f>SUM(E22:F22)</f>
        <v>25</v>
      </c>
      <c r="D4" s="509">
        <f>SUM(G22:J22)</f>
        <v>11</v>
      </c>
      <c r="E4" s="509">
        <f>SUM(K22:L22)</f>
        <v>50</v>
      </c>
      <c r="F4" s="509">
        <f>SUM(M22:N22)</f>
        <v>48</v>
      </c>
      <c r="G4" s="509">
        <f>SUM(O22:Q22)</f>
        <v>29</v>
      </c>
      <c r="H4" s="509">
        <f>R22</f>
        <v>108</v>
      </c>
      <c r="I4" s="509">
        <f>S22</f>
        <v>35</v>
      </c>
      <c r="J4" s="509">
        <f>SUM(T22:U22)</f>
        <v>30</v>
      </c>
      <c r="K4" s="510">
        <f>SUM(B4:J4)</f>
        <v>361</v>
      </c>
    </row>
    <row r="5" spans="1:11" s="22" customFormat="1" ht="18.75" customHeight="1" x14ac:dyDescent="0.15">
      <c r="A5" s="697"/>
      <c r="B5" s="514">
        <f>B4/B$16</f>
        <v>1.9952114924181964E-2</v>
      </c>
      <c r="C5" s="514">
        <f t="shared" ref="C5:J5" si="0">C4/C$16</f>
        <v>1.8754688672168042E-2</v>
      </c>
      <c r="D5" s="514">
        <f t="shared" si="0"/>
        <v>8.3905415713196041E-3</v>
      </c>
      <c r="E5" s="514">
        <f t="shared" si="0"/>
        <v>4.0683482506102521E-2</v>
      </c>
      <c r="F5" s="514">
        <f t="shared" si="0"/>
        <v>4.4817927170868348E-2</v>
      </c>
      <c r="G5" s="514">
        <f t="shared" si="0"/>
        <v>8.9533806730472364E-3</v>
      </c>
      <c r="H5" s="514">
        <f t="shared" si="0"/>
        <v>3.2638259292837715E-2</v>
      </c>
      <c r="I5" s="514">
        <f t="shared" si="0"/>
        <v>2.2860875244937948E-2</v>
      </c>
      <c r="J5" s="514">
        <f t="shared" si="0"/>
        <v>2.1754894851341553E-2</v>
      </c>
      <c r="K5" s="514">
        <f>K4/K$16</f>
        <v>2.3059725327371446E-2</v>
      </c>
    </row>
    <row r="6" spans="1:11" s="22" customFormat="1" ht="18.75" customHeight="1" x14ac:dyDescent="0.15">
      <c r="A6" s="695" t="s">
        <v>29</v>
      </c>
      <c r="B6" s="509">
        <f>SUM(B23:D23)</f>
        <v>98</v>
      </c>
      <c r="C6" s="509">
        <f>SUM(E23:F23)</f>
        <v>55</v>
      </c>
      <c r="D6" s="509">
        <f>SUM(G23:J23)</f>
        <v>91</v>
      </c>
      <c r="E6" s="509">
        <f>SUM(K23:L23)</f>
        <v>151</v>
      </c>
      <c r="F6" s="509">
        <f>SUM(M23:N23)</f>
        <v>134</v>
      </c>
      <c r="G6" s="509">
        <f>SUM(O23:Q23)</f>
        <v>193</v>
      </c>
      <c r="H6" s="509">
        <f>R23</f>
        <v>328</v>
      </c>
      <c r="I6" s="509">
        <f>S23</f>
        <v>150</v>
      </c>
      <c r="J6" s="509">
        <f>SUM(T23:U23)</f>
        <v>117</v>
      </c>
      <c r="K6" s="510">
        <f>SUM(B6:J6)</f>
        <v>1317</v>
      </c>
    </row>
    <row r="7" spans="1:11" s="22" customFormat="1" ht="18.75" customHeight="1" x14ac:dyDescent="0.15">
      <c r="A7" s="697"/>
      <c r="B7" s="514">
        <f>B6/B$16</f>
        <v>7.8212290502793297E-2</v>
      </c>
      <c r="C7" s="514">
        <f t="shared" ref="C7:J7" si="1">C6/C$16</f>
        <v>4.1260315078769691E-2</v>
      </c>
      <c r="D7" s="514">
        <f t="shared" si="1"/>
        <v>6.9412662090007626E-2</v>
      </c>
      <c r="E7" s="514">
        <f t="shared" si="1"/>
        <v>0.12286411716842961</v>
      </c>
      <c r="F7" s="514">
        <f t="shared" si="1"/>
        <v>0.12511671335200747</v>
      </c>
      <c r="G7" s="514">
        <f t="shared" si="1"/>
        <v>5.9586292065452302E-2</v>
      </c>
      <c r="H7" s="514">
        <f t="shared" si="1"/>
        <v>9.9123602296766394E-2</v>
      </c>
      <c r="I7" s="514">
        <f t="shared" si="1"/>
        <v>9.7975179621162645E-2</v>
      </c>
      <c r="J7" s="514">
        <f t="shared" si="1"/>
        <v>8.4844089920232055E-2</v>
      </c>
      <c r="K7" s="514">
        <f>K6/K$16</f>
        <v>8.4126477163845415E-2</v>
      </c>
    </row>
    <row r="8" spans="1:11" s="22" customFormat="1" ht="18.75" customHeight="1" x14ac:dyDescent="0.15">
      <c r="A8" s="695" t="s">
        <v>30</v>
      </c>
      <c r="B8" s="509">
        <f>SUM(B24:D24)</f>
        <v>198</v>
      </c>
      <c r="C8" s="509">
        <f>SUM(E24:F24)</f>
        <v>225</v>
      </c>
      <c r="D8" s="509">
        <f>SUM(G24:J24)</f>
        <v>236</v>
      </c>
      <c r="E8" s="509">
        <f>SUM(K24:L24)</f>
        <v>319</v>
      </c>
      <c r="F8" s="509">
        <f>SUM(M24:N24)</f>
        <v>239</v>
      </c>
      <c r="G8" s="509">
        <f>SUM(O24:Q24)</f>
        <v>581</v>
      </c>
      <c r="H8" s="509">
        <f>R24</f>
        <v>687</v>
      </c>
      <c r="I8" s="509">
        <f>S24</f>
        <v>333</v>
      </c>
      <c r="J8" s="509">
        <f>SUM(T24:U24)</f>
        <v>245</v>
      </c>
      <c r="K8" s="510">
        <f>SUM(B8:J8)</f>
        <v>3063</v>
      </c>
    </row>
    <row r="9" spans="1:11" s="22" customFormat="1" ht="18.75" customHeight="1" x14ac:dyDescent="0.15">
      <c r="A9" s="697"/>
      <c r="B9" s="514">
        <f>B8/B$16</f>
        <v>0.15802075019952114</v>
      </c>
      <c r="C9" s="514">
        <f t="shared" ref="C9:J9" si="2">C8/C$16</f>
        <v>0.16879219804951237</v>
      </c>
      <c r="D9" s="514">
        <f t="shared" si="2"/>
        <v>0.18001525553012968</v>
      </c>
      <c r="E9" s="514">
        <f t="shared" si="2"/>
        <v>0.25956061838893407</v>
      </c>
      <c r="F9" s="514">
        <f t="shared" si="2"/>
        <v>0.22315592903828199</v>
      </c>
      <c r="G9" s="514">
        <f t="shared" si="2"/>
        <v>0.17937635072553257</v>
      </c>
      <c r="H9" s="514">
        <f t="shared" si="2"/>
        <v>0.20761559383499548</v>
      </c>
      <c r="I9" s="514">
        <f t="shared" si="2"/>
        <v>0.21750489875898105</v>
      </c>
      <c r="J9" s="514">
        <f t="shared" si="2"/>
        <v>0.17766497461928935</v>
      </c>
      <c r="K9" s="514">
        <f>K8/K$16</f>
        <v>0.19565633982753114</v>
      </c>
    </row>
    <row r="10" spans="1:11" s="22" customFormat="1" ht="18.75" customHeight="1" x14ac:dyDescent="0.15">
      <c r="A10" s="695" t="s">
        <v>31</v>
      </c>
      <c r="B10" s="509">
        <f>SUM(B25:D25)</f>
        <v>494</v>
      </c>
      <c r="C10" s="509">
        <f>SUM(E25:F25)</f>
        <v>534</v>
      </c>
      <c r="D10" s="509">
        <f>SUM(G25:J25)</f>
        <v>492</v>
      </c>
      <c r="E10" s="509">
        <f>SUM(K25:L25)</f>
        <v>488</v>
      </c>
      <c r="F10" s="509">
        <f>SUM(M25:N25)</f>
        <v>416</v>
      </c>
      <c r="G10" s="509">
        <f>SUM(O25:Q25)</f>
        <v>1263</v>
      </c>
      <c r="H10" s="509">
        <f>R25</f>
        <v>1323</v>
      </c>
      <c r="I10" s="509">
        <f>S25</f>
        <v>610</v>
      </c>
      <c r="J10" s="509">
        <f>SUM(T25:U25)</f>
        <v>537</v>
      </c>
      <c r="K10" s="510">
        <f>SUM(B10:J10)</f>
        <v>6157</v>
      </c>
    </row>
    <row r="11" spans="1:11" s="22" customFormat="1" ht="18.75" customHeight="1" x14ac:dyDescent="0.15">
      <c r="A11" s="697"/>
      <c r="B11" s="514">
        <f>B10/B$16</f>
        <v>0.3942537909018356</v>
      </c>
      <c r="C11" s="514">
        <f t="shared" ref="C11:J11" si="3">C10/C$16</f>
        <v>0.40060015003750937</v>
      </c>
      <c r="D11" s="514">
        <f t="shared" si="3"/>
        <v>0.37528604118993136</v>
      </c>
      <c r="E11" s="514">
        <f t="shared" si="3"/>
        <v>0.39707078925956063</v>
      </c>
      <c r="F11" s="514">
        <f t="shared" si="3"/>
        <v>0.38842203548085902</v>
      </c>
      <c r="G11" s="514">
        <f t="shared" si="3"/>
        <v>0.38993516517443655</v>
      </c>
      <c r="H11" s="514">
        <f t="shared" si="3"/>
        <v>0.39981867633726204</v>
      </c>
      <c r="I11" s="514">
        <f t="shared" si="3"/>
        <v>0.39843239712606138</v>
      </c>
      <c r="J11" s="514">
        <f t="shared" si="3"/>
        <v>0.38941261783901376</v>
      </c>
      <c r="K11" s="514">
        <f>K10/K$16</f>
        <v>0.39329287767486426</v>
      </c>
    </row>
    <row r="12" spans="1:11" s="22" customFormat="1" ht="18.75" customHeight="1" x14ac:dyDescent="0.15">
      <c r="A12" s="695" t="s">
        <v>32</v>
      </c>
      <c r="B12" s="509">
        <f>SUM(B26:D26)</f>
        <v>355</v>
      </c>
      <c r="C12" s="509">
        <f>SUM(E26:F26)</f>
        <v>401</v>
      </c>
      <c r="D12" s="509">
        <f>SUM(G26:J26)</f>
        <v>366</v>
      </c>
      <c r="E12" s="509">
        <f>SUM(K26:L26)</f>
        <v>194</v>
      </c>
      <c r="F12" s="509">
        <f>SUM(M26:N26)</f>
        <v>201</v>
      </c>
      <c r="G12" s="509">
        <f>SUM(O26:Q26)</f>
        <v>997</v>
      </c>
      <c r="H12" s="509">
        <f>R26</f>
        <v>727</v>
      </c>
      <c r="I12" s="509">
        <f>S26</f>
        <v>348</v>
      </c>
      <c r="J12" s="509">
        <f>SUM(T26:U26)</f>
        <v>359</v>
      </c>
      <c r="K12" s="510">
        <f>SUM(B12:J12)</f>
        <v>3948</v>
      </c>
    </row>
    <row r="13" spans="1:11" s="22" customFormat="1" ht="18.75" customHeight="1" x14ac:dyDescent="0.15">
      <c r="A13" s="697"/>
      <c r="B13" s="514">
        <f>B12/B$16</f>
        <v>0.2833200319233839</v>
      </c>
      <c r="C13" s="514">
        <f t="shared" ref="C13:J13" si="4">C12/C$16</f>
        <v>0.30082520630157539</v>
      </c>
      <c r="D13" s="514">
        <f t="shared" si="4"/>
        <v>0.2791762013729977</v>
      </c>
      <c r="E13" s="514">
        <f t="shared" si="4"/>
        <v>0.15785191212367777</v>
      </c>
      <c r="F13" s="514">
        <f t="shared" si="4"/>
        <v>0.1876750700280112</v>
      </c>
      <c r="G13" s="514">
        <f t="shared" si="4"/>
        <v>0.30781105279407223</v>
      </c>
      <c r="H13" s="514">
        <f t="shared" si="4"/>
        <v>0.21970383801752796</v>
      </c>
      <c r="I13" s="514">
        <f t="shared" si="4"/>
        <v>0.22730241672109733</v>
      </c>
      <c r="J13" s="514">
        <f t="shared" si="4"/>
        <v>0.26033357505438726</v>
      </c>
      <c r="K13" s="514">
        <f>K12/K$16</f>
        <v>0.25218779942510378</v>
      </c>
    </row>
    <row r="14" spans="1:11" s="22" customFormat="1" ht="18.75" customHeight="1" x14ac:dyDescent="0.15">
      <c r="A14" s="695" t="s">
        <v>33</v>
      </c>
      <c r="B14" s="509">
        <f>SUM(B27:D27)</f>
        <v>83</v>
      </c>
      <c r="C14" s="509">
        <f>SUM(E27:F27)</f>
        <v>93</v>
      </c>
      <c r="D14" s="509">
        <f>SUM(G27:J27)</f>
        <v>115</v>
      </c>
      <c r="E14" s="509">
        <f>SUM(K27:L27)</f>
        <v>27</v>
      </c>
      <c r="F14" s="509">
        <f>SUM(M27:N27)</f>
        <v>33</v>
      </c>
      <c r="G14" s="509">
        <f>SUM(O27:Q27)</f>
        <v>176</v>
      </c>
      <c r="H14" s="509">
        <f>R27</f>
        <v>136</v>
      </c>
      <c r="I14" s="509">
        <f>S27</f>
        <v>55</v>
      </c>
      <c r="J14" s="509">
        <f>SUM(T27:U27)</f>
        <v>91</v>
      </c>
      <c r="K14" s="510">
        <f>SUM(B14:J14)</f>
        <v>809</v>
      </c>
    </row>
    <row r="15" spans="1:11" s="22" customFormat="1" ht="18.75" customHeight="1" x14ac:dyDescent="0.15">
      <c r="A15" s="697"/>
      <c r="B15" s="514">
        <f>B14/B$16</f>
        <v>6.6241021548284124E-2</v>
      </c>
      <c r="C15" s="514">
        <f t="shared" ref="C15:J15" si="5">C14/C$16</f>
        <v>6.9767441860465115E-2</v>
      </c>
      <c r="D15" s="514">
        <f t="shared" si="5"/>
        <v>8.771929824561403E-2</v>
      </c>
      <c r="E15" s="514">
        <f t="shared" si="5"/>
        <v>2.1969080553295363E-2</v>
      </c>
      <c r="F15" s="514">
        <f t="shared" si="5"/>
        <v>3.081232492997199E-2</v>
      </c>
      <c r="G15" s="514">
        <f t="shared" si="5"/>
        <v>5.4337758567459093E-2</v>
      </c>
      <c r="H15" s="514">
        <f t="shared" si="5"/>
        <v>4.1100030220610456E-2</v>
      </c>
      <c r="I15" s="514">
        <f t="shared" si="5"/>
        <v>3.5924232527759635E-2</v>
      </c>
      <c r="J15" s="514">
        <f t="shared" si="5"/>
        <v>6.5989847715736044E-2</v>
      </c>
      <c r="K15" s="514">
        <f>K14/K$16</f>
        <v>5.1676780581283936E-2</v>
      </c>
    </row>
    <row r="16" spans="1:11" s="22" customFormat="1" ht="18.75" customHeight="1" x14ac:dyDescent="0.15">
      <c r="A16" s="716" t="s">
        <v>11</v>
      </c>
      <c r="B16" s="515">
        <f>SUM(B4,B6,B8,B10,B12,B14)</f>
        <v>1253</v>
      </c>
      <c r="C16" s="515">
        <f t="shared" ref="C16:J17" si="6">SUM(C4,C6,C8,C10,C12,C14)</f>
        <v>1333</v>
      </c>
      <c r="D16" s="515">
        <f t="shared" si="6"/>
        <v>1311</v>
      </c>
      <c r="E16" s="515">
        <f t="shared" si="6"/>
        <v>1229</v>
      </c>
      <c r="F16" s="515">
        <f t="shared" si="6"/>
        <v>1071</v>
      </c>
      <c r="G16" s="515">
        <f t="shared" si="6"/>
        <v>3239</v>
      </c>
      <c r="H16" s="515">
        <f t="shared" si="6"/>
        <v>3309</v>
      </c>
      <c r="I16" s="515">
        <f t="shared" si="6"/>
        <v>1531</v>
      </c>
      <c r="J16" s="515">
        <f t="shared" si="6"/>
        <v>1379</v>
      </c>
      <c r="K16" s="516">
        <f>SUM(K4,K6,K8,K10,K12,K14)</f>
        <v>15655</v>
      </c>
    </row>
    <row r="17" spans="1:21" s="22" customFormat="1" ht="18.75" customHeight="1" x14ac:dyDescent="0.15">
      <c r="A17" s="717"/>
      <c r="B17" s="517">
        <f t="shared" ref="B17:I17" si="7">SUM(B5,B7,B9,B11,B13,B15)</f>
        <v>1</v>
      </c>
      <c r="C17" s="517">
        <f t="shared" si="7"/>
        <v>1</v>
      </c>
      <c r="D17" s="517">
        <f t="shared" si="7"/>
        <v>1</v>
      </c>
      <c r="E17" s="517">
        <f t="shared" si="7"/>
        <v>1</v>
      </c>
      <c r="F17" s="517">
        <f t="shared" si="7"/>
        <v>1</v>
      </c>
      <c r="G17" s="517">
        <f t="shared" si="7"/>
        <v>1</v>
      </c>
      <c r="H17" s="517">
        <f t="shared" si="7"/>
        <v>1</v>
      </c>
      <c r="I17" s="517">
        <f t="shared" si="7"/>
        <v>1</v>
      </c>
      <c r="J17" s="517">
        <f t="shared" si="6"/>
        <v>1</v>
      </c>
      <c r="K17" s="517">
        <f>SUM(K5,K7,K9,K11,K13,K15)</f>
        <v>1</v>
      </c>
    </row>
    <row r="20" spans="1:21" hidden="1" x14ac:dyDescent="0.15">
      <c r="A20" s="56"/>
      <c r="B20" s="378"/>
      <c r="C20" s="378"/>
      <c r="D20" s="378"/>
      <c r="E20" s="378"/>
      <c r="F20" s="378"/>
      <c r="G20" s="378"/>
      <c r="H20" s="378"/>
      <c r="I20" s="378"/>
    </row>
    <row r="21" spans="1:21" hidden="1" x14ac:dyDescent="0.15">
      <c r="A21" s="378" t="s">
        <v>63</v>
      </c>
      <c r="B21" s="543" t="s">
        <v>390</v>
      </c>
      <c r="C21" s="543" t="s">
        <v>391</v>
      </c>
      <c r="D21" s="543" t="s">
        <v>392</v>
      </c>
      <c r="E21" s="543" t="s">
        <v>393</v>
      </c>
      <c r="F21" s="543" t="s">
        <v>394</v>
      </c>
      <c r="G21" s="543" t="s">
        <v>395</v>
      </c>
      <c r="H21" s="543" t="s">
        <v>396</v>
      </c>
      <c r="I21" s="543" t="s">
        <v>397</v>
      </c>
      <c r="J21" s="543" t="s">
        <v>398</v>
      </c>
      <c r="K21" s="543" t="s">
        <v>399</v>
      </c>
      <c r="L21" s="543" t="s">
        <v>400</v>
      </c>
      <c r="M21" s="543" t="s">
        <v>401</v>
      </c>
      <c r="N21" s="543" t="s">
        <v>402</v>
      </c>
      <c r="O21" s="543" t="s">
        <v>403</v>
      </c>
      <c r="P21" s="543" t="s">
        <v>404</v>
      </c>
      <c r="Q21" s="543" t="s">
        <v>405</v>
      </c>
      <c r="R21" s="543" t="s">
        <v>406</v>
      </c>
      <c r="S21" s="543" t="s">
        <v>407</v>
      </c>
      <c r="T21" s="543" t="s">
        <v>504</v>
      </c>
      <c r="U21" s="55" t="s">
        <v>505</v>
      </c>
    </row>
    <row r="22" spans="1:21" hidden="1" x14ac:dyDescent="0.15">
      <c r="A22" s="43">
        <v>1</v>
      </c>
      <c r="B22" s="23">
        <v>3</v>
      </c>
      <c r="C22" s="23">
        <v>13</v>
      </c>
      <c r="D22" s="23">
        <v>9</v>
      </c>
      <c r="E22" s="23">
        <v>13</v>
      </c>
      <c r="F22" s="23">
        <v>12</v>
      </c>
      <c r="G22" s="23">
        <v>5</v>
      </c>
      <c r="H22" s="23">
        <v>1</v>
      </c>
      <c r="I22" s="23">
        <v>1</v>
      </c>
      <c r="J22" s="23">
        <v>4</v>
      </c>
      <c r="K22" s="23">
        <v>21</v>
      </c>
      <c r="L22" s="23">
        <v>29</v>
      </c>
      <c r="M22" s="23">
        <v>15</v>
      </c>
      <c r="N22" s="23">
        <v>33</v>
      </c>
      <c r="O22" s="23">
        <v>6</v>
      </c>
      <c r="P22" s="23">
        <v>16</v>
      </c>
      <c r="Q22" s="23">
        <v>7</v>
      </c>
      <c r="R22" s="23">
        <v>108</v>
      </c>
      <c r="S22" s="23">
        <v>35</v>
      </c>
      <c r="T22" s="23">
        <v>22</v>
      </c>
      <c r="U22" s="23">
        <v>8</v>
      </c>
    </row>
    <row r="23" spans="1:21" hidden="1" x14ac:dyDescent="0.15">
      <c r="A23" s="43">
        <v>2</v>
      </c>
      <c r="B23" s="23">
        <v>21</v>
      </c>
      <c r="C23" s="23">
        <v>43</v>
      </c>
      <c r="D23" s="23">
        <v>34</v>
      </c>
      <c r="E23" s="23">
        <v>25</v>
      </c>
      <c r="F23" s="23">
        <v>30</v>
      </c>
      <c r="G23" s="23">
        <v>30</v>
      </c>
      <c r="H23" s="23">
        <v>17</v>
      </c>
      <c r="I23" s="23">
        <v>28</v>
      </c>
      <c r="J23" s="23">
        <v>16</v>
      </c>
      <c r="K23" s="23">
        <v>90</v>
      </c>
      <c r="L23" s="23">
        <v>61</v>
      </c>
      <c r="M23" s="23">
        <v>46</v>
      </c>
      <c r="N23" s="23">
        <v>88</v>
      </c>
      <c r="O23" s="23">
        <v>61</v>
      </c>
      <c r="P23" s="23">
        <v>79</v>
      </c>
      <c r="Q23" s="23">
        <v>53</v>
      </c>
      <c r="R23" s="23">
        <v>328</v>
      </c>
      <c r="S23" s="23">
        <v>150</v>
      </c>
      <c r="T23" s="23">
        <v>110</v>
      </c>
      <c r="U23" s="23">
        <v>7</v>
      </c>
    </row>
    <row r="24" spans="1:21" hidden="1" x14ac:dyDescent="0.15">
      <c r="A24" s="43">
        <v>3</v>
      </c>
      <c r="B24" s="23">
        <v>44</v>
      </c>
      <c r="C24" s="23">
        <v>82</v>
      </c>
      <c r="D24" s="23">
        <v>72</v>
      </c>
      <c r="E24" s="23">
        <v>100</v>
      </c>
      <c r="F24" s="23">
        <v>125</v>
      </c>
      <c r="G24" s="23">
        <v>91</v>
      </c>
      <c r="H24" s="23">
        <v>45</v>
      </c>
      <c r="I24" s="23">
        <v>55</v>
      </c>
      <c r="J24" s="23">
        <v>45</v>
      </c>
      <c r="K24" s="23">
        <v>206</v>
      </c>
      <c r="L24" s="23">
        <v>113</v>
      </c>
      <c r="M24" s="23">
        <v>92</v>
      </c>
      <c r="N24" s="23">
        <v>147</v>
      </c>
      <c r="O24" s="23">
        <v>178</v>
      </c>
      <c r="P24" s="23">
        <v>244</v>
      </c>
      <c r="Q24" s="23">
        <v>159</v>
      </c>
      <c r="R24" s="23">
        <v>687</v>
      </c>
      <c r="S24" s="23">
        <v>333</v>
      </c>
      <c r="T24" s="23">
        <v>218</v>
      </c>
      <c r="U24" s="23">
        <v>27</v>
      </c>
    </row>
    <row r="25" spans="1:21" hidden="1" x14ac:dyDescent="0.15">
      <c r="A25" s="43">
        <v>4</v>
      </c>
      <c r="B25" s="23">
        <v>146</v>
      </c>
      <c r="C25" s="23">
        <v>177</v>
      </c>
      <c r="D25" s="23">
        <v>171</v>
      </c>
      <c r="E25" s="23">
        <v>294</v>
      </c>
      <c r="F25" s="23">
        <v>240</v>
      </c>
      <c r="G25" s="23">
        <v>146</v>
      </c>
      <c r="H25" s="23">
        <v>99</v>
      </c>
      <c r="I25" s="23">
        <v>132</v>
      </c>
      <c r="J25" s="23">
        <v>115</v>
      </c>
      <c r="K25" s="23">
        <v>306</v>
      </c>
      <c r="L25" s="23">
        <v>182</v>
      </c>
      <c r="M25" s="23">
        <v>226</v>
      </c>
      <c r="N25" s="23">
        <v>190</v>
      </c>
      <c r="O25" s="23">
        <v>400</v>
      </c>
      <c r="P25" s="23">
        <v>454</v>
      </c>
      <c r="Q25" s="23">
        <v>409</v>
      </c>
      <c r="R25" s="23">
        <v>1323</v>
      </c>
      <c r="S25" s="23">
        <v>610</v>
      </c>
      <c r="T25" s="23">
        <v>466</v>
      </c>
      <c r="U25" s="23">
        <v>71</v>
      </c>
    </row>
    <row r="26" spans="1:21" hidden="1" x14ac:dyDescent="0.15">
      <c r="A26" s="43">
        <v>5</v>
      </c>
      <c r="B26" s="23">
        <v>111</v>
      </c>
      <c r="C26" s="23">
        <v>124</v>
      </c>
      <c r="D26" s="23">
        <v>120</v>
      </c>
      <c r="E26" s="23">
        <v>221</v>
      </c>
      <c r="F26" s="23">
        <v>180</v>
      </c>
      <c r="G26" s="23">
        <v>128</v>
      </c>
      <c r="H26" s="23">
        <v>66</v>
      </c>
      <c r="I26" s="23">
        <v>110</v>
      </c>
      <c r="J26" s="23">
        <v>62</v>
      </c>
      <c r="K26" s="23">
        <v>111</v>
      </c>
      <c r="L26" s="23">
        <v>83</v>
      </c>
      <c r="M26" s="23">
        <v>97</v>
      </c>
      <c r="N26" s="23">
        <v>104</v>
      </c>
      <c r="O26" s="23">
        <v>216</v>
      </c>
      <c r="P26" s="23">
        <v>498</v>
      </c>
      <c r="Q26" s="23">
        <v>283</v>
      </c>
      <c r="R26" s="23">
        <v>727</v>
      </c>
      <c r="S26" s="23">
        <v>348</v>
      </c>
      <c r="T26" s="23">
        <v>320</v>
      </c>
      <c r="U26" s="23">
        <v>39</v>
      </c>
    </row>
    <row r="27" spans="1:21" hidden="1" x14ac:dyDescent="0.15">
      <c r="A27" s="43">
        <v>6</v>
      </c>
      <c r="B27" s="23">
        <v>23</v>
      </c>
      <c r="C27" s="23">
        <v>34</v>
      </c>
      <c r="D27" s="23">
        <v>26</v>
      </c>
      <c r="E27" s="23">
        <v>58</v>
      </c>
      <c r="F27" s="23">
        <v>35</v>
      </c>
      <c r="G27" s="23">
        <v>37</v>
      </c>
      <c r="H27" s="23">
        <v>21</v>
      </c>
      <c r="I27" s="23">
        <v>36</v>
      </c>
      <c r="J27" s="23">
        <v>21</v>
      </c>
      <c r="K27" s="23">
        <v>16</v>
      </c>
      <c r="L27" s="23">
        <v>11</v>
      </c>
      <c r="M27" s="23">
        <v>16</v>
      </c>
      <c r="N27" s="23">
        <v>17</v>
      </c>
      <c r="O27" s="23">
        <v>53</v>
      </c>
      <c r="P27" s="23">
        <v>56</v>
      </c>
      <c r="Q27" s="23">
        <v>67</v>
      </c>
      <c r="R27" s="23">
        <v>136</v>
      </c>
      <c r="S27" s="23">
        <v>55</v>
      </c>
      <c r="T27" s="23">
        <v>84</v>
      </c>
      <c r="U27" s="23">
        <v>7</v>
      </c>
    </row>
    <row r="28" spans="1:21" hidden="1" x14ac:dyDescent="0.15"/>
    <row r="29" spans="1:21" hidden="1" x14ac:dyDescent="0.15"/>
  </sheetData>
  <mergeCells count="7">
    <mergeCell ref="A16:A17"/>
    <mergeCell ref="A4:A5"/>
    <mergeCell ref="A6:A7"/>
    <mergeCell ref="A8:A9"/>
    <mergeCell ref="A10:A11"/>
    <mergeCell ref="A12:A13"/>
    <mergeCell ref="A14:A15"/>
  </mergeCells>
  <phoneticPr fontId="2"/>
  <printOptions horizontalCentered="1"/>
  <pageMargins left="0.70866141732283472" right="0.70866141732283472" top="0.74803149606299213" bottom="0.74803149606299213" header="0.31496062992125984" footer="0.31496062992125984"/>
  <pageSetup paperSize="9" scale="91"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A1:AI83"/>
  <sheetViews>
    <sheetView showGridLines="0" view="pageBreakPreview" zoomScaleNormal="100" zoomScaleSheetLayoutView="100" workbookViewId="0">
      <selection activeCell="M1" sqref="M1:AJ1048576"/>
    </sheetView>
  </sheetViews>
  <sheetFormatPr defaultColWidth="7.125" defaultRowHeight="18.75" x14ac:dyDescent="0.15"/>
  <cols>
    <col min="1" max="1" width="31.75" style="1" customWidth="1"/>
    <col min="2" max="11" width="8.75" style="1" customWidth="1"/>
    <col min="12" max="12" width="7.25" style="1" bestFit="1" customWidth="1"/>
    <col min="13" max="34" width="7.25" style="1" hidden="1" customWidth="1"/>
    <col min="35" max="35" width="7.375" style="1" hidden="1" customWidth="1"/>
    <col min="36" max="36" width="0" style="1" hidden="1" customWidth="1"/>
    <col min="37" max="16384" width="7.125" style="1"/>
  </cols>
  <sheetData>
    <row r="1" spans="1:35" s="3" customFormat="1" ht="19.5" x14ac:dyDescent="0.15">
      <c r="A1" s="2" t="s">
        <v>521</v>
      </c>
    </row>
    <row r="2" spans="1:35" x14ac:dyDescent="0.15">
      <c r="A2" s="4"/>
    </row>
    <row r="3" spans="1:35" ht="37.5" x14ac:dyDescent="0.15">
      <c r="A3" s="508" t="s">
        <v>241</v>
      </c>
      <c r="B3" s="508" t="s">
        <v>382</v>
      </c>
      <c r="C3" s="508" t="s">
        <v>383</v>
      </c>
      <c r="D3" s="508" t="s">
        <v>384</v>
      </c>
      <c r="E3" s="508" t="s">
        <v>385</v>
      </c>
      <c r="F3" s="508" t="s">
        <v>386</v>
      </c>
      <c r="G3" s="508" t="s">
        <v>387</v>
      </c>
      <c r="H3" s="508" t="s">
        <v>388</v>
      </c>
      <c r="I3" s="508" t="s">
        <v>389</v>
      </c>
      <c r="J3" s="540" t="s">
        <v>503</v>
      </c>
      <c r="K3" s="508" t="s">
        <v>62</v>
      </c>
      <c r="N3" s="34" t="s">
        <v>63</v>
      </c>
      <c r="O3" s="543" t="s">
        <v>390</v>
      </c>
      <c r="P3" s="543" t="s">
        <v>391</v>
      </c>
      <c r="Q3" s="543" t="s">
        <v>392</v>
      </c>
      <c r="R3" s="543" t="s">
        <v>393</v>
      </c>
      <c r="S3" s="543" t="s">
        <v>394</v>
      </c>
      <c r="T3" s="543" t="s">
        <v>395</v>
      </c>
      <c r="U3" s="543" t="s">
        <v>396</v>
      </c>
      <c r="V3" s="543" t="s">
        <v>397</v>
      </c>
      <c r="W3" s="543" t="s">
        <v>398</v>
      </c>
      <c r="X3" s="543" t="s">
        <v>399</v>
      </c>
      <c r="Y3" s="543" t="s">
        <v>400</v>
      </c>
      <c r="Z3" s="543" t="s">
        <v>401</v>
      </c>
      <c r="AA3" s="543" t="s">
        <v>402</v>
      </c>
      <c r="AB3" s="543" t="s">
        <v>403</v>
      </c>
      <c r="AC3" s="543" t="s">
        <v>404</v>
      </c>
      <c r="AD3" s="543" t="s">
        <v>405</v>
      </c>
      <c r="AE3" s="543" t="s">
        <v>406</v>
      </c>
      <c r="AF3" s="543" t="s">
        <v>407</v>
      </c>
      <c r="AG3" s="543" t="s">
        <v>504</v>
      </c>
      <c r="AH3" s="55" t="s">
        <v>505</v>
      </c>
    </row>
    <row r="4" spans="1:35" s="22" customFormat="1" x14ac:dyDescent="0.15">
      <c r="A4" s="706" t="s">
        <v>486</v>
      </c>
      <c r="B4" s="510">
        <f>SUM(O4:Q4)</f>
        <v>209</v>
      </c>
      <c r="C4" s="510">
        <f>SUM(R4:S4)</f>
        <v>183</v>
      </c>
      <c r="D4" s="510">
        <f>SUM(T4:W4)</f>
        <v>245</v>
      </c>
      <c r="E4" s="510">
        <f>SUM(X4:Y4)</f>
        <v>404</v>
      </c>
      <c r="F4" s="510">
        <f>SUM(Z4:AA4)</f>
        <v>208</v>
      </c>
      <c r="G4" s="510">
        <f>SUM(AB4:AD4)</f>
        <v>334</v>
      </c>
      <c r="H4" s="510">
        <f>AE4</f>
        <v>496</v>
      </c>
      <c r="I4" s="510">
        <f>AF4</f>
        <v>233</v>
      </c>
      <c r="J4" s="510">
        <f>SUM(AG4:AH4)</f>
        <v>202</v>
      </c>
      <c r="K4" s="510">
        <f>SUM(B4:J4)</f>
        <v>2514</v>
      </c>
      <c r="N4" s="407">
        <v>97</v>
      </c>
      <c r="O4" s="23">
        <v>66</v>
      </c>
      <c r="P4" s="23">
        <v>68</v>
      </c>
      <c r="Q4" s="23">
        <v>75</v>
      </c>
      <c r="R4" s="23">
        <v>81</v>
      </c>
      <c r="S4" s="23">
        <v>102</v>
      </c>
      <c r="T4" s="23">
        <v>119</v>
      </c>
      <c r="U4" s="23">
        <v>37</v>
      </c>
      <c r="V4" s="23">
        <v>55</v>
      </c>
      <c r="W4" s="23">
        <v>34</v>
      </c>
      <c r="X4" s="23">
        <v>196</v>
      </c>
      <c r="Y4" s="23">
        <v>208</v>
      </c>
      <c r="Z4" s="23">
        <v>78</v>
      </c>
      <c r="AA4" s="23">
        <v>130</v>
      </c>
      <c r="AB4" s="23">
        <v>129</v>
      </c>
      <c r="AC4" s="23">
        <v>113</v>
      </c>
      <c r="AD4" s="23">
        <v>92</v>
      </c>
      <c r="AE4" s="23">
        <v>496</v>
      </c>
      <c r="AF4" s="23">
        <v>233</v>
      </c>
      <c r="AG4" s="23">
        <v>187</v>
      </c>
      <c r="AH4" s="23">
        <v>15</v>
      </c>
      <c r="AI4" s="22">
        <v>2958</v>
      </c>
    </row>
    <row r="5" spans="1:35" s="22" customFormat="1" x14ac:dyDescent="0.15">
      <c r="A5" s="707"/>
      <c r="B5" s="538">
        <f t="shared" ref="B5:K5" si="0">B4/B$10</f>
        <v>0.16679968076616122</v>
      </c>
      <c r="C5" s="538">
        <f t="shared" si="0"/>
        <v>0.13728432108027006</v>
      </c>
      <c r="D5" s="538">
        <f t="shared" si="0"/>
        <v>0.18688024408848208</v>
      </c>
      <c r="E5" s="538">
        <f t="shared" si="0"/>
        <v>0.32872253864930839</v>
      </c>
      <c r="F5" s="538">
        <f t="shared" si="0"/>
        <v>0.19421101774042951</v>
      </c>
      <c r="G5" s="538">
        <f t="shared" si="0"/>
        <v>0.10311824637233714</v>
      </c>
      <c r="H5" s="538">
        <f t="shared" si="0"/>
        <v>0.14989422786340284</v>
      </c>
      <c r="I5" s="538">
        <f t="shared" si="0"/>
        <v>0.15218811234487264</v>
      </c>
      <c r="J5" s="538">
        <f t="shared" si="0"/>
        <v>0.14648295866569977</v>
      </c>
      <c r="K5" s="514">
        <f t="shared" si="0"/>
        <v>0.16058767167039284</v>
      </c>
      <c r="N5" s="407">
        <v>98</v>
      </c>
      <c r="O5" s="23">
        <v>254</v>
      </c>
      <c r="P5" s="23">
        <v>341</v>
      </c>
      <c r="Q5" s="23">
        <v>305</v>
      </c>
      <c r="R5" s="23">
        <v>568</v>
      </c>
      <c r="S5" s="23">
        <v>451</v>
      </c>
      <c r="T5" s="23">
        <v>279</v>
      </c>
      <c r="U5" s="23">
        <v>177</v>
      </c>
      <c r="V5" s="23">
        <v>253</v>
      </c>
      <c r="W5" s="23">
        <v>195</v>
      </c>
      <c r="X5" s="23">
        <v>461</v>
      </c>
      <c r="Y5" s="23">
        <v>176</v>
      </c>
      <c r="Z5" s="23">
        <v>334</v>
      </c>
      <c r="AA5" s="23">
        <v>365</v>
      </c>
      <c r="AB5" s="23">
        <v>716</v>
      </c>
      <c r="AC5" s="23">
        <v>1159</v>
      </c>
      <c r="AD5" s="23">
        <v>835</v>
      </c>
      <c r="AE5" s="23">
        <v>2313</v>
      </c>
      <c r="AF5" s="23">
        <v>1069</v>
      </c>
      <c r="AG5" s="23">
        <v>919</v>
      </c>
      <c r="AH5" s="23">
        <v>130</v>
      </c>
      <c r="AI5" s="22">
        <v>11142</v>
      </c>
    </row>
    <row r="6" spans="1:35" s="22" customFormat="1" x14ac:dyDescent="0.15">
      <c r="A6" s="706" t="s">
        <v>340</v>
      </c>
      <c r="B6" s="510">
        <f>SUM(O5:Q5)</f>
        <v>900</v>
      </c>
      <c r="C6" s="510">
        <f>SUM(R5:S5)</f>
        <v>1019</v>
      </c>
      <c r="D6" s="510">
        <f>SUM(T5:W5)</f>
        <v>904</v>
      </c>
      <c r="E6" s="510">
        <f>SUM(X5:Y5)</f>
        <v>637</v>
      </c>
      <c r="F6" s="510">
        <f>SUM(Z5:AA5)</f>
        <v>699</v>
      </c>
      <c r="G6" s="510">
        <f>SUM(AB5:AD5)</f>
        <v>2710</v>
      </c>
      <c r="H6" s="510">
        <f>AE5</f>
        <v>2313</v>
      </c>
      <c r="I6" s="510">
        <f>AF5</f>
        <v>1069</v>
      </c>
      <c r="J6" s="510">
        <f>SUM(AG5:AH5)</f>
        <v>1049</v>
      </c>
      <c r="K6" s="510">
        <f>SUM(B6:J6)</f>
        <v>11300</v>
      </c>
      <c r="N6" s="407">
        <v>99</v>
      </c>
      <c r="O6" s="23">
        <v>28</v>
      </c>
      <c r="P6" s="23">
        <v>64</v>
      </c>
      <c r="Q6" s="23">
        <v>52</v>
      </c>
      <c r="R6" s="23">
        <v>62</v>
      </c>
      <c r="S6" s="23">
        <v>69</v>
      </c>
      <c r="T6" s="23">
        <v>39</v>
      </c>
      <c r="U6" s="23">
        <v>35</v>
      </c>
      <c r="V6" s="23">
        <v>54</v>
      </c>
      <c r="W6" s="23">
        <v>34</v>
      </c>
      <c r="X6" s="23">
        <v>93</v>
      </c>
      <c r="Y6" s="23">
        <v>95</v>
      </c>
      <c r="Z6" s="23">
        <v>80</v>
      </c>
      <c r="AA6" s="23">
        <v>84</v>
      </c>
      <c r="AB6" s="23">
        <v>69</v>
      </c>
      <c r="AC6" s="23">
        <v>75</v>
      </c>
      <c r="AD6" s="23">
        <v>51</v>
      </c>
      <c r="AE6" s="23">
        <v>500</v>
      </c>
      <c r="AF6" s="23">
        <v>229</v>
      </c>
      <c r="AG6" s="23">
        <v>114</v>
      </c>
      <c r="AH6" s="23">
        <v>14</v>
      </c>
      <c r="AI6" s="22">
        <v>1963</v>
      </c>
    </row>
    <row r="7" spans="1:35" s="22" customFormat="1" x14ac:dyDescent="0.15">
      <c r="A7" s="707"/>
      <c r="B7" s="538">
        <f t="shared" ref="B7:K7" si="1">B6/B$10</f>
        <v>0.71827613727055073</v>
      </c>
      <c r="C7" s="538">
        <f t="shared" si="1"/>
        <v>0.76444111027756945</v>
      </c>
      <c r="D7" s="538">
        <f t="shared" si="1"/>
        <v>0.68954996186117468</v>
      </c>
      <c r="E7" s="538">
        <f t="shared" si="1"/>
        <v>0.51830756712774617</v>
      </c>
      <c r="F7" s="538">
        <f t="shared" si="1"/>
        <v>0.65266106442577032</v>
      </c>
      <c r="G7" s="538">
        <f t="shared" si="1"/>
        <v>0.83667798703303486</v>
      </c>
      <c r="H7" s="538">
        <f t="shared" si="1"/>
        <v>0.69900271985494111</v>
      </c>
      <c r="I7" s="538">
        <f t="shared" si="1"/>
        <v>0.69823644676681906</v>
      </c>
      <c r="J7" s="538">
        <f t="shared" si="1"/>
        <v>0.76069615663524293</v>
      </c>
      <c r="K7" s="538">
        <f t="shared" si="1"/>
        <v>0.72181411689556052</v>
      </c>
      <c r="N7" s="407"/>
    </row>
    <row r="8" spans="1:35" s="22" customFormat="1" x14ac:dyDescent="0.15">
      <c r="A8" s="708" t="s">
        <v>36</v>
      </c>
      <c r="B8" s="510">
        <f>SUM(O6:Q6)</f>
        <v>144</v>
      </c>
      <c r="C8" s="510">
        <f>SUM(R6:S6)</f>
        <v>131</v>
      </c>
      <c r="D8" s="510">
        <f>SUM(T6:W6)</f>
        <v>162</v>
      </c>
      <c r="E8" s="510">
        <f>SUM(X6:Y6)</f>
        <v>188</v>
      </c>
      <c r="F8" s="510">
        <f>SUM(Z6:AA6)</f>
        <v>164</v>
      </c>
      <c r="G8" s="510">
        <f>SUM(AB6:AD6)</f>
        <v>195</v>
      </c>
      <c r="H8" s="510">
        <f>AE6</f>
        <v>500</v>
      </c>
      <c r="I8" s="510">
        <f>AF6</f>
        <v>229</v>
      </c>
      <c r="J8" s="510">
        <f>SUM(AG6:AH6)</f>
        <v>128</v>
      </c>
      <c r="K8" s="510">
        <f>SUM(B8:J8)</f>
        <v>1841</v>
      </c>
    </row>
    <row r="9" spans="1:35" s="22" customFormat="1" x14ac:dyDescent="0.15">
      <c r="A9" s="709"/>
      <c r="B9" s="538">
        <f>B8/B$10</f>
        <v>0.1149241819632881</v>
      </c>
      <c r="C9" s="538">
        <f t="shared" ref="C9:J9" si="2">C8/C$10</f>
        <v>9.827456864216054E-2</v>
      </c>
      <c r="D9" s="538">
        <f t="shared" si="2"/>
        <v>0.12356979405034325</v>
      </c>
      <c r="E9" s="538">
        <f t="shared" si="2"/>
        <v>0.15296989422294549</v>
      </c>
      <c r="F9" s="538">
        <f t="shared" si="2"/>
        <v>0.1531279178338002</v>
      </c>
      <c r="G9" s="538">
        <f t="shared" si="2"/>
        <v>6.0203766594627971E-2</v>
      </c>
      <c r="H9" s="538">
        <f t="shared" si="2"/>
        <v>0.1511030522816561</v>
      </c>
      <c r="I9" s="538">
        <f t="shared" si="2"/>
        <v>0.14957544088830829</v>
      </c>
      <c r="J9" s="538">
        <f t="shared" si="2"/>
        <v>9.2820884699057291E-2</v>
      </c>
      <c r="K9" s="538">
        <f>K8/K$10</f>
        <v>0.11759821143404663</v>
      </c>
    </row>
    <row r="10" spans="1:35" s="22" customFormat="1" x14ac:dyDescent="0.15">
      <c r="A10" s="541" t="s">
        <v>11</v>
      </c>
      <c r="B10" s="515">
        <f>SUM(B4,B6,B8)</f>
        <v>1253</v>
      </c>
      <c r="C10" s="515">
        <f t="shared" ref="C10:K11" si="3">SUM(C4,C6,C8)</f>
        <v>1333</v>
      </c>
      <c r="D10" s="515">
        <f t="shared" si="3"/>
        <v>1311</v>
      </c>
      <c r="E10" s="515">
        <f t="shared" si="3"/>
        <v>1229</v>
      </c>
      <c r="F10" s="515">
        <f t="shared" si="3"/>
        <v>1071</v>
      </c>
      <c r="G10" s="515">
        <f t="shared" si="3"/>
        <v>3239</v>
      </c>
      <c r="H10" s="515">
        <f t="shared" si="3"/>
        <v>3309</v>
      </c>
      <c r="I10" s="515">
        <f t="shared" si="3"/>
        <v>1531</v>
      </c>
      <c r="J10" s="515">
        <f t="shared" si="3"/>
        <v>1379</v>
      </c>
      <c r="K10" s="515">
        <f t="shared" si="3"/>
        <v>15655</v>
      </c>
    </row>
    <row r="11" spans="1:35" s="22" customFormat="1" x14ac:dyDescent="0.15">
      <c r="A11" s="542"/>
      <c r="B11" s="517">
        <f>SUM(B5,B7,B9)</f>
        <v>1</v>
      </c>
      <c r="C11" s="517">
        <f t="shared" si="3"/>
        <v>1</v>
      </c>
      <c r="D11" s="517">
        <f t="shared" si="3"/>
        <v>1</v>
      </c>
      <c r="E11" s="517">
        <f t="shared" si="3"/>
        <v>1</v>
      </c>
      <c r="F11" s="517">
        <f t="shared" si="3"/>
        <v>1</v>
      </c>
      <c r="G11" s="517">
        <f t="shared" si="3"/>
        <v>1</v>
      </c>
      <c r="H11" s="517">
        <f t="shared" si="3"/>
        <v>1</v>
      </c>
      <c r="I11" s="517">
        <f t="shared" si="3"/>
        <v>1</v>
      </c>
      <c r="J11" s="517">
        <f t="shared" si="3"/>
        <v>1</v>
      </c>
      <c r="K11" s="517">
        <f t="shared" si="3"/>
        <v>1</v>
      </c>
      <c r="M11" s="553"/>
    </row>
    <row r="12" spans="1:35" x14ac:dyDescent="0.15">
      <c r="A12" s="4"/>
    </row>
    <row r="13" spans="1:35" ht="37.5" x14ac:dyDescent="0.15">
      <c r="A13" s="508" t="s">
        <v>347</v>
      </c>
      <c r="B13" s="508" t="s">
        <v>382</v>
      </c>
      <c r="C13" s="508" t="s">
        <v>383</v>
      </c>
      <c r="D13" s="508" t="s">
        <v>384</v>
      </c>
      <c r="E13" s="508" t="s">
        <v>385</v>
      </c>
      <c r="F13" s="508" t="s">
        <v>386</v>
      </c>
      <c r="G13" s="508" t="s">
        <v>387</v>
      </c>
      <c r="H13" s="508" t="s">
        <v>388</v>
      </c>
      <c r="I13" s="508" t="s">
        <v>389</v>
      </c>
      <c r="J13" s="540" t="s">
        <v>503</v>
      </c>
      <c r="K13" s="508" t="s">
        <v>62</v>
      </c>
      <c r="N13" s="34" t="s">
        <v>63</v>
      </c>
      <c r="O13" s="56" t="s">
        <v>466</v>
      </c>
      <c r="P13" s="56" t="s">
        <v>467</v>
      </c>
      <c r="Q13" s="56" t="s">
        <v>468</v>
      </c>
      <c r="R13" s="56" t="s">
        <v>469</v>
      </c>
      <c r="S13" s="56" t="s">
        <v>470</v>
      </c>
      <c r="T13" s="56" t="s">
        <v>471</v>
      </c>
      <c r="U13" s="56" t="s">
        <v>472</v>
      </c>
      <c r="V13" s="56" t="s">
        <v>473</v>
      </c>
      <c r="W13" s="56" t="s">
        <v>474</v>
      </c>
      <c r="X13" s="56" t="s">
        <v>475</v>
      </c>
      <c r="Y13" s="56" t="s">
        <v>476</v>
      </c>
      <c r="Z13" s="56" t="s">
        <v>477</v>
      </c>
      <c r="AA13" s="56" t="s">
        <v>478</v>
      </c>
      <c r="AB13" s="56" t="s">
        <v>479</v>
      </c>
      <c r="AC13" s="56" t="s">
        <v>480</v>
      </c>
      <c r="AD13" s="56" t="s">
        <v>481</v>
      </c>
      <c r="AE13" s="56" t="s">
        <v>482</v>
      </c>
      <c r="AF13" s="56" t="s">
        <v>483</v>
      </c>
      <c r="AG13" s="543" t="s">
        <v>504</v>
      </c>
      <c r="AH13" s="55" t="s">
        <v>505</v>
      </c>
    </row>
    <row r="14" spans="1:35" s="22" customFormat="1" x14ac:dyDescent="0.15">
      <c r="A14" s="708" t="s">
        <v>34</v>
      </c>
      <c r="B14" s="510">
        <f>SUM(O14:Q14)</f>
        <v>189</v>
      </c>
      <c r="C14" s="510">
        <f>SUM(R14:S14)</f>
        <v>160</v>
      </c>
      <c r="D14" s="510">
        <f>SUM(T14:W14)</f>
        <v>229</v>
      </c>
      <c r="E14" s="510">
        <f>SUM(X14:Y14)</f>
        <v>381</v>
      </c>
      <c r="F14" s="510">
        <f>SUM(Z14:AA14)</f>
        <v>190</v>
      </c>
      <c r="G14" s="510">
        <f>SUM(AB14:AD14)</f>
        <v>317</v>
      </c>
      <c r="H14" s="510">
        <f>AE14</f>
        <v>440</v>
      </c>
      <c r="I14" s="510">
        <f>AF14</f>
        <v>220</v>
      </c>
      <c r="J14" s="510">
        <f>SUM(AG14:AH14)</f>
        <v>192</v>
      </c>
      <c r="K14" s="510">
        <f>SUM(B14:J14)</f>
        <v>2318</v>
      </c>
      <c r="N14" s="407">
        <v>91</v>
      </c>
      <c r="O14" s="23">
        <v>60</v>
      </c>
      <c r="P14" s="23">
        <v>60</v>
      </c>
      <c r="Q14" s="23">
        <v>69</v>
      </c>
      <c r="R14" s="23">
        <v>70</v>
      </c>
      <c r="S14" s="23">
        <v>90</v>
      </c>
      <c r="T14" s="23">
        <v>111</v>
      </c>
      <c r="U14" s="23">
        <v>36</v>
      </c>
      <c r="V14" s="23">
        <v>53</v>
      </c>
      <c r="W14" s="23">
        <v>29</v>
      </c>
      <c r="X14" s="23">
        <v>176</v>
      </c>
      <c r="Y14" s="23">
        <v>205</v>
      </c>
      <c r="Z14" s="23">
        <v>74</v>
      </c>
      <c r="AA14" s="23">
        <v>116</v>
      </c>
      <c r="AB14" s="23">
        <v>127</v>
      </c>
      <c r="AC14" s="23">
        <v>106</v>
      </c>
      <c r="AD14" s="23">
        <v>84</v>
      </c>
      <c r="AE14" s="23">
        <v>440</v>
      </c>
      <c r="AF14" s="23">
        <v>220</v>
      </c>
      <c r="AG14" s="23">
        <v>177</v>
      </c>
      <c r="AH14" s="23">
        <v>15</v>
      </c>
    </row>
    <row r="15" spans="1:35" s="22" customFormat="1" x14ac:dyDescent="0.15">
      <c r="A15" s="709"/>
      <c r="B15" s="538">
        <f>B14/B18</f>
        <v>0.90430622009569372</v>
      </c>
      <c r="C15" s="538">
        <f t="shared" ref="C15:K15" si="4">C14/C18</f>
        <v>0.87431693989071035</v>
      </c>
      <c r="D15" s="538">
        <f t="shared" si="4"/>
        <v>0.9346938775510204</v>
      </c>
      <c r="E15" s="538">
        <f t="shared" si="4"/>
        <v>0.94306930693069302</v>
      </c>
      <c r="F15" s="538">
        <f t="shared" si="4"/>
        <v>0.91346153846153844</v>
      </c>
      <c r="G15" s="538">
        <f t="shared" si="4"/>
        <v>0.94910179640718562</v>
      </c>
      <c r="H15" s="538">
        <f t="shared" si="4"/>
        <v>0.88709677419354838</v>
      </c>
      <c r="I15" s="538">
        <f t="shared" si="4"/>
        <v>0.94420600858369097</v>
      </c>
      <c r="J15" s="538">
        <f t="shared" si="4"/>
        <v>0.95049504950495045</v>
      </c>
      <c r="K15" s="538">
        <f t="shared" si="4"/>
        <v>0.92203659506762137</v>
      </c>
      <c r="N15" s="407">
        <v>90</v>
      </c>
      <c r="O15" s="23">
        <v>6</v>
      </c>
      <c r="P15" s="23">
        <v>8</v>
      </c>
      <c r="Q15" s="23">
        <v>6</v>
      </c>
      <c r="R15" s="23">
        <v>11</v>
      </c>
      <c r="S15" s="23">
        <v>12</v>
      </c>
      <c r="T15" s="23">
        <v>8</v>
      </c>
      <c r="U15" s="23">
        <v>1</v>
      </c>
      <c r="V15" s="23">
        <v>2</v>
      </c>
      <c r="W15" s="23">
        <v>5</v>
      </c>
      <c r="X15" s="23">
        <v>20</v>
      </c>
      <c r="Y15" s="23">
        <v>3</v>
      </c>
      <c r="Z15" s="23">
        <v>4</v>
      </c>
      <c r="AA15" s="23">
        <v>14</v>
      </c>
      <c r="AB15" s="23">
        <v>2</v>
      </c>
      <c r="AC15" s="23">
        <v>7</v>
      </c>
      <c r="AD15" s="23">
        <v>8</v>
      </c>
      <c r="AE15" s="23">
        <v>56</v>
      </c>
      <c r="AF15" s="23">
        <v>13</v>
      </c>
      <c r="AG15" s="23">
        <v>10</v>
      </c>
      <c r="AH15" s="23"/>
    </row>
    <row r="16" spans="1:35" s="22" customFormat="1" x14ac:dyDescent="0.15">
      <c r="A16" s="708" t="s">
        <v>487</v>
      </c>
      <c r="B16" s="510">
        <f>SUM(O15:Q15)</f>
        <v>20</v>
      </c>
      <c r="C16" s="510">
        <f>SUM(R15:S15)</f>
        <v>23</v>
      </c>
      <c r="D16" s="510">
        <f>SUM(T15:W15)</f>
        <v>16</v>
      </c>
      <c r="E16" s="510">
        <f>SUM(X15:Y15)</f>
        <v>23</v>
      </c>
      <c r="F16" s="510">
        <f>SUM(Z15:AA15)</f>
        <v>18</v>
      </c>
      <c r="G16" s="510">
        <f>SUM(AB15:AD15)</f>
        <v>17</v>
      </c>
      <c r="H16" s="510">
        <f>AE15</f>
        <v>56</v>
      </c>
      <c r="I16" s="510">
        <f>AF15</f>
        <v>13</v>
      </c>
      <c r="J16" s="510">
        <f>SUM(AG15:AH15)</f>
        <v>10</v>
      </c>
      <c r="K16" s="510">
        <f>SUM(B16:J16)</f>
        <v>196</v>
      </c>
      <c r="M16" s="407"/>
    </row>
    <row r="17" spans="1:13" s="22" customFormat="1" x14ac:dyDescent="0.15">
      <c r="A17" s="709"/>
      <c r="B17" s="538">
        <f>B16/B18</f>
        <v>9.569377990430622E-2</v>
      </c>
      <c r="C17" s="538">
        <f t="shared" ref="C17:K17" si="5">C16/C18</f>
        <v>0.12568306010928962</v>
      </c>
      <c r="D17" s="538">
        <f t="shared" si="5"/>
        <v>6.5306122448979598E-2</v>
      </c>
      <c r="E17" s="538">
        <f t="shared" si="5"/>
        <v>5.6930693069306933E-2</v>
      </c>
      <c r="F17" s="538">
        <f t="shared" si="5"/>
        <v>8.6538461538461536E-2</v>
      </c>
      <c r="G17" s="538">
        <f t="shared" si="5"/>
        <v>5.089820359281437E-2</v>
      </c>
      <c r="H17" s="538">
        <f t="shared" si="5"/>
        <v>0.11290322580645161</v>
      </c>
      <c r="I17" s="538">
        <f t="shared" si="5"/>
        <v>5.5793991416309016E-2</v>
      </c>
      <c r="J17" s="538">
        <f t="shared" si="5"/>
        <v>4.9504950495049507E-2</v>
      </c>
      <c r="K17" s="538">
        <f t="shared" si="5"/>
        <v>7.7963404932378674E-2</v>
      </c>
      <c r="M17" s="407"/>
    </row>
    <row r="18" spans="1:13" s="22" customFormat="1" x14ac:dyDescent="0.15">
      <c r="A18" s="541" t="s">
        <v>11</v>
      </c>
      <c r="B18" s="515">
        <f>SUM(B14,B16)</f>
        <v>209</v>
      </c>
      <c r="C18" s="515">
        <f t="shared" ref="C18:K19" si="6">SUM(C14,C16)</f>
        <v>183</v>
      </c>
      <c r="D18" s="515">
        <f t="shared" si="6"/>
        <v>245</v>
      </c>
      <c r="E18" s="515">
        <f t="shared" si="6"/>
        <v>404</v>
      </c>
      <c r="F18" s="515">
        <f t="shared" si="6"/>
        <v>208</v>
      </c>
      <c r="G18" s="515">
        <f t="shared" si="6"/>
        <v>334</v>
      </c>
      <c r="H18" s="515">
        <f t="shared" si="6"/>
        <v>496</v>
      </c>
      <c r="I18" s="515">
        <f t="shared" si="6"/>
        <v>233</v>
      </c>
      <c r="J18" s="515">
        <f t="shared" si="6"/>
        <v>202</v>
      </c>
      <c r="K18" s="515">
        <f t="shared" si="6"/>
        <v>2514</v>
      </c>
    </row>
    <row r="19" spans="1:13" s="22" customFormat="1" x14ac:dyDescent="0.15">
      <c r="A19" s="542"/>
      <c r="B19" s="517">
        <f>SUM(B15,B17)</f>
        <v>1</v>
      </c>
      <c r="C19" s="517">
        <f t="shared" si="6"/>
        <v>1</v>
      </c>
      <c r="D19" s="517">
        <f t="shared" si="6"/>
        <v>1</v>
      </c>
      <c r="E19" s="517">
        <f t="shared" si="6"/>
        <v>1</v>
      </c>
      <c r="F19" s="517">
        <f t="shared" si="6"/>
        <v>1</v>
      </c>
      <c r="G19" s="517">
        <f t="shared" si="6"/>
        <v>1</v>
      </c>
      <c r="H19" s="517">
        <f t="shared" si="6"/>
        <v>1</v>
      </c>
      <c r="I19" s="517">
        <f t="shared" si="6"/>
        <v>1</v>
      </c>
      <c r="J19" s="517">
        <f t="shared" si="6"/>
        <v>1</v>
      </c>
      <c r="K19" s="517">
        <f>SUM(K15,K17)</f>
        <v>1</v>
      </c>
    </row>
    <row r="20" spans="1:13" x14ac:dyDescent="0.15">
      <c r="A20" s="4"/>
    </row>
    <row r="21" spans="1:13" s="3" customFormat="1" ht="19.5" x14ac:dyDescent="0.15">
      <c r="A21" s="2" t="s">
        <v>522</v>
      </c>
    </row>
    <row r="22" spans="1:13" x14ac:dyDescent="0.15">
      <c r="A22" s="4"/>
    </row>
    <row r="23" spans="1:13" ht="37.5" x14ac:dyDescent="0.15">
      <c r="A23" s="508"/>
      <c r="B23" s="508" t="s">
        <v>382</v>
      </c>
      <c r="C23" s="508" t="s">
        <v>383</v>
      </c>
      <c r="D23" s="508" t="s">
        <v>384</v>
      </c>
      <c r="E23" s="508" t="s">
        <v>385</v>
      </c>
      <c r="F23" s="508" t="s">
        <v>386</v>
      </c>
      <c r="G23" s="508" t="s">
        <v>387</v>
      </c>
      <c r="H23" s="508" t="s">
        <v>388</v>
      </c>
      <c r="I23" s="508" t="s">
        <v>389</v>
      </c>
      <c r="J23" s="540" t="s">
        <v>503</v>
      </c>
      <c r="K23" s="508" t="s">
        <v>62</v>
      </c>
    </row>
    <row r="24" spans="1:13" ht="18.75" customHeight="1" x14ac:dyDescent="0.15">
      <c r="A24" s="722" t="s">
        <v>356</v>
      </c>
      <c r="B24" s="509">
        <f>SUM(B64:D64)</f>
        <v>73</v>
      </c>
      <c r="C24" s="509">
        <f>SUM(E64:F64)</f>
        <v>51</v>
      </c>
      <c r="D24" s="509">
        <f>SUM(G64:J64)</f>
        <v>91</v>
      </c>
      <c r="E24" s="509">
        <f>SUM(K64:L64)</f>
        <v>163</v>
      </c>
      <c r="F24" s="509">
        <f>SUM(M64:N64)</f>
        <v>77</v>
      </c>
      <c r="G24" s="509">
        <f>SUM(O64:Q64)</f>
        <v>121</v>
      </c>
      <c r="H24" s="509">
        <f>R64</f>
        <v>162</v>
      </c>
      <c r="I24" s="509">
        <f>S64</f>
        <v>84</v>
      </c>
      <c r="J24" s="509">
        <f>SUM(T64:U64)</f>
        <v>68</v>
      </c>
      <c r="K24" s="510">
        <f>SUM(B24:J24)</f>
        <v>890</v>
      </c>
    </row>
    <row r="25" spans="1:13" ht="22.5" customHeight="1" x14ac:dyDescent="0.15">
      <c r="A25" s="723"/>
      <c r="B25" s="538">
        <f>B24/B$14</f>
        <v>0.38624338624338622</v>
      </c>
      <c r="C25" s="538">
        <f t="shared" ref="C25:K25" si="7">C24/C$14</f>
        <v>0.31874999999999998</v>
      </c>
      <c r="D25" s="538">
        <f t="shared" si="7"/>
        <v>0.39737991266375544</v>
      </c>
      <c r="E25" s="538">
        <f t="shared" si="7"/>
        <v>0.42782152230971127</v>
      </c>
      <c r="F25" s="538">
        <f t="shared" si="7"/>
        <v>0.40526315789473683</v>
      </c>
      <c r="G25" s="538">
        <f t="shared" si="7"/>
        <v>0.38170347003154576</v>
      </c>
      <c r="H25" s="538">
        <f t="shared" si="7"/>
        <v>0.36818181818181817</v>
      </c>
      <c r="I25" s="538">
        <f t="shared" si="7"/>
        <v>0.38181818181818183</v>
      </c>
      <c r="J25" s="538">
        <f t="shared" si="7"/>
        <v>0.35416666666666669</v>
      </c>
      <c r="K25" s="538">
        <f t="shared" si="7"/>
        <v>0.3839516824849008</v>
      </c>
    </row>
    <row r="26" spans="1:13" ht="18.75" customHeight="1" x14ac:dyDescent="0.15">
      <c r="A26" s="710" t="s">
        <v>225</v>
      </c>
      <c r="B26" s="509">
        <f>SUM(B65:D65)</f>
        <v>51</v>
      </c>
      <c r="C26" s="509">
        <f>SUM(E65:F65)</f>
        <v>64</v>
      </c>
      <c r="D26" s="509">
        <f>SUM(G65:J65)</f>
        <v>73</v>
      </c>
      <c r="E26" s="509">
        <f>SUM(K65:L65)</f>
        <v>160</v>
      </c>
      <c r="F26" s="509">
        <f>SUM(M65:N65)</f>
        <v>62</v>
      </c>
      <c r="G26" s="509">
        <f>SUM(O65:Q65)</f>
        <v>77</v>
      </c>
      <c r="H26" s="509">
        <f>R65</f>
        <v>118</v>
      </c>
      <c r="I26" s="509">
        <f>S65</f>
        <v>71</v>
      </c>
      <c r="J26" s="509">
        <f>SUM(T65:U65)</f>
        <v>57</v>
      </c>
      <c r="K26" s="510">
        <f>SUM(B26:J26)</f>
        <v>733</v>
      </c>
    </row>
    <row r="27" spans="1:13" ht="18.75" customHeight="1" x14ac:dyDescent="0.15">
      <c r="A27" s="711"/>
      <c r="B27" s="538">
        <f>B26/B$14</f>
        <v>0.26984126984126983</v>
      </c>
      <c r="C27" s="538">
        <f t="shared" ref="C27:K27" si="8">C26/C$14</f>
        <v>0.4</v>
      </c>
      <c r="D27" s="538">
        <f t="shared" si="8"/>
        <v>0.31877729257641924</v>
      </c>
      <c r="E27" s="538">
        <f t="shared" si="8"/>
        <v>0.41994750656167978</v>
      </c>
      <c r="F27" s="538">
        <f t="shared" si="8"/>
        <v>0.32631578947368423</v>
      </c>
      <c r="G27" s="538">
        <f t="shared" si="8"/>
        <v>0.24290220820189273</v>
      </c>
      <c r="H27" s="538">
        <f t="shared" si="8"/>
        <v>0.26818181818181819</v>
      </c>
      <c r="I27" s="538">
        <f t="shared" si="8"/>
        <v>0.32272727272727275</v>
      </c>
      <c r="J27" s="538">
        <f t="shared" si="8"/>
        <v>0.296875</v>
      </c>
      <c r="K27" s="538">
        <f t="shared" si="8"/>
        <v>0.31622088006902505</v>
      </c>
    </row>
    <row r="28" spans="1:13" ht="18.75" customHeight="1" x14ac:dyDescent="0.15">
      <c r="A28" s="710" t="s">
        <v>38</v>
      </c>
      <c r="B28" s="509">
        <f>SUM(B66:D66)</f>
        <v>10</v>
      </c>
      <c r="C28" s="509">
        <f>SUM(E66:F66)</f>
        <v>7</v>
      </c>
      <c r="D28" s="509">
        <f>SUM(G66:J66)</f>
        <v>11</v>
      </c>
      <c r="E28" s="509">
        <f>SUM(K66:L66)</f>
        <v>47</v>
      </c>
      <c r="F28" s="509">
        <f>SUM(M66:N66)</f>
        <v>17</v>
      </c>
      <c r="G28" s="509">
        <f>SUM(O66:Q66)</f>
        <v>18</v>
      </c>
      <c r="H28" s="509">
        <f>R66</f>
        <v>30</v>
      </c>
      <c r="I28" s="509">
        <f>S66</f>
        <v>11</v>
      </c>
      <c r="J28" s="509">
        <f>SUM(T66:U66)</f>
        <v>15</v>
      </c>
      <c r="K28" s="510">
        <f>SUM(B28:J28)</f>
        <v>166</v>
      </c>
    </row>
    <row r="29" spans="1:13" ht="18.75" customHeight="1" x14ac:dyDescent="0.15">
      <c r="A29" s="711"/>
      <c r="B29" s="538">
        <f>B28/B$14</f>
        <v>5.2910052910052907E-2</v>
      </c>
      <c r="C29" s="538">
        <f t="shared" ref="C29:K29" si="9">C28/C$14</f>
        <v>4.3749999999999997E-2</v>
      </c>
      <c r="D29" s="538">
        <f t="shared" si="9"/>
        <v>4.8034934497816595E-2</v>
      </c>
      <c r="E29" s="538">
        <f t="shared" si="9"/>
        <v>0.12335958005249344</v>
      </c>
      <c r="F29" s="538">
        <f t="shared" si="9"/>
        <v>8.9473684210526316E-2</v>
      </c>
      <c r="G29" s="538">
        <f t="shared" si="9"/>
        <v>5.6782334384858045E-2</v>
      </c>
      <c r="H29" s="538">
        <f t="shared" si="9"/>
        <v>6.8181818181818177E-2</v>
      </c>
      <c r="I29" s="538">
        <f t="shared" si="9"/>
        <v>0.05</v>
      </c>
      <c r="J29" s="538">
        <f t="shared" si="9"/>
        <v>7.8125E-2</v>
      </c>
      <c r="K29" s="538">
        <f t="shared" si="9"/>
        <v>7.1613459879206212E-2</v>
      </c>
    </row>
    <row r="30" spans="1:13" ht="18.75" customHeight="1" x14ac:dyDescent="0.15">
      <c r="A30" s="710" t="s">
        <v>39</v>
      </c>
      <c r="B30" s="509">
        <f>SUM(B67:D67)</f>
        <v>51</v>
      </c>
      <c r="C30" s="509">
        <f>SUM(E67:F67)</f>
        <v>78</v>
      </c>
      <c r="D30" s="509">
        <f>SUM(G67:J67)</f>
        <v>80</v>
      </c>
      <c r="E30" s="509">
        <f>SUM(K67:L67)</f>
        <v>115</v>
      </c>
      <c r="F30" s="509">
        <f>SUM(M67:N67)</f>
        <v>84</v>
      </c>
      <c r="G30" s="509">
        <f>SUM(O67:Q67)</f>
        <v>118</v>
      </c>
      <c r="H30" s="509">
        <f>R67</f>
        <v>153</v>
      </c>
      <c r="I30" s="509">
        <f>S67</f>
        <v>89</v>
      </c>
      <c r="J30" s="509">
        <f>SUM(T67:U67)</f>
        <v>87</v>
      </c>
      <c r="K30" s="510">
        <f>SUM(B30:J30)</f>
        <v>855</v>
      </c>
    </row>
    <row r="31" spans="1:13" ht="18.75" customHeight="1" x14ac:dyDescent="0.15">
      <c r="A31" s="711"/>
      <c r="B31" s="538">
        <f>B30/B$14</f>
        <v>0.26984126984126983</v>
      </c>
      <c r="C31" s="538">
        <f t="shared" ref="C31:K31" si="10">C30/C$14</f>
        <v>0.48749999999999999</v>
      </c>
      <c r="D31" s="538">
        <f t="shared" si="10"/>
        <v>0.34934497816593885</v>
      </c>
      <c r="E31" s="538">
        <f t="shared" si="10"/>
        <v>0.30183727034120733</v>
      </c>
      <c r="F31" s="538">
        <f t="shared" si="10"/>
        <v>0.44210526315789472</v>
      </c>
      <c r="G31" s="538">
        <f t="shared" si="10"/>
        <v>0.37223974763406942</v>
      </c>
      <c r="H31" s="538">
        <f t="shared" si="10"/>
        <v>0.34772727272727272</v>
      </c>
      <c r="I31" s="538">
        <f t="shared" si="10"/>
        <v>0.40454545454545454</v>
      </c>
      <c r="J31" s="538">
        <f t="shared" si="10"/>
        <v>0.453125</v>
      </c>
      <c r="K31" s="538">
        <f t="shared" si="10"/>
        <v>0.36885245901639346</v>
      </c>
    </row>
    <row r="32" spans="1:13" ht="18.75" customHeight="1" x14ac:dyDescent="0.15">
      <c r="A32" s="710" t="s">
        <v>40</v>
      </c>
      <c r="B32" s="509">
        <f>SUM(B68:D68)</f>
        <v>77</v>
      </c>
      <c r="C32" s="509">
        <f>SUM(E68:F68)</f>
        <v>78</v>
      </c>
      <c r="D32" s="509">
        <f>SUM(G68:J68)</f>
        <v>115</v>
      </c>
      <c r="E32" s="509">
        <f>SUM(K68:L68)</f>
        <v>200</v>
      </c>
      <c r="F32" s="509">
        <f>SUM(M68:N68)</f>
        <v>85</v>
      </c>
      <c r="G32" s="509">
        <f>SUM(O68:Q68)</f>
        <v>135</v>
      </c>
      <c r="H32" s="509">
        <f>R68</f>
        <v>168</v>
      </c>
      <c r="I32" s="509">
        <f>S68</f>
        <v>84</v>
      </c>
      <c r="J32" s="509">
        <f>SUM(T68:U68)</f>
        <v>91</v>
      </c>
      <c r="K32" s="510">
        <f>SUM(B32:J32)</f>
        <v>1033</v>
      </c>
    </row>
    <row r="33" spans="1:11" ht="18.75" customHeight="1" x14ac:dyDescent="0.15">
      <c r="A33" s="711"/>
      <c r="B33" s="538">
        <f>B32/B$14</f>
        <v>0.40740740740740738</v>
      </c>
      <c r="C33" s="538">
        <f t="shared" ref="C33:K33" si="11">C32/C$14</f>
        <v>0.48749999999999999</v>
      </c>
      <c r="D33" s="538">
        <f t="shared" si="11"/>
        <v>0.50218340611353707</v>
      </c>
      <c r="E33" s="538">
        <f t="shared" si="11"/>
        <v>0.52493438320209973</v>
      </c>
      <c r="F33" s="538">
        <f t="shared" si="11"/>
        <v>0.44736842105263158</v>
      </c>
      <c r="G33" s="538">
        <f t="shared" si="11"/>
        <v>0.42586750788643535</v>
      </c>
      <c r="H33" s="538">
        <f t="shared" si="11"/>
        <v>0.38181818181818183</v>
      </c>
      <c r="I33" s="538">
        <f t="shared" si="11"/>
        <v>0.38181818181818183</v>
      </c>
      <c r="J33" s="538">
        <f t="shared" si="11"/>
        <v>0.47395833333333331</v>
      </c>
      <c r="K33" s="538">
        <f t="shared" si="11"/>
        <v>0.4456427955133736</v>
      </c>
    </row>
    <row r="34" spans="1:11" ht="18.75" customHeight="1" x14ac:dyDescent="0.15">
      <c r="A34" s="710" t="s">
        <v>41</v>
      </c>
      <c r="B34" s="509">
        <f>SUM(B69:D69)</f>
        <v>58</v>
      </c>
      <c r="C34" s="509">
        <f>SUM(E69:F69)</f>
        <v>61</v>
      </c>
      <c r="D34" s="509">
        <f>SUM(G69:J69)</f>
        <v>75</v>
      </c>
      <c r="E34" s="509">
        <f>SUM(K69:L69)</f>
        <v>105</v>
      </c>
      <c r="F34" s="509">
        <f>SUM(M69:N69)</f>
        <v>73</v>
      </c>
      <c r="G34" s="509">
        <f>SUM(O69:Q69)</f>
        <v>94</v>
      </c>
      <c r="H34" s="509">
        <f>R69</f>
        <v>145</v>
      </c>
      <c r="I34" s="509">
        <f>S69</f>
        <v>80</v>
      </c>
      <c r="J34" s="509">
        <f>SUM(T69:U69)</f>
        <v>54</v>
      </c>
      <c r="K34" s="510">
        <f>SUM(B34:J34)</f>
        <v>745</v>
      </c>
    </row>
    <row r="35" spans="1:11" ht="18.75" customHeight="1" x14ac:dyDescent="0.15">
      <c r="A35" s="711"/>
      <c r="B35" s="538">
        <f>B34/B$14</f>
        <v>0.30687830687830686</v>
      </c>
      <c r="C35" s="538">
        <f t="shared" ref="C35:K35" si="12">C34/C$14</f>
        <v>0.38124999999999998</v>
      </c>
      <c r="D35" s="538">
        <f t="shared" si="12"/>
        <v>0.32751091703056767</v>
      </c>
      <c r="E35" s="538">
        <f t="shared" si="12"/>
        <v>0.27559055118110237</v>
      </c>
      <c r="F35" s="538">
        <f t="shared" si="12"/>
        <v>0.38421052631578945</v>
      </c>
      <c r="G35" s="538">
        <f t="shared" si="12"/>
        <v>0.29652996845425866</v>
      </c>
      <c r="H35" s="538">
        <f t="shared" si="12"/>
        <v>0.32954545454545453</v>
      </c>
      <c r="I35" s="538">
        <f t="shared" si="12"/>
        <v>0.36363636363636365</v>
      </c>
      <c r="J35" s="538">
        <f t="shared" si="12"/>
        <v>0.28125</v>
      </c>
      <c r="K35" s="538">
        <f t="shared" si="12"/>
        <v>0.32139775668679899</v>
      </c>
    </row>
    <row r="36" spans="1:11" ht="18.75" customHeight="1" x14ac:dyDescent="0.15">
      <c r="A36" s="710" t="s">
        <v>42</v>
      </c>
      <c r="B36" s="509">
        <f>SUM(B70:D70)</f>
        <v>20</v>
      </c>
      <c r="C36" s="509">
        <f>SUM(E70:F70)</f>
        <v>12</v>
      </c>
      <c r="D36" s="509">
        <f>SUM(G70:J70)</f>
        <v>42</v>
      </c>
      <c r="E36" s="509">
        <f>SUM(K70:L70)</f>
        <v>55</v>
      </c>
      <c r="F36" s="509">
        <f>SUM(M70:N70)</f>
        <v>18</v>
      </c>
      <c r="G36" s="509">
        <f>SUM(O70:Q70)</f>
        <v>27</v>
      </c>
      <c r="H36" s="509">
        <f>R70</f>
        <v>39</v>
      </c>
      <c r="I36" s="509">
        <f>S70</f>
        <v>20</v>
      </c>
      <c r="J36" s="509">
        <f>SUM(T70:U70)</f>
        <v>16</v>
      </c>
      <c r="K36" s="510">
        <f>SUM(B36:J36)</f>
        <v>249</v>
      </c>
    </row>
    <row r="37" spans="1:11" ht="18.75" customHeight="1" x14ac:dyDescent="0.15">
      <c r="A37" s="711"/>
      <c r="B37" s="538">
        <f>B36/B$14</f>
        <v>0.10582010582010581</v>
      </c>
      <c r="C37" s="538">
        <f t="shared" ref="C37:K37" si="13">C36/C$14</f>
        <v>7.4999999999999997E-2</v>
      </c>
      <c r="D37" s="538">
        <f t="shared" si="13"/>
        <v>0.18340611353711792</v>
      </c>
      <c r="E37" s="538">
        <f t="shared" si="13"/>
        <v>0.14435695538057744</v>
      </c>
      <c r="F37" s="538">
        <f t="shared" si="13"/>
        <v>9.4736842105263161E-2</v>
      </c>
      <c r="G37" s="538">
        <f t="shared" si="13"/>
        <v>8.5173501577287064E-2</v>
      </c>
      <c r="H37" s="538">
        <f t="shared" si="13"/>
        <v>8.8636363636363638E-2</v>
      </c>
      <c r="I37" s="538">
        <f t="shared" si="13"/>
        <v>9.0909090909090912E-2</v>
      </c>
      <c r="J37" s="538">
        <f t="shared" si="13"/>
        <v>8.3333333333333329E-2</v>
      </c>
      <c r="K37" s="538">
        <f t="shared" si="13"/>
        <v>0.10742018981880933</v>
      </c>
    </row>
    <row r="38" spans="1:11" ht="18.75" customHeight="1" x14ac:dyDescent="0.15">
      <c r="A38" s="724" t="s">
        <v>43</v>
      </c>
      <c r="B38" s="509">
        <f>SUM(B71:D71)</f>
        <v>45</v>
      </c>
      <c r="C38" s="509">
        <f>SUM(E71:F71)</f>
        <v>78</v>
      </c>
      <c r="D38" s="509">
        <f>SUM(G71:J71)</f>
        <v>92</v>
      </c>
      <c r="E38" s="509">
        <f>SUM(K71:L71)</f>
        <v>161</v>
      </c>
      <c r="F38" s="509">
        <f>SUM(M71:N71)</f>
        <v>82</v>
      </c>
      <c r="G38" s="509">
        <f>SUM(O71:Q71)</f>
        <v>111</v>
      </c>
      <c r="H38" s="509">
        <f>R71</f>
        <v>141</v>
      </c>
      <c r="I38" s="509">
        <f>S71</f>
        <v>70</v>
      </c>
      <c r="J38" s="509">
        <f>SUM(T71:U71)</f>
        <v>67</v>
      </c>
      <c r="K38" s="510">
        <f>SUM(B38:J38)</f>
        <v>847</v>
      </c>
    </row>
    <row r="39" spans="1:11" ht="18.75" customHeight="1" x14ac:dyDescent="0.15">
      <c r="A39" s="725"/>
      <c r="B39" s="538">
        <f>B38/B$14</f>
        <v>0.23809523809523808</v>
      </c>
      <c r="C39" s="538">
        <f t="shared" ref="C39:K39" si="14">C38/C$14</f>
        <v>0.48749999999999999</v>
      </c>
      <c r="D39" s="538">
        <f t="shared" si="14"/>
        <v>0.40174672489082969</v>
      </c>
      <c r="E39" s="538">
        <f t="shared" si="14"/>
        <v>0.4225721784776903</v>
      </c>
      <c r="F39" s="538">
        <f t="shared" si="14"/>
        <v>0.43157894736842106</v>
      </c>
      <c r="G39" s="538">
        <f t="shared" si="14"/>
        <v>0.35015772870662459</v>
      </c>
      <c r="H39" s="538">
        <f t="shared" si="14"/>
        <v>0.32045454545454544</v>
      </c>
      <c r="I39" s="538">
        <f t="shared" si="14"/>
        <v>0.31818181818181818</v>
      </c>
      <c r="J39" s="538">
        <f t="shared" si="14"/>
        <v>0.34895833333333331</v>
      </c>
      <c r="K39" s="538">
        <f t="shared" si="14"/>
        <v>0.3654012079378775</v>
      </c>
    </row>
    <row r="40" spans="1:11" ht="18.75" customHeight="1" x14ac:dyDescent="0.15">
      <c r="A40" s="724" t="s">
        <v>44</v>
      </c>
      <c r="B40" s="509">
        <f>SUM(B72:D72)</f>
        <v>40</v>
      </c>
      <c r="C40" s="509">
        <f>SUM(E72:F72)</f>
        <v>39</v>
      </c>
      <c r="D40" s="509">
        <f>SUM(G72:J72)</f>
        <v>43</v>
      </c>
      <c r="E40" s="509">
        <f>SUM(K72:L72)</f>
        <v>38</v>
      </c>
      <c r="F40" s="509">
        <f>SUM(M72:N72)</f>
        <v>18</v>
      </c>
      <c r="G40" s="509">
        <f>SUM(O72:Q72)</f>
        <v>91</v>
      </c>
      <c r="H40" s="509">
        <f>R72</f>
        <v>83</v>
      </c>
      <c r="I40" s="509">
        <f>S72</f>
        <v>33</v>
      </c>
      <c r="J40" s="509">
        <f>SUM(T72:U72)</f>
        <v>40</v>
      </c>
      <c r="K40" s="510">
        <f>SUM(B40:J40)</f>
        <v>425</v>
      </c>
    </row>
    <row r="41" spans="1:11" ht="18.75" customHeight="1" x14ac:dyDescent="0.15">
      <c r="A41" s="725"/>
      <c r="B41" s="538">
        <f>B40/B$14</f>
        <v>0.21164021164021163</v>
      </c>
      <c r="C41" s="538">
        <f t="shared" ref="C41:K41" si="15">C40/C$14</f>
        <v>0.24374999999999999</v>
      </c>
      <c r="D41" s="538">
        <f t="shared" si="15"/>
        <v>0.18777292576419213</v>
      </c>
      <c r="E41" s="538">
        <f t="shared" si="15"/>
        <v>9.9737532808398949E-2</v>
      </c>
      <c r="F41" s="538">
        <f t="shared" si="15"/>
        <v>9.4736842105263161E-2</v>
      </c>
      <c r="G41" s="538">
        <f t="shared" si="15"/>
        <v>0.28706624605678233</v>
      </c>
      <c r="H41" s="538">
        <f t="shared" si="15"/>
        <v>0.18863636363636363</v>
      </c>
      <c r="I41" s="538">
        <f t="shared" si="15"/>
        <v>0.15</v>
      </c>
      <c r="J41" s="538">
        <f t="shared" si="15"/>
        <v>0.20833333333333334</v>
      </c>
      <c r="K41" s="538">
        <f t="shared" si="15"/>
        <v>0.18334771354616047</v>
      </c>
    </row>
    <row r="42" spans="1:11" ht="18.75" customHeight="1" x14ac:dyDescent="0.15">
      <c r="A42" s="710" t="s">
        <v>357</v>
      </c>
      <c r="B42" s="509">
        <f>SUM(B73:D73)</f>
        <v>32</v>
      </c>
      <c r="C42" s="509">
        <f>SUM(E73:F73)</f>
        <v>30</v>
      </c>
      <c r="D42" s="509">
        <f>SUM(G73:J73)</f>
        <v>60</v>
      </c>
      <c r="E42" s="509">
        <f>SUM(K73:L73)</f>
        <v>78</v>
      </c>
      <c r="F42" s="509">
        <f>SUM(M73:N73)</f>
        <v>52</v>
      </c>
      <c r="G42" s="509">
        <f>SUM(O73:Q73)</f>
        <v>60</v>
      </c>
      <c r="H42" s="509">
        <f>R73</f>
        <v>104</v>
      </c>
      <c r="I42" s="509">
        <f>S73</f>
        <v>50</v>
      </c>
      <c r="J42" s="509">
        <f>SUM(T73:U73)</f>
        <v>51</v>
      </c>
      <c r="K42" s="510">
        <f>SUM(B42:J42)</f>
        <v>517</v>
      </c>
    </row>
    <row r="43" spans="1:11" ht="18.75" customHeight="1" x14ac:dyDescent="0.15">
      <c r="A43" s="711"/>
      <c r="B43" s="538">
        <f>B42/B$14</f>
        <v>0.1693121693121693</v>
      </c>
      <c r="C43" s="538">
        <f t="shared" ref="C43:K43" si="16">C42/C$14</f>
        <v>0.1875</v>
      </c>
      <c r="D43" s="538">
        <f t="shared" si="16"/>
        <v>0.26200873362445415</v>
      </c>
      <c r="E43" s="538">
        <f t="shared" si="16"/>
        <v>0.20472440944881889</v>
      </c>
      <c r="F43" s="538">
        <f t="shared" si="16"/>
        <v>0.27368421052631581</v>
      </c>
      <c r="G43" s="538">
        <f t="shared" si="16"/>
        <v>0.1892744479495268</v>
      </c>
      <c r="H43" s="538">
        <f t="shared" si="16"/>
        <v>0.23636363636363636</v>
      </c>
      <c r="I43" s="538">
        <f t="shared" si="16"/>
        <v>0.22727272727272727</v>
      </c>
      <c r="J43" s="538">
        <f t="shared" si="16"/>
        <v>0.265625</v>
      </c>
      <c r="K43" s="538">
        <f t="shared" si="16"/>
        <v>0.22303710094909404</v>
      </c>
    </row>
    <row r="44" spans="1:11" ht="18.75" customHeight="1" x14ac:dyDescent="0.15">
      <c r="A44" s="710" t="s">
        <v>46</v>
      </c>
      <c r="B44" s="509">
        <f>SUM(B74:D74)</f>
        <v>68</v>
      </c>
      <c r="C44" s="509">
        <f>SUM(E74:F74)</f>
        <v>78</v>
      </c>
      <c r="D44" s="509">
        <f>SUM(G74:J74)</f>
        <v>116</v>
      </c>
      <c r="E44" s="509">
        <f>SUM(K74:L74)</f>
        <v>145</v>
      </c>
      <c r="F44" s="509">
        <f>SUM(M74:N74)</f>
        <v>67</v>
      </c>
      <c r="G44" s="509">
        <f>SUM(O74:Q74)</f>
        <v>103</v>
      </c>
      <c r="H44" s="509">
        <f>R74</f>
        <v>151</v>
      </c>
      <c r="I44" s="509">
        <f>S74</f>
        <v>53</v>
      </c>
      <c r="J44" s="509">
        <f>SUM(T74:U74)</f>
        <v>75</v>
      </c>
      <c r="K44" s="510">
        <f>SUM(B44:J44)</f>
        <v>856</v>
      </c>
    </row>
    <row r="45" spans="1:11" ht="18.75" customHeight="1" x14ac:dyDescent="0.15">
      <c r="A45" s="711"/>
      <c r="B45" s="538">
        <f>B44/B$14</f>
        <v>0.35978835978835977</v>
      </c>
      <c r="C45" s="538">
        <f t="shared" ref="C45:K45" si="17">C44/C$14</f>
        <v>0.48749999999999999</v>
      </c>
      <c r="D45" s="538">
        <f t="shared" si="17"/>
        <v>0.50655021834061131</v>
      </c>
      <c r="E45" s="538">
        <f t="shared" si="17"/>
        <v>0.38057742782152232</v>
      </c>
      <c r="F45" s="538">
        <f t="shared" si="17"/>
        <v>0.35263157894736841</v>
      </c>
      <c r="G45" s="538">
        <f t="shared" si="17"/>
        <v>0.32492113564668768</v>
      </c>
      <c r="H45" s="538">
        <f t="shared" si="17"/>
        <v>0.3431818181818182</v>
      </c>
      <c r="I45" s="538">
        <f t="shared" si="17"/>
        <v>0.24090909090909091</v>
      </c>
      <c r="J45" s="538">
        <f t="shared" si="17"/>
        <v>0.390625</v>
      </c>
      <c r="K45" s="538">
        <f t="shared" si="17"/>
        <v>0.36928386540120794</v>
      </c>
    </row>
    <row r="46" spans="1:11" ht="18.75" customHeight="1" x14ac:dyDescent="0.15">
      <c r="A46" s="710" t="s">
        <v>47</v>
      </c>
      <c r="B46" s="509">
        <f>SUM(B75:D75)</f>
        <v>3</v>
      </c>
      <c r="C46" s="509">
        <f>SUM(E75:F75)</f>
        <v>10</v>
      </c>
      <c r="D46" s="509">
        <f>SUM(G75:J75)</f>
        <v>13</v>
      </c>
      <c r="E46" s="509">
        <f>SUM(K75:L75)</f>
        <v>8</v>
      </c>
      <c r="F46" s="509">
        <f>SUM(M75:N75)</f>
        <v>3</v>
      </c>
      <c r="G46" s="509">
        <f>SUM(O75:Q75)</f>
        <v>24</v>
      </c>
      <c r="H46" s="509">
        <f>R75</f>
        <v>20</v>
      </c>
      <c r="I46" s="509">
        <f>S75</f>
        <v>9</v>
      </c>
      <c r="J46" s="509">
        <f>SUM(T75:U75)</f>
        <v>11</v>
      </c>
      <c r="K46" s="510">
        <f>SUM(B46:J46)</f>
        <v>101</v>
      </c>
    </row>
    <row r="47" spans="1:11" ht="18.75" customHeight="1" x14ac:dyDescent="0.15">
      <c r="A47" s="711"/>
      <c r="B47" s="538">
        <f>B46/B$14</f>
        <v>1.5873015873015872E-2</v>
      </c>
      <c r="C47" s="538">
        <f t="shared" ref="C47:K47" si="18">C46/C$14</f>
        <v>6.25E-2</v>
      </c>
      <c r="D47" s="538">
        <f t="shared" si="18"/>
        <v>5.6768558951965066E-2</v>
      </c>
      <c r="E47" s="538">
        <f t="shared" si="18"/>
        <v>2.0997375328083989E-2</v>
      </c>
      <c r="F47" s="538">
        <f t="shared" si="18"/>
        <v>1.5789473684210527E-2</v>
      </c>
      <c r="G47" s="538">
        <f t="shared" si="18"/>
        <v>7.5709779179810727E-2</v>
      </c>
      <c r="H47" s="538">
        <f t="shared" si="18"/>
        <v>4.5454545454545456E-2</v>
      </c>
      <c r="I47" s="538">
        <f t="shared" si="18"/>
        <v>4.0909090909090909E-2</v>
      </c>
      <c r="J47" s="538">
        <f t="shared" si="18"/>
        <v>5.7291666666666664E-2</v>
      </c>
      <c r="K47" s="538">
        <f t="shared" si="18"/>
        <v>4.3572044866264023E-2</v>
      </c>
    </row>
    <row r="48" spans="1:11" ht="18.75" customHeight="1" x14ac:dyDescent="0.15">
      <c r="A48" s="710" t="s">
        <v>48</v>
      </c>
      <c r="B48" s="509">
        <f>SUM(B76:D76)</f>
        <v>15</v>
      </c>
      <c r="C48" s="509">
        <f>SUM(E76:F76)</f>
        <v>8</v>
      </c>
      <c r="D48" s="509">
        <f>SUM(G76:J76)</f>
        <v>30</v>
      </c>
      <c r="E48" s="509">
        <f>SUM(K76:L76)</f>
        <v>17</v>
      </c>
      <c r="F48" s="509">
        <f>SUM(M76:N76)</f>
        <v>17</v>
      </c>
      <c r="G48" s="509">
        <f>SUM(O76:Q76)</f>
        <v>12</v>
      </c>
      <c r="H48" s="509">
        <f>R76</f>
        <v>37</v>
      </c>
      <c r="I48" s="509">
        <f>S76</f>
        <v>11</v>
      </c>
      <c r="J48" s="509">
        <f>SUM(T76:U76)</f>
        <v>18</v>
      </c>
      <c r="K48" s="510">
        <f>SUM(B48:J48)</f>
        <v>165</v>
      </c>
    </row>
    <row r="49" spans="1:21" ht="18.75" customHeight="1" x14ac:dyDescent="0.15">
      <c r="A49" s="711"/>
      <c r="B49" s="538">
        <f>B48/B$14</f>
        <v>7.9365079365079361E-2</v>
      </c>
      <c r="C49" s="538">
        <f t="shared" ref="C49:K49" si="19">C48/C$14</f>
        <v>0.05</v>
      </c>
      <c r="D49" s="538">
        <f t="shared" si="19"/>
        <v>0.13100436681222707</v>
      </c>
      <c r="E49" s="538">
        <f t="shared" si="19"/>
        <v>4.4619422572178477E-2</v>
      </c>
      <c r="F49" s="538">
        <f t="shared" si="19"/>
        <v>8.9473684210526316E-2</v>
      </c>
      <c r="G49" s="538">
        <f t="shared" si="19"/>
        <v>3.7854889589905363E-2</v>
      </c>
      <c r="H49" s="538">
        <f t="shared" si="19"/>
        <v>8.4090909090909091E-2</v>
      </c>
      <c r="I49" s="538">
        <f t="shared" si="19"/>
        <v>0.05</v>
      </c>
      <c r="J49" s="538">
        <f t="shared" si="19"/>
        <v>9.375E-2</v>
      </c>
      <c r="K49" s="538">
        <f t="shared" si="19"/>
        <v>7.1182053494391717E-2</v>
      </c>
    </row>
    <row r="50" spans="1:21" ht="18.75" customHeight="1" x14ac:dyDescent="0.15">
      <c r="A50" s="726" t="s">
        <v>49</v>
      </c>
      <c r="B50" s="509">
        <f>SUM(B77:D77)</f>
        <v>2</v>
      </c>
      <c r="C50" s="509">
        <f>SUM(E77:F77)</f>
        <v>0</v>
      </c>
      <c r="D50" s="509">
        <f>SUM(G77:J77)</f>
        <v>20</v>
      </c>
      <c r="E50" s="509">
        <f>SUM(K77:L77)</f>
        <v>1</v>
      </c>
      <c r="F50" s="509">
        <f>SUM(M77:N77)</f>
        <v>0</v>
      </c>
      <c r="G50" s="509">
        <f>SUM(O77:Q77)</f>
        <v>0</v>
      </c>
      <c r="H50" s="509">
        <f>R77</f>
        <v>2</v>
      </c>
      <c r="I50" s="509">
        <f>S77</f>
        <v>0</v>
      </c>
      <c r="J50" s="509">
        <f>SUM(T77:U77)</f>
        <v>2</v>
      </c>
      <c r="K50" s="510">
        <f>SUM(B50:J50)</f>
        <v>27</v>
      </c>
    </row>
    <row r="51" spans="1:21" ht="18.75" customHeight="1" x14ac:dyDescent="0.15">
      <c r="A51" s="711"/>
      <c r="B51" s="538">
        <f>B50/B$14</f>
        <v>1.0582010582010581E-2</v>
      </c>
      <c r="C51" s="538">
        <f t="shared" ref="C51:K51" si="20">C50/C$14</f>
        <v>0</v>
      </c>
      <c r="D51" s="538">
        <f t="shared" si="20"/>
        <v>8.7336244541484712E-2</v>
      </c>
      <c r="E51" s="538">
        <f t="shared" si="20"/>
        <v>2.6246719160104987E-3</v>
      </c>
      <c r="F51" s="538">
        <f t="shared" si="20"/>
        <v>0</v>
      </c>
      <c r="G51" s="538">
        <f t="shared" si="20"/>
        <v>0</v>
      </c>
      <c r="H51" s="538">
        <f t="shared" si="20"/>
        <v>4.5454545454545452E-3</v>
      </c>
      <c r="I51" s="538">
        <f t="shared" si="20"/>
        <v>0</v>
      </c>
      <c r="J51" s="538">
        <f t="shared" si="20"/>
        <v>1.0416666666666666E-2</v>
      </c>
      <c r="K51" s="538">
        <f t="shared" si="20"/>
        <v>1.1647972389991372E-2</v>
      </c>
    </row>
    <row r="52" spans="1:21" ht="18.75" customHeight="1" x14ac:dyDescent="0.15">
      <c r="A52" s="724" t="s">
        <v>50</v>
      </c>
      <c r="B52" s="509">
        <f>SUM(B78:D78)</f>
        <v>14</v>
      </c>
      <c r="C52" s="509">
        <f>SUM(E78:F78)</f>
        <v>13</v>
      </c>
      <c r="D52" s="509">
        <f>SUM(G78:J78)</f>
        <v>47</v>
      </c>
      <c r="E52" s="509">
        <f>SUM(K78:L78)</f>
        <v>45</v>
      </c>
      <c r="F52" s="509">
        <f>SUM(M78:N78)</f>
        <v>36</v>
      </c>
      <c r="G52" s="509">
        <f>SUM(O78:Q78)</f>
        <v>13</v>
      </c>
      <c r="H52" s="509">
        <f>R78</f>
        <v>48</v>
      </c>
      <c r="I52" s="509">
        <f>S78</f>
        <v>12</v>
      </c>
      <c r="J52" s="509">
        <f>SUM(T78:U78)</f>
        <v>23</v>
      </c>
      <c r="K52" s="510">
        <f>SUM(B52:J52)</f>
        <v>251</v>
      </c>
    </row>
    <row r="53" spans="1:21" ht="18.75" customHeight="1" x14ac:dyDescent="0.15">
      <c r="A53" s="725"/>
      <c r="B53" s="538">
        <f>B52/B$14</f>
        <v>7.407407407407407E-2</v>
      </c>
      <c r="C53" s="538">
        <f t="shared" ref="C53:K53" si="21">C52/C$14</f>
        <v>8.1250000000000003E-2</v>
      </c>
      <c r="D53" s="538">
        <f t="shared" si="21"/>
        <v>0.20524017467248909</v>
      </c>
      <c r="E53" s="538">
        <f t="shared" si="21"/>
        <v>0.11811023622047244</v>
      </c>
      <c r="F53" s="538">
        <f t="shared" si="21"/>
        <v>0.18947368421052632</v>
      </c>
      <c r="G53" s="538">
        <f t="shared" si="21"/>
        <v>4.1009463722397478E-2</v>
      </c>
      <c r="H53" s="538">
        <f t="shared" si="21"/>
        <v>0.10909090909090909</v>
      </c>
      <c r="I53" s="538">
        <f t="shared" si="21"/>
        <v>5.4545454545454543E-2</v>
      </c>
      <c r="J53" s="538">
        <f t="shared" si="21"/>
        <v>0.11979166666666667</v>
      </c>
      <c r="K53" s="538">
        <f t="shared" si="21"/>
        <v>0.10828300258843832</v>
      </c>
    </row>
    <row r="54" spans="1:21" ht="18.75" customHeight="1" x14ac:dyDescent="0.15">
      <c r="A54" s="724" t="s">
        <v>51</v>
      </c>
      <c r="B54" s="509">
        <f>SUM(B79:D79)</f>
        <v>17</v>
      </c>
      <c r="C54" s="509">
        <f>SUM(E79:F79)</f>
        <v>16</v>
      </c>
      <c r="D54" s="509">
        <f>SUM(G79:J79)</f>
        <v>52</v>
      </c>
      <c r="E54" s="509">
        <f>SUM(K79:L79)</f>
        <v>39</v>
      </c>
      <c r="F54" s="509">
        <f>SUM(M79:N79)</f>
        <v>36</v>
      </c>
      <c r="G54" s="509">
        <f>SUM(O79:Q79)</f>
        <v>45</v>
      </c>
      <c r="H54" s="509">
        <f>R79</f>
        <v>53</v>
      </c>
      <c r="I54" s="509">
        <f>S79</f>
        <v>11</v>
      </c>
      <c r="J54" s="509">
        <f>SUM(T79:U79)</f>
        <v>24</v>
      </c>
      <c r="K54" s="510">
        <f>SUM(B54:J54)</f>
        <v>293</v>
      </c>
    </row>
    <row r="55" spans="1:21" ht="18.75" customHeight="1" x14ac:dyDescent="0.15">
      <c r="A55" s="725"/>
      <c r="B55" s="538">
        <f>B54/B$14</f>
        <v>8.9947089947089942E-2</v>
      </c>
      <c r="C55" s="538">
        <f t="shared" ref="C55:K55" si="22">C54/C$14</f>
        <v>0.1</v>
      </c>
      <c r="D55" s="538">
        <f t="shared" si="22"/>
        <v>0.22707423580786026</v>
      </c>
      <c r="E55" s="538">
        <f t="shared" si="22"/>
        <v>0.10236220472440945</v>
      </c>
      <c r="F55" s="538">
        <f t="shared" si="22"/>
        <v>0.18947368421052632</v>
      </c>
      <c r="G55" s="538">
        <f t="shared" si="22"/>
        <v>0.14195583596214512</v>
      </c>
      <c r="H55" s="538">
        <f t="shared" si="22"/>
        <v>0.12045454545454545</v>
      </c>
      <c r="I55" s="538">
        <f t="shared" si="22"/>
        <v>0.05</v>
      </c>
      <c r="J55" s="538">
        <f t="shared" si="22"/>
        <v>0.125</v>
      </c>
      <c r="K55" s="538">
        <f t="shared" si="22"/>
        <v>0.12640207075064711</v>
      </c>
    </row>
    <row r="56" spans="1:21" ht="18.75" customHeight="1" x14ac:dyDescent="0.15">
      <c r="A56" s="724" t="s">
        <v>338</v>
      </c>
      <c r="B56" s="509">
        <f>SUM(B80:D80)</f>
        <v>1</v>
      </c>
      <c r="C56" s="509">
        <f>SUM(E80:F80)</f>
        <v>2</v>
      </c>
      <c r="D56" s="509">
        <f>SUM(G80:J80)</f>
        <v>0</v>
      </c>
      <c r="E56" s="509">
        <f>SUM(K80:L80)</f>
        <v>4</v>
      </c>
      <c r="F56" s="509">
        <f>SUM(M80:N80)</f>
        <v>5</v>
      </c>
      <c r="G56" s="509">
        <f>SUM(O80:Q80)</f>
        <v>3</v>
      </c>
      <c r="H56" s="509">
        <f>R80</f>
        <v>14</v>
      </c>
      <c r="I56" s="509">
        <f>S80</f>
        <v>4</v>
      </c>
      <c r="J56" s="509">
        <f>SUM(T80:U80)</f>
        <v>18</v>
      </c>
      <c r="K56" s="510">
        <f>SUM(B56:J56)</f>
        <v>51</v>
      </c>
    </row>
    <row r="57" spans="1:21" ht="18.75" customHeight="1" x14ac:dyDescent="0.15">
      <c r="A57" s="725"/>
      <c r="B57" s="538">
        <f>B56/B$14</f>
        <v>5.2910052910052907E-3</v>
      </c>
      <c r="C57" s="538">
        <f t="shared" ref="C57:K57" si="23">C56/C$14</f>
        <v>1.2500000000000001E-2</v>
      </c>
      <c r="D57" s="538">
        <f t="shared" si="23"/>
        <v>0</v>
      </c>
      <c r="E57" s="538">
        <f t="shared" si="23"/>
        <v>1.0498687664041995E-2</v>
      </c>
      <c r="F57" s="538">
        <f t="shared" si="23"/>
        <v>2.6315789473684209E-2</v>
      </c>
      <c r="G57" s="538">
        <f t="shared" si="23"/>
        <v>9.4637223974763408E-3</v>
      </c>
      <c r="H57" s="538">
        <f t="shared" si="23"/>
        <v>3.1818181818181815E-2</v>
      </c>
      <c r="I57" s="538">
        <f t="shared" si="23"/>
        <v>1.8181818181818181E-2</v>
      </c>
      <c r="J57" s="538">
        <f t="shared" si="23"/>
        <v>9.375E-2</v>
      </c>
      <c r="K57" s="538">
        <f t="shared" si="23"/>
        <v>2.2001725625539259E-2</v>
      </c>
    </row>
    <row r="58" spans="1:21" ht="18.75" customHeight="1" x14ac:dyDescent="0.15">
      <c r="A58" s="710" t="s">
        <v>53</v>
      </c>
      <c r="B58" s="509">
        <f>SUM(B81:D81)</f>
        <v>11</v>
      </c>
      <c r="C58" s="509">
        <f>SUM(E81:F81)</f>
        <v>14</v>
      </c>
      <c r="D58" s="509">
        <f>SUM(G81:J81)</f>
        <v>23</v>
      </c>
      <c r="E58" s="509">
        <f>SUM(K81:L81)</f>
        <v>42</v>
      </c>
      <c r="F58" s="509">
        <f>SUM(M81:N81)</f>
        <v>10</v>
      </c>
      <c r="G58" s="509">
        <f>SUM(O81:Q81)</f>
        <v>20</v>
      </c>
      <c r="H58" s="509">
        <f>R81</f>
        <v>33</v>
      </c>
      <c r="I58" s="509">
        <f>S81</f>
        <v>11</v>
      </c>
      <c r="J58" s="509">
        <f>SUM(T81:U81)</f>
        <v>8</v>
      </c>
      <c r="K58" s="510">
        <f>SUM(B58:J58)</f>
        <v>172</v>
      </c>
    </row>
    <row r="59" spans="1:21" ht="18.75" customHeight="1" x14ac:dyDescent="0.15">
      <c r="A59" s="711"/>
      <c r="B59" s="538">
        <f>B58/B$14</f>
        <v>5.8201058201058198E-2</v>
      </c>
      <c r="C59" s="538">
        <f t="shared" ref="C59:K59" si="24">C58/C$14</f>
        <v>8.7499999999999994E-2</v>
      </c>
      <c r="D59" s="538">
        <f t="shared" si="24"/>
        <v>0.10043668122270742</v>
      </c>
      <c r="E59" s="538">
        <f t="shared" si="24"/>
        <v>0.11023622047244094</v>
      </c>
      <c r="F59" s="538">
        <f t="shared" si="24"/>
        <v>5.2631578947368418E-2</v>
      </c>
      <c r="G59" s="538">
        <f t="shared" si="24"/>
        <v>6.3091482649842268E-2</v>
      </c>
      <c r="H59" s="538">
        <f t="shared" si="24"/>
        <v>7.4999999999999997E-2</v>
      </c>
      <c r="I59" s="538">
        <f t="shared" si="24"/>
        <v>0.05</v>
      </c>
      <c r="J59" s="538">
        <f t="shared" si="24"/>
        <v>4.1666666666666664E-2</v>
      </c>
      <c r="K59" s="538">
        <f t="shared" si="24"/>
        <v>7.4201898188093182E-2</v>
      </c>
    </row>
    <row r="61" spans="1:21" x14ac:dyDescent="0.15">
      <c r="A61" s="378"/>
      <c r="B61" s="378"/>
      <c r="C61" s="378"/>
      <c r="D61" s="378"/>
      <c r="E61" s="378"/>
      <c r="F61" s="378"/>
      <c r="G61" s="378"/>
      <c r="H61" s="378"/>
      <c r="I61" s="378"/>
    </row>
    <row r="62" spans="1:21" hidden="1" x14ac:dyDescent="0.15">
      <c r="A62" s="54"/>
    </row>
    <row r="63" spans="1:21" hidden="1" x14ac:dyDescent="0.15">
      <c r="A63" s="378" t="s">
        <v>63</v>
      </c>
      <c r="B63" s="543" t="s">
        <v>390</v>
      </c>
      <c r="C63" s="543" t="s">
        <v>391</v>
      </c>
      <c r="D63" s="543" t="s">
        <v>392</v>
      </c>
      <c r="E63" s="543" t="s">
        <v>393</v>
      </c>
      <c r="F63" s="543" t="s">
        <v>394</v>
      </c>
      <c r="G63" s="543" t="s">
        <v>395</v>
      </c>
      <c r="H63" s="543" t="s">
        <v>396</v>
      </c>
      <c r="I63" s="543" t="s">
        <v>397</v>
      </c>
      <c r="J63" s="543" t="s">
        <v>398</v>
      </c>
      <c r="K63" s="543" t="s">
        <v>399</v>
      </c>
      <c r="L63" s="543" t="s">
        <v>400</v>
      </c>
      <c r="M63" s="543" t="s">
        <v>401</v>
      </c>
      <c r="N63" s="543" t="s">
        <v>402</v>
      </c>
      <c r="O63" s="543" t="s">
        <v>403</v>
      </c>
      <c r="P63" s="543" t="s">
        <v>404</v>
      </c>
      <c r="Q63" s="543" t="s">
        <v>405</v>
      </c>
      <c r="R63" s="543" t="s">
        <v>406</v>
      </c>
      <c r="S63" s="543" t="s">
        <v>407</v>
      </c>
      <c r="T63" s="543" t="s">
        <v>504</v>
      </c>
      <c r="U63" s="55" t="s">
        <v>505</v>
      </c>
    </row>
    <row r="64" spans="1:21" hidden="1" x14ac:dyDescent="0.15">
      <c r="A64" s="54" t="s">
        <v>500</v>
      </c>
      <c r="B64" s="23">
        <v>35</v>
      </c>
      <c r="C64" s="23">
        <v>17</v>
      </c>
      <c r="D64" s="23">
        <v>21</v>
      </c>
      <c r="E64" s="23">
        <v>20</v>
      </c>
      <c r="F64" s="23">
        <v>31</v>
      </c>
      <c r="G64" s="23">
        <v>46</v>
      </c>
      <c r="H64" s="23">
        <v>13</v>
      </c>
      <c r="I64" s="23">
        <v>22</v>
      </c>
      <c r="J64" s="23">
        <v>10</v>
      </c>
      <c r="K64" s="23">
        <v>70</v>
      </c>
      <c r="L64" s="23">
        <v>93</v>
      </c>
      <c r="M64" s="23">
        <v>36</v>
      </c>
      <c r="N64" s="23">
        <v>41</v>
      </c>
      <c r="O64" s="23">
        <v>52</v>
      </c>
      <c r="P64" s="23">
        <v>32</v>
      </c>
      <c r="Q64" s="23">
        <v>37</v>
      </c>
      <c r="R64" s="23">
        <v>162</v>
      </c>
      <c r="S64" s="23">
        <v>84</v>
      </c>
      <c r="T64" s="23">
        <v>62</v>
      </c>
      <c r="U64" s="23">
        <v>6</v>
      </c>
    </row>
    <row r="65" spans="1:21" hidden="1" x14ac:dyDescent="0.15">
      <c r="A65" s="54" t="s">
        <v>501</v>
      </c>
      <c r="B65" s="23">
        <v>27</v>
      </c>
      <c r="C65" s="23">
        <v>10</v>
      </c>
      <c r="D65" s="23">
        <v>14</v>
      </c>
      <c r="E65" s="23">
        <v>20</v>
      </c>
      <c r="F65" s="23">
        <v>44</v>
      </c>
      <c r="G65" s="23">
        <v>36</v>
      </c>
      <c r="H65" s="23">
        <v>14</v>
      </c>
      <c r="I65" s="23">
        <v>14</v>
      </c>
      <c r="J65" s="23">
        <v>9</v>
      </c>
      <c r="K65" s="23">
        <v>57</v>
      </c>
      <c r="L65" s="23">
        <v>103</v>
      </c>
      <c r="M65" s="23">
        <v>30</v>
      </c>
      <c r="N65" s="23">
        <v>32</v>
      </c>
      <c r="O65" s="23">
        <v>36</v>
      </c>
      <c r="P65" s="23">
        <v>24</v>
      </c>
      <c r="Q65" s="23">
        <v>17</v>
      </c>
      <c r="R65" s="23">
        <v>118</v>
      </c>
      <c r="S65" s="23">
        <v>71</v>
      </c>
      <c r="T65" s="23">
        <v>47</v>
      </c>
      <c r="U65" s="23">
        <v>10</v>
      </c>
    </row>
    <row r="66" spans="1:21" hidden="1" x14ac:dyDescent="0.15">
      <c r="A66" s="54" t="s">
        <v>167</v>
      </c>
      <c r="B66" s="23">
        <v>3</v>
      </c>
      <c r="C66" s="23">
        <v>2</v>
      </c>
      <c r="D66" s="23">
        <v>5</v>
      </c>
      <c r="E66" s="23">
        <v>2</v>
      </c>
      <c r="F66" s="23">
        <v>5</v>
      </c>
      <c r="G66" s="23">
        <v>3</v>
      </c>
      <c r="H66" s="23">
        <v>4</v>
      </c>
      <c r="I66" s="23">
        <v>3</v>
      </c>
      <c r="J66" s="23">
        <v>1</v>
      </c>
      <c r="K66" s="23">
        <v>17</v>
      </c>
      <c r="L66" s="23">
        <v>30</v>
      </c>
      <c r="M66" s="23">
        <v>11</v>
      </c>
      <c r="N66" s="23">
        <v>6</v>
      </c>
      <c r="O66" s="23">
        <v>8</v>
      </c>
      <c r="P66" s="23">
        <v>5</v>
      </c>
      <c r="Q66" s="23">
        <v>5</v>
      </c>
      <c r="R66" s="23">
        <v>30</v>
      </c>
      <c r="S66" s="23">
        <v>11</v>
      </c>
      <c r="T66" s="23">
        <v>11</v>
      </c>
      <c r="U66" s="23">
        <v>4</v>
      </c>
    </row>
    <row r="67" spans="1:21" hidden="1" x14ac:dyDescent="0.15">
      <c r="A67" s="54" t="s">
        <v>168</v>
      </c>
      <c r="B67" s="23">
        <v>14</v>
      </c>
      <c r="C67" s="23">
        <v>16</v>
      </c>
      <c r="D67" s="23">
        <v>21</v>
      </c>
      <c r="E67" s="23">
        <v>34</v>
      </c>
      <c r="F67" s="23">
        <v>44</v>
      </c>
      <c r="G67" s="23">
        <v>40</v>
      </c>
      <c r="H67" s="23">
        <v>13</v>
      </c>
      <c r="I67" s="23">
        <v>17</v>
      </c>
      <c r="J67" s="23">
        <v>10</v>
      </c>
      <c r="K67" s="23">
        <v>56</v>
      </c>
      <c r="L67" s="23">
        <v>59</v>
      </c>
      <c r="M67" s="23">
        <v>26</v>
      </c>
      <c r="N67" s="23">
        <v>58</v>
      </c>
      <c r="O67" s="23">
        <v>62</v>
      </c>
      <c r="P67" s="23">
        <v>27</v>
      </c>
      <c r="Q67" s="23">
        <v>29</v>
      </c>
      <c r="R67" s="23">
        <v>153</v>
      </c>
      <c r="S67" s="23">
        <v>89</v>
      </c>
      <c r="T67" s="23">
        <v>81</v>
      </c>
      <c r="U67" s="23">
        <v>6</v>
      </c>
    </row>
    <row r="68" spans="1:21" hidden="1" x14ac:dyDescent="0.15">
      <c r="A68" s="54" t="s">
        <v>169</v>
      </c>
      <c r="B68" s="23">
        <v>33</v>
      </c>
      <c r="C68" s="23">
        <v>18</v>
      </c>
      <c r="D68" s="23">
        <v>26</v>
      </c>
      <c r="E68" s="23">
        <v>28</v>
      </c>
      <c r="F68" s="23">
        <v>50</v>
      </c>
      <c r="G68" s="23">
        <v>57</v>
      </c>
      <c r="H68" s="23">
        <v>21</v>
      </c>
      <c r="I68" s="23">
        <v>25</v>
      </c>
      <c r="J68" s="23">
        <v>12</v>
      </c>
      <c r="K68" s="23">
        <v>77</v>
      </c>
      <c r="L68" s="23">
        <v>123</v>
      </c>
      <c r="M68" s="23">
        <v>41</v>
      </c>
      <c r="N68" s="23">
        <v>44</v>
      </c>
      <c r="O68" s="23">
        <v>66</v>
      </c>
      <c r="P68" s="23">
        <v>39</v>
      </c>
      <c r="Q68" s="23">
        <v>30</v>
      </c>
      <c r="R68" s="23">
        <v>168</v>
      </c>
      <c r="S68" s="23">
        <v>84</v>
      </c>
      <c r="T68" s="23">
        <v>82</v>
      </c>
      <c r="U68" s="23">
        <v>9</v>
      </c>
    </row>
    <row r="69" spans="1:21" hidden="1" x14ac:dyDescent="0.15">
      <c r="A69" s="54" t="s">
        <v>170</v>
      </c>
      <c r="B69" s="23">
        <v>20</v>
      </c>
      <c r="C69" s="23">
        <v>15</v>
      </c>
      <c r="D69" s="23">
        <v>23</v>
      </c>
      <c r="E69" s="23">
        <v>27</v>
      </c>
      <c r="F69" s="23">
        <v>34</v>
      </c>
      <c r="G69" s="23">
        <v>38</v>
      </c>
      <c r="H69" s="23">
        <v>11</v>
      </c>
      <c r="I69" s="23">
        <v>17</v>
      </c>
      <c r="J69" s="23">
        <v>9</v>
      </c>
      <c r="K69" s="23">
        <v>39</v>
      </c>
      <c r="L69" s="23">
        <v>66</v>
      </c>
      <c r="M69" s="23">
        <v>30</v>
      </c>
      <c r="N69" s="23">
        <v>43</v>
      </c>
      <c r="O69" s="23">
        <v>45</v>
      </c>
      <c r="P69" s="23">
        <v>23</v>
      </c>
      <c r="Q69" s="23">
        <v>26</v>
      </c>
      <c r="R69" s="23">
        <v>145</v>
      </c>
      <c r="S69" s="23">
        <v>80</v>
      </c>
      <c r="T69" s="23">
        <v>50</v>
      </c>
      <c r="U69" s="23">
        <v>4</v>
      </c>
    </row>
    <row r="70" spans="1:21" hidden="1" x14ac:dyDescent="0.15">
      <c r="A70" s="54" t="s">
        <v>171</v>
      </c>
      <c r="B70" s="23">
        <v>7</v>
      </c>
      <c r="C70" s="23">
        <v>6</v>
      </c>
      <c r="D70" s="23">
        <v>7</v>
      </c>
      <c r="E70" s="23">
        <v>9</v>
      </c>
      <c r="F70" s="23">
        <v>3</v>
      </c>
      <c r="G70" s="23">
        <v>25</v>
      </c>
      <c r="H70" s="23">
        <v>7</v>
      </c>
      <c r="I70" s="23">
        <v>7</v>
      </c>
      <c r="J70" s="23">
        <v>3</v>
      </c>
      <c r="K70" s="23">
        <v>24</v>
      </c>
      <c r="L70" s="23">
        <v>31</v>
      </c>
      <c r="M70" s="23">
        <v>10</v>
      </c>
      <c r="N70" s="23">
        <v>8</v>
      </c>
      <c r="O70" s="23">
        <v>17</v>
      </c>
      <c r="P70" s="23">
        <v>6</v>
      </c>
      <c r="Q70" s="23">
        <v>4</v>
      </c>
      <c r="R70" s="23">
        <v>39</v>
      </c>
      <c r="S70" s="23">
        <v>20</v>
      </c>
      <c r="T70" s="23">
        <v>15</v>
      </c>
      <c r="U70" s="23">
        <v>1</v>
      </c>
    </row>
    <row r="71" spans="1:21" hidden="1" x14ac:dyDescent="0.15">
      <c r="A71" s="54" t="s">
        <v>172</v>
      </c>
      <c r="B71" s="23">
        <v>17</v>
      </c>
      <c r="C71" s="23">
        <v>11</v>
      </c>
      <c r="D71" s="23">
        <v>17</v>
      </c>
      <c r="E71" s="23">
        <v>34</v>
      </c>
      <c r="F71" s="23">
        <v>44</v>
      </c>
      <c r="G71" s="23">
        <v>45</v>
      </c>
      <c r="H71" s="23">
        <v>15</v>
      </c>
      <c r="I71" s="23">
        <v>22</v>
      </c>
      <c r="J71" s="23">
        <v>10</v>
      </c>
      <c r="K71" s="23">
        <v>63</v>
      </c>
      <c r="L71" s="23">
        <v>98</v>
      </c>
      <c r="M71" s="23">
        <v>26</v>
      </c>
      <c r="N71" s="23">
        <v>56</v>
      </c>
      <c r="O71" s="23">
        <v>51</v>
      </c>
      <c r="P71" s="23">
        <v>24</v>
      </c>
      <c r="Q71" s="23">
        <v>36</v>
      </c>
      <c r="R71" s="23">
        <v>141</v>
      </c>
      <c r="S71" s="23">
        <v>70</v>
      </c>
      <c r="T71" s="23">
        <v>58</v>
      </c>
      <c r="U71" s="23">
        <v>9</v>
      </c>
    </row>
    <row r="72" spans="1:21" hidden="1" x14ac:dyDescent="0.15">
      <c r="A72" s="54" t="s">
        <v>173</v>
      </c>
      <c r="B72" s="23">
        <v>14</v>
      </c>
      <c r="C72" s="23">
        <v>9</v>
      </c>
      <c r="D72" s="23">
        <v>17</v>
      </c>
      <c r="E72" s="23">
        <v>14</v>
      </c>
      <c r="F72" s="23">
        <v>25</v>
      </c>
      <c r="G72" s="23">
        <v>25</v>
      </c>
      <c r="H72" s="23">
        <v>9</v>
      </c>
      <c r="I72" s="23">
        <v>5</v>
      </c>
      <c r="J72" s="23">
        <v>4</v>
      </c>
      <c r="K72" s="23">
        <v>22</v>
      </c>
      <c r="L72" s="23">
        <v>16</v>
      </c>
      <c r="M72" s="23">
        <v>8</v>
      </c>
      <c r="N72" s="23">
        <v>10</v>
      </c>
      <c r="O72" s="23">
        <v>35</v>
      </c>
      <c r="P72" s="23">
        <v>33</v>
      </c>
      <c r="Q72" s="23">
        <v>23</v>
      </c>
      <c r="R72" s="23">
        <v>83</v>
      </c>
      <c r="S72" s="23">
        <v>33</v>
      </c>
      <c r="T72" s="23">
        <v>33</v>
      </c>
      <c r="U72" s="23">
        <v>7</v>
      </c>
    </row>
    <row r="73" spans="1:21" hidden="1" x14ac:dyDescent="0.15">
      <c r="A73" s="54" t="s">
        <v>174</v>
      </c>
      <c r="B73" s="23">
        <v>15</v>
      </c>
      <c r="C73" s="23">
        <v>4</v>
      </c>
      <c r="D73" s="23">
        <v>13</v>
      </c>
      <c r="E73" s="23">
        <v>12</v>
      </c>
      <c r="F73" s="23">
        <v>18</v>
      </c>
      <c r="G73" s="23">
        <v>27</v>
      </c>
      <c r="H73" s="23">
        <v>13</v>
      </c>
      <c r="I73" s="23">
        <v>13</v>
      </c>
      <c r="J73" s="23">
        <v>7</v>
      </c>
      <c r="K73" s="23">
        <v>44</v>
      </c>
      <c r="L73" s="23">
        <v>34</v>
      </c>
      <c r="M73" s="23">
        <v>18</v>
      </c>
      <c r="N73" s="23">
        <v>34</v>
      </c>
      <c r="O73" s="23">
        <v>23</v>
      </c>
      <c r="P73" s="23">
        <v>20</v>
      </c>
      <c r="Q73" s="23">
        <v>17</v>
      </c>
      <c r="R73" s="23">
        <v>104</v>
      </c>
      <c r="S73" s="23">
        <v>50</v>
      </c>
      <c r="T73" s="23">
        <v>48</v>
      </c>
      <c r="U73" s="23">
        <v>3</v>
      </c>
    </row>
    <row r="74" spans="1:21" hidden="1" x14ac:dyDescent="0.15">
      <c r="A74" s="54" t="s">
        <v>175</v>
      </c>
      <c r="B74" s="23">
        <v>13</v>
      </c>
      <c r="C74" s="23">
        <v>29</v>
      </c>
      <c r="D74" s="23">
        <v>26</v>
      </c>
      <c r="E74" s="23">
        <v>36</v>
      </c>
      <c r="F74" s="23">
        <v>42</v>
      </c>
      <c r="G74" s="23">
        <v>59</v>
      </c>
      <c r="H74" s="23">
        <v>17</v>
      </c>
      <c r="I74" s="23">
        <v>27</v>
      </c>
      <c r="J74" s="23">
        <v>13</v>
      </c>
      <c r="K74" s="23">
        <v>60</v>
      </c>
      <c r="L74" s="23">
        <v>85</v>
      </c>
      <c r="M74" s="23">
        <v>36</v>
      </c>
      <c r="N74" s="23">
        <v>31</v>
      </c>
      <c r="O74" s="23">
        <v>38</v>
      </c>
      <c r="P74" s="23">
        <v>27</v>
      </c>
      <c r="Q74" s="23">
        <v>38</v>
      </c>
      <c r="R74" s="23">
        <v>151</v>
      </c>
      <c r="S74" s="23">
        <v>53</v>
      </c>
      <c r="T74" s="23">
        <v>69</v>
      </c>
      <c r="U74" s="23">
        <v>6</v>
      </c>
    </row>
    <row r="75" spans="1:21" hidden="1" x14ac:dyDescent="0.15">
      <c r="A75" s="54" t="s">
        <v>176</v>
      </c>
      <c r="B75" s="23">
        <v>2</v>
      </c>
      <c r="C75" s="23">
        <v>1</v>
      </c>
      <c r="D75" s="23">
        <v>0</v>
      </c>
      <c r="E75" s="23">
        <v>6</v>
      </c>
      <c r="F75" s="23">
        <v>4</v>
      </c>
      <c r="G75" s="23">
        <v>8</v>
      </c>
      <c r="H75" s="23">
        <v>3</v>
      </c>
      <c r="I75" s="23">
        <v>1</v>
      </c>
      <c r="J75" s="23">
        <v>1</v>
      </c>
      <c r="K75" s="23">
        <v>7</v>
      </c>
      <c r="L75" s="23">
        <v>1</v>
      </c>
      <c r="M75" s="23">
        <v>2</v>
      </c>
      <c r="N75" s="23">
        <v>1</v>
      </c>
      <c r="O75" s="23">
        <v>14</v>
      </c>
      <c r="P75" s="23">
        <v>6</v>
      </c>
      <c r="Q75" s="23">
        <v>4</v>
      </c>
      <c r="R75" s="23">
        <v>20</v>
      </c>
      <c r="S75" s="23">
        <v>9</v>
      </c>
      <c r="T75" s="23">
        <v>11</v>
      </c>
      <c r="U75" s="23">
        <v>0</v>
      </c>
    </row>
    <row r="76" spans="1:21" hidden="1" x14ac:dyDescent="0.15">
      <c r="A76" s="54" t="s">
        <v>177</v>
      </c>
      <c r="B76" s="23">
        <v>6</v>
      </c>
      <c r="C76" s="23">
        <v>5</v>
      </c>
      <c r="D76" s="23">
        <v>4</v>
      </c>
      <c r="E76" s="23">
        <v>5</v>
      </c>
      <c r="F76" s="23">
        <v>3</v>
      </c>
      <c r="G76" s="23">
        <v>18</v>
      </c>
      <c r="H76" s="23">
        <v>3</v>
      </c>
      <c r="I76" s="23">
        <v>6</v>
      </c>
      <c r="J76" s="23">
        <v>3</v>
      </c>
      <c r="K76" s="23">
        <v>15</v>
      </c>
      <c r="L76" s="23">
        <v>2</v>
      </c>
      <c r="M76" s="23">
        <v>6</v>
      </c>
      <c r="N76" s="23">
        <v>11</v>
      </c>
      <c r="O76" s="23">
        <v>6</v>
      </c>
      <c r="P76" s="23">
        <v>3</v>
      </c>
      <c r="Q76" s="23">
        <v>3</v>
      </c>
      <c r="R76" s="23">
        <v>37</v>
      </c>
      <c r="S76" s="23">
        <v>11</v>
      </c>
      <c r="T76" s="23">
        <v>17</v>
      </c>
      <c r="U76" s="23">
        <v>1</v>
      </c>
    </row>
    <row r="77" spans="1:21" hidden="1" x14ac:dyDescent="0.15">
      <c r="A77" s="54" t="s">
        <v>178</v>
      </c>
      <c r="B77" s="23">
        <v>0</v>
      </c>
      <c r="C77" s="23">
        <v>1</v>
      </c>
      <c r="D77" s="23">
        <v>1</v>
      </c>
      <c r="E77" s="23">
        <v>0</v>
      </c>
      <c r="F77" s="23">
        <v>0</v>
      </c>
      <c r="G77" s="23">
        <v>12</v>
      </c>
      <c r="H77" s="23">
        <v>2</v>
      </c>
      <c r="I77" s="23">
        <v>4</v>
      </c>
      <c r="J77" s="23">
        <v>2</v>
      </c>
      <c r="K77" s="23">
        <v>1</v>
      </c>
      <c r="L77" s="23">
        <v>0</v>
      </c>
      <c r="M77" s="23">
        <v>0</v>
      </c>
      <c r="N77" s="23">
        <v>0</v>
      </c>
      <c r="O77" s="23">
        <v>0</v>
      </c>
      <c r="P77" s="23">
        <v>0</v>
      </c>
      <c r="Q77" s="23">
        <v>0</v>
      </c>
      <c r="R77" s="23">
        <v>2</v>
      </c>
      <c r="S77" s="23">
        <v>0</v>
      </c>
      <c r="T77" s="23">
        <v>2</v>
      </c>
      <c r="U77" s="23">
        <v>0</v>
      </c>
    </row>
    <row r="78" spans="1:21" hidden="1" x14ac:dyDescent="0.15">
      <c r="A78" s="54" t="s">
        <v>179</v>
      </c>
      <c r="B78" s="23">
        <v>2</v>
      </c>
      <c r="C78" s="23">
        <v>2</v>
      </c>
      <c r="D78" s="23">
        <v>10</v>
      </c>
      <c r="E78" s="23">
        <v>8</v>
      </c>
      <c r="F78" s="23">
        <v>5</v>
      </c>
      <c r="G78" s="23">
        <v>26</v>
      </c>
      <c r="H78" s="23">
        <v>10</v>
      </c>
      <c r="I78" s="23">
        <v>7</v>
      </c>
      <c r="J78" s="23">
        <v>4</v>
      </c>
      <c r="K78" s="23">
        <v>26</v>
      </c>
      <c r="L78" s="23">
        <v>19</v>
      </c>
      <c r="M78" s="23">
        <v>9</v>
      </c>
      <c r="N78" s="23">
        <v>27</v>
      </c>
      <c r="O78" s="23">
        <v>2</v>
      </c>
      <c r="P78" s="23">
        <v>3</v>
      </c>
      <c r="Q78" s="23">
        <v>8</v>
      </c>
      <c r="R78" s="23">
        <v>48</v>
      </c>
      <c r="S78" s="23">
        <v>12</v>
      </c>
      <c r="T78" s="23">
        <v>21</v>
      </c>
      <c r="U78" s="23">
        <v>2</v>
      </c>
    </row>
    <row r="79" spans="1:21" hidden="1" x14ac:dyDescent="0.15">
      <c r="A79" s="54" t="s">
        <v>180</v>
      </c>
      <c r="B79" s="23">
        <v>6</v>
      </c>
      <c r="C79" s="23">
        <v>6</v>
      </c>
      <c r="D79" s="23">
        <v>5</v>
      </c>
      <c r="E79" s="23">
        <v>11</v>
      </c>
      <c r="F79" s="23">
        <v>5</v>
      </c>
      <c r="G79" s="23">
        <v>32</v>
      </c>
      <c r="H79" s="23">
        <v>10</v>
      </c>
      <c r="I79" s="23">
        <v>6</v>
      </c>
      <c r="J79" s="23">
        <v>4</v>
      </c>
      <c r="K79" s="23">
        <v>24</v>
      </c>
      <c r="L79" s="23">
        <v>15</v>
      </c>
      <c r="M79" s="23">
        <v>8</v>
      </c>
      <c r="N79" s="23">
        <v>28</v>
      </c>
      <c r="O79" s="23">
        <v>19</v>
      </c>
      <c r="P79" s="23">
        <v>17</v>
      </c>
      <c r="Q79" s="23">
        <v>9</v>
      </c>
      <c r="R79" s="23">
        <v>53</v>
      </c>
      <c r="S79" s="23">
        <v>11</v>
      </c>
      <c r="T79" s="23">
        <v>21</v>
      </c>
      <c r="U79" s="23">
        <v>3</v>
      </c>
    </row>
    <row r="80" spans="1:21" hidden="1" x14ac:dyDescent="0.15">
      <c r="A80" s="54" t="s">
        <v>181</v>
      </c>
      <c r="B80" s="23">
        <v>0</v>
      </c>
      <c r="C80" s="23">
        <v>1</v>
      </c>
      <c r="D80" s="23">
        <v>0</v>
      </c>
      <c r="E80" s="23">
        <v>1</v>
      </c>
      <c r="F80" s="23">
        <v>1</v>
      </c>
      <c r="G80" s="23">
        <v>0</v>
      </c>
      <c r="H80" s="23">
        <v>0</v>
      </c>
      <c r="I80" s="23">
        <v>0</v>
      </c>
      <c r="J80" s="23">
        <v>0</v>
      </c>
      <c r="K80" s="23">
        <v>3</v>
      </c>
      <c r="L80" s="23">
        <v>1</v>
      </c>
      <c r="M80" s="23">
        <v>3</v>
      </c>
      <c r="N80" s="23">
        <v>2</v>
      </c>
      <c r="O80" s="23">
        <v>1</v>
      </c>
      <c r="P80" s="23">
        <v>1</v>
      </c>
      <c r="Q80" s="23">
        <v>1</v>
      </c>
      <c r="R80" s="23">
        <v>14</v>
      </c>
      <c r="S80" s="23">
        <v>4</v>
      </c>
      <c r="T80" s="23">
        <v>17</v>
      </c>
      <c r="U80" s="23">
        <v>1</v>
      </c>
    </row>
    <row r="81" spans="1:21" hidden="1" x14ac:dyDescent="0.15">
      <c r="A81" s="54" t="s">
        <v>182</v>
      </c>
      <c r="B81" s="23">
        <v>3</v>
      </c>
      <c r="C81" s="23">
        <v>6</v>
      </c>
      <c r="D81" s="23">
        <v>2</v>
      </c>
      <c r="E81" s="23">
        <v>8</v>
      </c>
      <c r="F81" s="23">
        <v>6</v>
      </c>
      <c r="G81" s="23">
        <v>13</v>
      </c>
      <c r="H81" s="23">
        <v>4</v>
      </c>
      <c r="I81" s="23">
        <v>2</v>
      </c>
      <c r="J81" s="23">
        <v>4</v>
      </c>
      <c r="K81" s="23">
        <v>21</v>
      </c>
      <c r="L81" s="23">
        <v>21</v>
      </c>
      <c r="M81" s="23">
        <v>3</v>
      </c>
      <c r="N81" s="23">
        <v>7</v>
      </c>
      <c r="O81" s="23">
        <v>7</v>
      </c>
      <c r="P81" s="23">
        <v>10</v>
      </c>
      <c r="Q81" s="23">
        <v>3</v>
      </c>
      <c r="R81" s="23">
        <v>33</v>
      </c>
      <c r="S81" s="23">
        <v>11</v>
      </c>
      <c r="T81" s="23">
        <v>5</v>
      </c>
      <c r="U81" s="23">
        <v>3</v>
      </c>
    </row>
    <row r="82" spans="1:21" hidden="1" x14ac:dyDescent="0.15">
      <c r="A82" s="54"/>
    </row>
    <row r="83" spans="1:21" hidden="1" x14ac:dyDescent="0.15">
      <c r="A83" s="54"/>
    </row>
  </sheetData>
  <mergeCells count="23">
    <mergeCell ref="A50:A51"/>
    <mergeCell ref="A52:A53"/>
    <mergeCell ref="A54:A55"/>
    <mergeCell ref="A56:A57"/>
    <mergeCell ref="A58:A59"/>
    <mergeCell ref="A48:A49"/>
    <mergeCell ref="A26:A27"/>
    <mergeCell ref="A28:A29"/>
    <mergeCell ref="A30:A31"/>
    <mergeCell ref="A32:A33"/>
    <mergeCell ref="A34:A35"/>
    <mergeCell ref="A36:A37"/>
    <mergeCell ref="A38:A39"/>
    <mergeCell ref="A40:A41"/>
    <mergeCell ref="A42:A43"/>
    <mergeCell ref="A44:A45"/>
    <mergeCell ref="A46:A47"/>
    <mergeCell ref="A24:A25"/>
    <mergeCell ref="A4:A5"/>
    <mergeCell ref="A6:A7"/>
    <mergeCell ref="A8:A9"/>
    <mergeCell ref="A14:A15"/>
    <mergeCell ref="A16:A17"/>
  </mergeCells>
  <phoneticPr fontId="2"/>
  <pageMargins left="0.70866141732283472" right="0.70866141732283472" top="0.74803149606299213" bottom="0.74803149606299213" header="0.31496062992125984" footer="0.31496062992125984"/>
  <pageSetup paperSize="9" scale="70" orientation="portrait" r:id="rId1"/>
  <rowBreaks count="1" manualBreakCount="1">
    <brk id="20" max="10" man="1"/>
  </rowBreaks>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A1:AV55"/>
  <sheetViews>
    <sheetView view="pageBreakPreview" zoomScaleNormal="100" zoomScaleSheetLayoutView="100" workbookViewId="0">
      <selection activeCell="L1" sqref="L1:AU1048576"/>
    </sheetView>
  </sheetViews>
  <sheetFormatPr defaultColWidth="13.75" defaultRowHeight="18.75" x14ac:dyDescent="0.15"/>
  <cols>
    <col min="1" max="1" width="10.5" style="1" customWidth="1"/>
    <col min="2" max="11" width="8.75" style="1" customWidth="1"/>
    <col min="12" max="13" width="7.25" style="1" hidden="1" customWidth="1"/>
    <col min="14" max="14" width="6.5" style="1" hidden="1" customWidth="1"/>
    <col min="15" max="34" width="7.625" style="1" hidden="1" customWidth="1"/>
    <col min="35" max="35" width="11.375" style="1" hidden="1" customWidth="1"/>
    <col min="36" max="46" width="7.625" style="1" hidden="1" customWidth="1"/>
    <col min="47" max="47" width="0" style="1" hidden="1" customWidth="1"/>
    <col min="48" max="16384" width="13.75" style="1"/>
  </cols>
  <sheetData>
    <row r="1" spans="1:46" s="3" customFormat="1" ht="19.5" x14ac:dyDescent="0.15">
      <c r="A1" s="2" t="s">
        <v>523</v>
      </c>
    </row>
    <row r="2" spans="1:46" x14ac:dyDescent="0.15">
      <c r="A2" s="4"/>
    </row>
    <row r="3" spans="1:46" x14ac:dyDescent="0.15">
      <c r="A3" s="727" t="s">
        <v>524</v>
      </c>
      <c r="B3" s="729" t="s">
        <v>525</v>
      </c>
      <c r="C3" s="730"/>
      <c r="D3" s="730"/>
      <c r="E3" s="730"/>
      <c r="F3" s="730"/>
      <c r="G3" s="730"/>
      <c r="H3" s="730"/>
      <c r="I3" s="730"/>
      <c r="J3" s="730"/>
      <c r="K3" s="731"/>
      <c r="AJ3" s="554" t="s">
        <v>526</v>
      </c>
      <c r="AK3" s="554"/>
    </row>
    <row r="4" spans="1:46" ht="33" x14ac:dyDescent="0.15">
      <c r="A4" s="728"/>
      <c r="B4" s="555" t="s">
        <v>382</v>
      </c>
      <c r="C4" s="555" t="s">
        <v>383</v>
      </c>
      <c r="D4" s="555" t="s">
        <v>384</v>
      </c>
      <c r="E4" s="555" t="s">
        <v>385</v>
      </c>
      <c r="F4" s="555" t="s">
        <v>386</v>
      </c>
      <c r="G4" s="555" t="s">
        <v>387</v>
      </c>
      <c r="H4" s="555" t="s">
        <v>388</v>
      </c>
      <c r="I4" s="555" t="s">
        <v>389</v>
      </c>
      <c r="J4" s="556" t="s">
        <v>503</v>
      </c>
      <c r="K4" s="555" t="s">
        <v>62</v>
      </c>
      <c r="L4" s="43"/>
      <c r="M4" s="43"/>
      <c r="N4" s="34" t="s">
        <v>63</v>
      </c>
      <c r="O4" s="43" t="s">
        <v>390</v>
      </c>
      <c r="P4" s="43" t="s">
        <v>391</v>
      </c>
      <c r="Q4" s="43" t="s">
        <v>392</v>
      </c>
      <c r="R4" s="43" t="s">
        <v>393</v>
      </c>
      <c r="S4" s="43" t="s">
        <v>394</v>
      </c>
      <c r="T4" s="43" t="s">
        <v>395</v>
      </c>
      <c r="U4" s="43" t="s">
        <v>396</v>
      </c>
      <c r="V4" s="43" t="s">
        <v>397</v>
      </c>
      <c r="W4" s="43" t="s">
        <v>398</v>
      </c>
      <c r="X4" s="43" t="s">
        <v>399</v>
      </c>
      <c r="Y4" s="43" t="s">
        <v>400</v>
      </c>
      <c r="Z4" s="43" t="s">
        <v>401</v>
      </c>
      <c r="AA4" s="43" t="s">
        <v>402</v>
      </c>
      <c r="AB4" s="43" t="s">
        <v>403</v>
      </c>
      <c r="AC4" s="43" t="s">
        <v>404</v>
      </c>
      <c r="AD4" s="43" t="s">
        <v>405</v>
      </c>
      <c r="AE4" s="43" t="s">
        <v>406</v>
      </c>
      <c r="AF4" s="43" t="s">
        <v>407</v>
      </c>
      <c r="AG4" s="43" t="s">
        <v>504</v>
      </c>
      <c r="AH4" s="43" t="s">
        <v>505</v>
      </c>
      <c r="AI4" s="43"/>
      <c r="AJ4" s="43"/>
      <c r="AK4" s="43" t="s">
        <v>527</v>
      </c>
      <c r="AL4" s="43" t="s">
        <v>528</v>
      </c>
      <c r="AM4" s="43" t="s">
        <v>529</v>
      </c>
      <c r="AN4" s="43" t="s">
        <v>530</v>
      </c>
      <c r="AO4" s="43" t="s">
        <v>531</v>
      </c>
      <c r="AP4" s="43" t="s">
        <v>532</v>
      </c>
      <c r="AQ4" s="43" t="s">
        <v>533</v>
      </c>
      <c r="AR4" s="43" t="s">
        <v>534</v>
      </c>
      <c r="AS4" s="43" t="s">
        <v>535</v>
      </c>
      <c r="AT4" s="43"/>
    </row>
    <row r="5" spans="1:46" s="22" customFormat="1" x14ac:dyDescent="0.15">
      <c r="A5" s="703" t="s">
        <v>382</v>
      </c>
      <c r="B5" s="557">
        <f>SUM(AK5:AK7)</f>
        <v>898</v>
      </c>
      <c r="C5" s="557">
        <f t="shared" ref="C5:J5" si="0">SUM(AL5:AL7)</f>
        <v>63</v>
      </c>
      <c r="D5" s="557">
        <f t="shared" si="0"/>
        <v>35</v>
      </c>
      <c r="E5" s="557">
        <f t="shared" si="0"/>
        <v>8</v>
      </c>
      <c r="F5" s="557">
        <f t="shared" si="0"/>
        <v>13</v>
      </c>
      <c r="G5" s="557">
        <f t="shared" si="0"/>
        <v>5</v>
      </c>
      <c r="H5" s="557">
        <f t="shared" si="0"/>
        <v>439</v>
      </c>
      <c r="I5" s="557">
        <f t="shared" si="0"/>
        <v>7</v>
      </c>
      <c r="J5" s="557">
        <f t="shared" si="0"/>
        <v>317</v>
      </c>
      <c r="K5" s="558">
        <f>SUM(B5:J5)</f>
        <v>1785</v>
      </c>
      <c r="L5" s="407"/>
      <c r="M5" s="559"/>
      <c r="N5" s="559" t="s">
        <v>390</v>
      </c>
      <c r="O5" s="23">
        <v>194</v>
      </c>
      <c r="P5" s="23">
        <v>47</v>
      </c>
      <c r="Q5" s="23">
        <v>53</v>
      </c>
      <c r="R5" s="23">
        <v>15</v>
      </c>
      <c r="S5" s="23">
        <v>6</v>
      </c>
      <c r="T5" s="23">
        <v>2</v>
      </c>
      <c r="U5" s="23">
        <v>1</v>
      </c>
      <c r="V5" s="23">
        <v>4</v>
      </c>
      <c r="W5" s="23"/>
      <c r="X5" s="23">
        <v>1</v>
      </c>
      <c r="Y5" s="23">
        <v>1</v>
      </c>
      <c r="Z5" s="23">
        <v>1</v>
      </c>
      <c r="AA5" s="23">
        <v>1</v>
      </c>
      <c r="AB5" s="23"/>
      <c r="AC5" s="23"/>
      <c r="AD5" s="23">
        <v>4</v>
      </c>
      <c r="AE5" s="23">
        <v>72</v>
      </c>
      <c r="AF5" s="23">
        <v>2</v>
      </c>
      <c r="AG5" s="23">
        <v>126</v>
      </c>
      <c r="AH5" s="23">
        <v>7</v>
      </c>
      <c r="AI5" s="407"/>
      <c r="AJ5" s="559" t="s">
        <v>390</v>
      </c>
      <c r="AK5" s="560">
        <f>SUM(O5:Q5)</f>
        <v>294</v>
      </c>
      <c r="AL5" s="407">
        <f>SUM(R5:S5)</f>
        <v>21</v>
      </c>
      <c r="AM5" s="407">
        <f>SUM(T5:W5)</f>
        <v>7</v>
      </c>
      <c r="AN5" s="407">
        <f>SUM(X5:Y5)</f>
        <v>2</v>
      </c>
      <c r="AO5" s="407">
        <f>SUM(Z5:AA5)</f>
        <v>2</v>
      </c>
      <c r="AP5" s="407">
        <f>SUM(AB5:AD5)</f>
        <v>4</v>
      </c>
      <c r="AQ5" s="407">
        <f>AE5</f>
        <v>72</v>
      </c>
      <c r="AR5" s="407">
        <f>AF5</f>
        <v>2</v>
      </c>
      <c r="AS5" s="407">
        <f>SUM(AG5:AH5)</f>
        <v>133</v>
      </c>
      <c r="AT5" s="407"/>
    </row>
    <row r="6" spans="1:46" s="22" customFormat="1" x14ac:dyDescent="0.15">
      <c r="A6" s="719"/>
      <c r="B6" s="561">
        <f>B5/B$21</f>
        <v>0.71667996807661616</v>
      </c>
      <c r="C6" s="561">
        <f t="shared" ref="C6:K6" si="1">C5/C$21</f>
        <v>4.7261815453863466E-2</v>
      </c>
      <c r="D6" s="561">
        <f t="shared" si="1"/>
        <v>2.6697177726926011E-2</v>
      </c>
      <c r="E6" s="561">
        <f t="shared" si="1"/>
        <v>6.5093572009764034E-3</v>
      </c>
      <c r="F6" s="561">
        <f t="shared" si="1"/>
        <v>1.2138188608776844E-2</v>
      </c>
      <c r="G6" s="561">
        <f t="shared" si="1"/>
        <v>1.5432098765432098E-3</v>
      </c>
      <c r="H6" s="561">
        <f t="shared" si="1"/>
        <v>0.13270858524788393</v>
      </c>
      <c r="I6" s="561">
        <f t="shared" si="1"/>
        <v>4.5721750489875895E-3</v>
      </c>
      <c r="J6" s="561">
        <f t="shared" si="1"/>
        <v>0.22987672226250908</v>
      </c>
      <c r="K6" s="561">
        <f t="shared" si="1"/>
        <v>0.11402107952730757</v>
      </c>
      <c r="L6" s="407"/>
      <c r="M6" s="559"/>
      <c r="N6" s="559" t="s">
        <v>391</v>
      </c>
      <c r="O6" s="23">
        <v>55</v>
      </c>
      <c r="P6" s="23">
        <v>298</v>
      </c>
      <c r="Q6" s="23">
        <v>83</v>
      </c>
      <c r="R6" s="23">
        <v>19</v>
      </c>
      <c r="S6" s="23">
        <v>9</v>
      </c>
      <c r="T6" s="23">
        <v>5</v>
      </c>
      <c r="U6" s="23">
        <v>2</v>
      </c>
      <c r="V6" s="23">
        <v>12</v>
      </c>
      <c r="W6" s="23">
        <v>1</v>
      </c>
      <c r="X6" s="23">
        <v>4</v>
      </c>
      <c r="Y6" s="23"/>
      <c r="Z6" s="23">
        <v>2</v>
      </c>
      <c r="AA6" s="23">
        <v>6</v>
      </c>
      <c r="AB6" s="23"/>
      <c r="AC6" s="23"/>
      <c r="AD6" s="23"/>
      <c r="AE6" s="23">
        <v>286</v>
      </c>
      <c r="AF6" s="23">
        <v>2</v>
      </c>
      <c r="AG6" s="23">
        <v>128</v>
      </c>
      <c r="AH6" s="23">
        <v>2</v>
      </c>
      <c r="AI6" s="407"/>
      <c r="AJ6" s="559" t="s">
        <v>391</v>
      </c>
      <c r="AK6" s="559">
        <f t="shared" ref="AK6:AK22" si="2">SUM(O6:Q6)</f>
        <v>436</v>
      </c>
      <c r="AL6" s="407">
        <f t="shared" ref="AL6:AL22" si="3">SUM(R6:S6)</f>
        <v>28</v>
      </c>
      <c r="AM6" s="407">
        <f t="shared" ref="AM6:AM22" si="4">SUM(T6:W6)</f>
        <v>20</v>
      </c>
      <c r="AN6" s="407">
        <f t="shared" ref="AN6:AN22" si="5">SUM(X6:Y6)</f>
        <v>4</v>
      </c>
      <c r="AO6" s="407">
        <f t="shared" ref="AO6:AO22" si="6">SUM(Z6:AA6)</f>
        <v>8</v>
      </c>
      <c r="AP6" s="407">
        <f t="shared" ref="AP6:AP22" si="7">SUM(AB6:AD6)</f>
        <v>0</v>
      </c>
      <c r="AQ6" s="407">
        <f t="shared" ref="AQ6:AR22" si="8">AE6</f>
        <v>286</v>
      </c>
      <c r="AR6" s="407">
        <f t="shared" si="8"/>
        <v>2</v>
      </c>
      <c r="AS6" s="407">
        <f t="shared" ref="AS6:AS22" si="9">SUM(AG6:AH6)</f>
        <v>130</v>
      </c>
      <c r="AT6" s="407"/>
    </row>
    <row r="7" spans="1:46" s="22" customFormat="1" x14ac:dyDescent="0.15">
      <c r="A7" s="703" t="s">
        <v>383</v>
      </c>
      <c r="B7" s="557">
        <f>SUM(AK8:AK9)</f>
        <v>222</v>
      </c>
      <c r="C7" s="557">
        <f t="shared" ref="C7:J7" si="10">SUM(AL8:AL9)</f>
        <v>1175</v>
      </c>
      <c r="D7" s="557">
        <f t="shared" si="10"/>
        <v>130</v>
      </c>
      <c r="E7" s="557">
        <f t="shared" si="10"/>
        <v>26</v>
      </c>
      <c r="F7" s="557">
        <f t="shared" si="10"/>
        <v>6</v>
      </c>
      <c r="G7" s="557">
        <f t="shared" si="10"/>
        <v>6</v>
      </c>
      <c r="H7" s="557">
        <f t="shared" si="10"/>
        <v>260</v>
      </c>
      <c r="I7" s="557">
        <f t="shared" si="10"/>
        <v>9</v>
      </c>
      <c r="J7" s="557">
        <f t="shared" si="10"/>
        <v>199</v>
      </c>
      <c r="K7" s="558">
        <f>SUM(B7:J7)</f>
        <v>2033</v>
      </c>
      <c r="L7" s="407"/>
      <c r="M7" s="559"/>
      <c r="N7" s="559" t="s">
        <v>392</v>
      </c>
      <c r="O7" s="23">
        <v>13</v>
      </c>
      <c r="P7" s="23">
        <v>27</v>
      </c>
      <c r="Q7" s="23">
        <v>128</v>
      </c>
      <c r="R7" s="23">
        <v>13</v>
      </c>
      <c r="S7" s="23">
        <v>1</v>
      </c>
      <c r="T7" s="23">
        <v>2</v>
      </c>
      <c r="U7" s="23">
        <v>4</v>
      </c>
      <c r="V7" s="23">
        <v>2</v>
      </c>
      <c r="W7" s="23"/>
      <c r="X7" s="23">
        <v>1</v>
      </c>
      <c r="Y7" s="23">
        <v>1</v>
      </c>
      <c r="Z7" s="23">
        <v>1</v>
      </c>
      <c r="AA7" s="23">
        <v>2</v>
      </c>
      <c r="AB7" s="23"/>
      <c r="AC7" s="23">
        <v>1</v>
      </c>
      <c r="AD7" s="23"/>
      <c r="AE7" s="23">
        <v>81</v>
      </c>
      <c r="AF7" s="23">
        <v>3</v>
      </c>
      <c r="AG7" s="23">
        <v>53</v>
      </c>
      <c r="AH7" s="23">
        <v>1</v>
      </c>
      <c r="AI7" s="407"/>
      <c r="AJ7" s="559" t="s">
        <v>392</v>
      </c>
      <c r="AK7" s="559">
        <f t="shared" si="2"/>
        <v>168</v>
      </c>
      <c r="AL7" s="407">
        <f t="shared" si="3"/>
        <v>14</v>
      </c>
      <c r="AM7" s="407">
        <f t="shared" si="4"/>
        <v>8</v>
      </c>
      <c r="AN7" s="407">
        <f t="shared" si="5"/>
        <v>2</v>
      </c>
      <c r="AO7" s="407">
        <f t="shared" si="6"/>
        <v>3</v>
      </c>
      <c r="AP7" s="407">
        <f t="shared" si="7"/>
        <v>1</v>
      </c>
      <c r="AQ7" s="407">
        <f t="shared" si="8"/>
        <v>81</v>
      </c>
      <c r="AR7" s="407">
        <f t="shared" si="8"/>
        <v>3</v>
      </c>
      <c r="AS7" s="407">
        <f t="shared" si="9"/>
        <v>54</v>
      </c>
      <c r="AT7" s="407"/>
    </row>
    <row r="8" spans="1:46" s="22" customFormat="1" x14ac:dyDescent="0.15">
      <c r="A8" s="719"/>
      <c r="B8" s="561">
        <f>B7/B$21</f>
        <v>0.17717478052673583</v>
      </c>
      <c r="C8" s="561">
        <f t="shared" ref="C8:K8" si="11">C7/C$21</f>
        <v>0.88147036759189801</v>
      </c>
      <c r="D8" s="561">
        <f t="shared" si="11"/>
        <v>9.916094584286804E-2</v>
      </c>
      <c r="E8" s="561">
        <f t="shared" si="11"/>
        <v>2.115541090317331E-2</v>
      </c>
      <c r="F8" s="561">
        <f t="shared" si="11"/>
        <v>5.6022408963585435E-3</v>
      </c>
      <c r="G8" s="561">
        <f t="shared" si="11"/>
        <v>1.8518518518518519E-3</v>
      </c>
      <c r="H8" s="561">
        <f t="shared" si="11"/>
        <v>7.8597339782345829E-2</v>
      </c>
      <c r="I8" s="561">
        <f t="shared" si="11"/>
        <v>5.8785107772697581E-3</v>
      </c>
      <c r="J8" s="561">
        <f t="shared" si="11"/>
        <v>0.14430746918056564</v>
      </c>
      <c r="K8" s="561">
        <f t="shared" si="11"/>
        <v>0.12986266368572341</v>
      </c>
      <c r="L8" s="407"/>
      <c r="M8" s="559"/>
      <c r="N8" s="559" t="s">
        <v>393</v>
      </c>
      <c r="O8" s="23">
        <v>40</v>
      </c>
      <c r="P8" s="23">
        <v>35</v>
      </c>
      <c r="Q8" s="23">
        <v>82</v>
      </c>
      <c r="R8" s="23">
        <v>499</v>
      </c>
      <c r="S8" s="23">
        <v>256</v>
      </c>
      <c r="T8" s="23">
        <v>37</v>
      </c>
      <c r="U8" s="23">
        <v>12</v>
      </c>
      <c r="V8" s="23">
        <v>25</v>
      </c>
      <c r="W8" s="23">
        <v>14</v>
      </c>
      <c r="X8" s="23">
        <v>10</v>
      </c>
      <c r="Y8" s="23">
        <v>7</v>
      </c>
      <c r="Z8" s="23">
        <v>1</v>
      </c>
      <c r="AA8" s="23">
        <v>3</v>
      </c>
      <c r="AB8" s="23">
        <v>2</v>
      </c>
      <c r="AC8" s="23">
        <v>1</v>
      </c>
      <c r="AD8" s="23">
        <v>1</v>
      </c>
      <c r="AE8" s="23">
        <v>185</v>
      </c>
      <c r="AF8" s="23">
        <v>7</v>
      </c>
      <c r="AG8" s="23">
        <v>129</v>
      </c>
      <c r="AH8" s="23">
        <v>1</v>
      </c>
      <c r="AI8" s="407"/>
      <c r="AJ8" s="559" t="s">
        <v>393</v>
      </c>
      <c r="AK8" s="559">
        <f t="shared" si="2"/>
        <v>157</v>
      </c>
      <c r="AL8" s="407">
        <f t="shared" si="3"/>
        <v>755</v>
      </c>
      <c r="AM8" s="407">
        <f t="shared" si="4"/>
        <v>88</v>
      </c>
      <c r="AN8" s="407">
        <f t="shared" si="5"/>
        <v>17</v>
      </c>
      <c r="AO8" s="407">
        <f t="shared" si="6"/>
        <v>4</v>
      </c>
      <c r="AP8" s="407">
        <f t="shared" si="7"/>
        <v>4</v>
      </c>
      <c r="AQ8" s="407">
        <f t="shared" si="8"/>
        <v>185</v>
      </c>
      <c r="AR8" s="407">
        <f t="shared" si="8"/>
        <v>7</v>
      </c>
      <c r="AS8" s="407">
        <f t="shared" si="9"/>
        <v>130</v>
      </c>
      <c r="AT8" s="407"/>
    </row>
    <row r="9" spans="1:46" s="22" customFormat="1" x14ac:dyDescent="0.15">
      <c r="A9" s="703" t="s">
        <v>384</v>
      </c>
      <c r="B9" s="557">
        <f>SUM(AK10:AK13)</f>
        <v>40</v>
      </c>
      <c r="C9" s="557">
        <f t="shared" ref="C9:J9" si="12">SUM(AL10:AL13)</f>
        <v>46</v>
      </c>
      <c r="D9" s="557">
        <f t="shared" si="12"/>
        <v>928</v>
      </c>
      <c r="E9" s="557">
        <f t="shared" si="12"/>
        <v>51</v>
      </c>
      <c r="F9" s="557">
        <f t="shared" si="12"/>
        <v>11</v>
      </c>
      <c r="G9" s="557">
        <f t="shared" si="12"/>
        <v>12</v>
      </c>
      <c r="H9" s="557">
        <f t="shared" si="12"/>
        <v>184</v>
      </c>
      <c r="I9" s="557">
        <f t="shared" si="12"/>
        <v>9</v>
      </c>
      <c r="J9" s="557">
        <f t="shared" si="12"/>
        <v>153</v>
      </c>
      <c r="K9" s="558">
        <f>SUM(B9:J9)</f>
        <v>1434</v>
      </c>
      <c r="L9" s="407"/>
      <c r="M9" s="559"/>
      <c r="N9" s="559" t="s">
        <v>394</v>
      </c>
      <c r="O9" s="23">
        <v>14</v>
      </c>
      <c r="P9" s="23">
        <v>13</v>
      </c>
      <c r="Q9" s="23">
        <v>38</v>
      </c>
      <c r="R9" s="23">
        <v>110</v>
      </c>
      <c r="S9" s="23">
        <v>310</v>
      </c>
      <c r="T9" s="23">
        <v>18</v>
      </c>
      <c r="U9" s="23">
        <v>7</v>
      </c>
      <c r="V9" s="23">
        <v>10</v>
      </c>
      <c r="W9" s="23">
        <v>7</v>
      </c>
      <c r="X9" s="23">
        <v>7</v>
      </c>
      <c r="Y9" s="23">
        <v>2</v>
      </c>
      <c r="Z9" s="23">
        <v>2</v>
      </c>
      <c r="AA9" s="23"/>
      <c r="AB9" s="23">
        <v>1</v>
      </c>
      <c r="AC9" s="23"/>
      <c r="AD9" s="23">
        <v>1</v>
      </c>
      <c r="AE9" s="23">
        <v>75</v>
      </c>
      <c r="AF9" s="23">
        <v>2</v>
      </c>
      <c r="AG9" s="23">
        <v>69</v>
      </c>
      <c r="AH9" s="23"/>
      <c r="AI9" s="407"/>
      <c r="AJ9" s="559" t="s">
        <v>394</v>
      </c>
      <c r="AK9" s="559">
        <f t="shared" si="2"/>
        <v>65</v>
      </c>
      <c r="AL9" s="407">
        <f t="shared" si="3"/>
        <v>420</v>
      </c>
      <c r="AM9" s="407">
        <f t="shared" si="4"/>
        <v>42</v>
      </c>
      <c r="AN9" s="407">
        <f t="shared" si="5"/>
        <v>9</v>
      </c>
      <c r="AO9" s="407">
        <f t="shared" si="6"/>
        <v>2</v>
      </c>
      <c r="AP9" s="407">
        <f t="shared" si="7"/>
        <v>2</v>
      </c>
      <c r="AQ9" s="407">
        <f t="shared" si="8"/>
        <v>75</v>
      </c>
      <c r="AR9" s="407">
        <f t="shared" si="8"/>
        <v>2</v>
      </c>
      <c r="AS9" s="407">
        <f t="shared" si="9"/>
        <v>69</v>
      </c>
      <c r="AT9" s="407"/>
    </row>
    <row r="10" spans="1:46" s="22" customFormat="1" x14ac:dyDescent="0.15">
      <c r="A10" s="719"/>
      <c r="B10" s="561">
        <f>B9/B$21</f>
        <v>3.192338387869114E-2</v>
      </c>
      <c r="C10" s="561">
        <f t="shared" ref="C10:K10" si="13">C9/C$21</f>
        <v>3.45086271567892E-2</v>
      </c>
      <c r="D10" s="561">
        <f t="shared" si="13"/>
        <v>0.70785659801678114</v>
      </c>
      <c r="E10" s="561">
        <f t="shared" si="13"/>
        <v>4.149715215622457E-2</v>
      </c>
      <c r="F10" s="561">
        <f t="shared" si="13"/>
        <v>1.027077497665733E-2</v>
      </c>
      <c r="G10" s="561">
        <f t="shared" si="13"/>
        <v>3.7037037037037038E-3</v>
      </c>
      <c r="H10" s="561">
        <f t="shared" si="13"/>
        <v>5.5622732769044739E-2</v>
      </c>
      <c r="I10" s="561">
        <f t="shared" si="13"/>
        <v>5.8785107772697581E-3</v>
      </c>
      <c r="J10" s="561">
        <f t="shared" si="13"/>
        <v>0.11094996374184192</v>
      </c>
      <c r="K10" s="561">
        <f t="shared" si="13"/>
        <v>9.160012775471095E-2</v>
      </c>
      <c r="L10" s="407"/>
      <c r="M10" s="559"/>
      <c r="N10" s="559" t="s">
        <v>395</v>
      </c>
      <c r="O10" s="23">
        <v>6</v>
      </c>
      <c r="P10" s="23">
        <v>16</v>
      </c>
      <c r="Q10" s="23">
        <v>11</v>
      </c>
      <c r="R10" s="23">
        <v>18</v>
      </c>
      <c r="S10" s="23">
        <v>18</v>
      </c>
      <c r="T10" s="23">
        <v>302</v>
      </c>
      <c r="U10" s="23">
        <v>64</v>
      </c>
      <c r="V10" s="23">
        <v>55</v>
      </c>
      <c r="W10" s="23">
        <v>54</v>
      </c>
      <c r="X10" s="23">
        <v>21</v>
      </c>
      <c r="Y10" s="23">
        <v>7</v>
      </c>
      <c r="Z10" s="23">
        <v>2</v>
      </c>
      <c r="AA10" s="23">
        <v>5</v>
      </c>
      <c r="AB10" s="23">
        <v>3</v>
      </c>
      <c r="AC10" s="23">
        <v>3</v>
      </c>
      <c r="AD10" s="23">
        <v>3</v>
      </c>
      <c r="AE10" s="23">
        <v>81</v>
      </c>
      <c r="AF10" s="23">
        <v>8</v>
      </c>
      <c r="AG10" s="23">
        <v>87</v>
      </c>
      <c r="AH10" s="23">
        <v>3</v>
      </c>
      <c r="AI10" s="407"/>
      <c r="AJ10" s="559" t="s">
        <v>395</v>
      </c>
      <c r="AK10" s="559">
        <f t="shared" si="2"/>
        <v>33</v>
      </c>
      <c r="AL10" s="407">
        <f t="shared" si="3"/>
        <v>36</v>
      </c>
      <c r="AM10" s="407">
        <f t="shared" si="4"/>
        <v>475</v>
      </c>
      <c r="AN10" s="407">
        <f t="shared" si="5"/>
        <v>28</v>
      </c>
      <c r="AO10" s="407">
        <f t="shared" si="6"/>
        <v>7</v>
      </c>
      <c r="AP10" s="407">
        <f t="shared" si="7"/>
        <v>9</v>
      </c>
      <c r="AQ10" s="407">
        <f t="shared" si="8"/>
        <v>81</v>
      </c>
      <c r="AR10" s="407">
        <f t="shared" si="8"/>
        <v>8</v>
      </c>
      <c r="AS10" s="407">
        <f t="shared" si="9"/>
        <v>90</v>
      </c>
      <c r="AT10" s="407"/>
    </row>
    <row r="11" spans="1:46" s="22" customFormat="1" x14ac:dyDescent="0.15">
      <c r="A11" s="703" t="s">
        <v>385</v>
      </c>
      <c r="B11" s="557">
        <f>SUM(AK14:AK15)</f>
        <v>14</v>
      </c>
      <c r="C11" s="557">
        <f t="shared" ref="C11:J11" si="14">SUM(AL14:AL15)</f>
        <v>6</v>
      </c>
      <c r="D11" s="557">
        <f t="shared" si="14"/>
        <v>53</v>
      </c>
      <c r="E11" s="557">
        <f t="shared" si="14"/>
        <v>834</v>
      </c>
      <c r="F11" s="557">
        <f t="shared" si="14"/>
        <v>36</v>
      </c>
      <c r="G11" s="557">
        <f t="shared" si="14"/>
        <v>5</v>
      </c>
      <c r="H11" s="557">
        <f t="shared" si="14"/>
        <v>357</v>
      </c>
      <c r="I11" s="557">
        <f t="shared" si="14"/>
        <v>15</v>
      </c>
      <c r="J11" s="557">
        <f t="shared" si="14"/>
        <v>48</v>
      </c>
      <c r="K11" s="558">
        <f>SUM(B11:J11)</f>
        <v>1368</v>
      </c>
      <c r="L11" s="407"/>
      <c r="M11" s="559"/>
      <c r="N11" s="559" t="s">
        <v>396</v>
      </c>
      <c r="O11" s="23">
        <v>2</v>
      </c>
      <c r="P11" s="23"/>
      <c r="Q11" s="23">
        <v>1</v>
      </c>
      <c r="R11" s="23">
        <v>2</v>
      </c>
      <c r="S11" s="23"/>
      <c r="T11" s="23">
        <v>15</v>
      </c>
      <c r="U11" s="23">
        <v>91</v>
      </c>
      <c r="V11" s="23">
        <v>39</v>
      </c>
      <c r="W11" s="23">
        <v>34</v>
      </c>
      <c r="X11" s="23">
        <v>7</v>
      </c>
      <c r="Y11" s="23">
        <v>2</v>
      </c>
      <c r="Z11" s="23"/>
      <c r="AA11" s="23">
        <v>2</v>
      </c>
      <c r="AB11" s="23"/>
      <c r="AC11" s="23">
        <v>2</v>
      </c>
      <c r="AD11" s="23">
        <v>1</v>
      </c>
      <c r="AE11" s="23">
        <v>21</v>
      </c>
      <c r="AF11" s="23"/>
      <c r="AG11" s="23">
        <v>9</v>
      </c>
      <c r="AH11" s="23">
        <v>1</v>
      </c>
      <c r="AI11" s="407"/>
      <c r="AJ11" s="559" t="s">
        <v>396</v>
      </c>
      <c r="AK11" s="559">
        <f t="shared" si="2"/>
        <v>3</v>
      </c>
      <c r="AL11" s="407">
        <f t="shared" si="3"/>
        <v>2</v>
      </c>
      <c r="AM11" s="407">
        <f t="shared" si="4"/>
        <v>179</v>
      </c>
      <c r="AN11" s="407">
        <f t="shared" si="5"/>
        <v>9</v>
      </c>
      <c r="AO11" s="407">
        <f t="shared" si="6"/>
        <v>2</v>
      </c>
      <c r="AP11" s="407">
        <f t="shared" si="7"/>
        <v>3</v>
      </c>
      <c r="AQ11" s="407">
        <f t="shared" si="8"/>
        <v>21</v>
      </c>
      <c r="AR11" s="407">
        <f t="shared" si="8"/>
        <v>0</v>
      </c>
      <c r="AS11" s="407">
        <f t="shared" si="9"/>
        <v>10</v>
      </c>
      <c r="AT11" s="407"/>
    </row>
    <row r="12" spans="1:46" s="22" customFormat="1" x14ac:dyDescent="0.15">
      <c r="A12" s="719"/>
      <c r="B12" s="561">
        <f>B11/B$21</f>
        <v>1.11731843575419E-2</v>
      </c>
      <c r="C12" s="561">
        <f t="shared" ref="C12:K12" si="15">C11/C$21</f>
        <v>4.5011252813203298E-3</v>
      </c>
      <c r="D12" s="561">
        <f t="shared" si="15"/>
        <v>4.0427154843630818E-2</v>
      </c>
      <c r="E12" s="561">
        <f t="shared" si="15"/>
        <v>0.67860048820179009</v>
      </c>
      <c r="F12" s="561">
        <f t="shared" si="15"/>
        <v>3.3613445378151259E-2</v>
      </c>
      <c r="G12" s="561">
        <f t="shared" si="15"/>
        <v>1.5432098765432098E-3</v>
      </c>
      <c r="H12" s="561">
        <f t="shared" si="15"/>
        <v>0.10792019347037485</v>
      </c>
      <c r="I12" s="561">
        <f t="shared" si="15"/>
        <v>9.7975179621162638E-3</v>
      </c>
      <c r="J12" s="561">
        <f t="shared" si="15"/>
        <v>3.4807831762146482E-2</v>
      </c>
      <c r="K12" s="561">
        <f t="shared" si="15"/>
        <v>8.7384222293197061E-2</v>
      </c>
      <c r="L12" s="407"/>
      <c r="M12" s="559"/>
      <c r="N12" s="559" t="s">
        <v>397</v>
      </c>
      <c r="O12" s="23">
        <v>1</v>
      </c>
      <c r="P12" s="23">
        <v>1</v>
      </c>
      <c r="Q12" s="23">
        <v>2</v>
      </c>
      <c r="R12" s="23">
        <v>3</v>
      </c>
      <c r="S12" s="23">
        <v>1</v>
      </c>
      <c r="T12" s="23">
        <v>7</v>
      </c>
      <c r="U12" s="23">
        <v>9</v>
      </c>
      <c r="V12" s="23">
        <v>133</v>
      </c>
      <c r="W12" s="23">
        <v>3</v>
      </c>
      <c r="X12" s="23">
        <v>3</v>
      </c>
      <c r="Y12" s="23"/>
      <c r="Z12" s="23">
        <v>2</v>
      </c>
      <c r="AA12" s="23"/>
      <c r="AB12" s="23"/>
      <c r="AC12" s="23"/>
      <c r="AD12" s="23"/>
      <c r="AE12" s="23">
        <v>70</v>
      </c>
      <c r="AF12" s="23">
        <v>1</v>
      </c>
      <c r="AG12" s="23">
        <v>8</v>
      </c>
      <c r="AH12" s="23"/>
      <c r="AI12" s="407"/>
      <c r="AJ12" s="559" t="s">
        <v>397</v>
      </c>
      <c r="AK12" s="559">
        <f t="shared" si="2"/>
        <v>4</v>
      </c>
      <c r="AL12" s="407">
        <f t="shared" si="3"/>
        <v>4</v>
      </c>
      <c r="AM12" s="407">
        <f t="shared" si="4"/>
        <v>152</v>
      </c>
      <c r="AN12" s="407">
        <f t="shared" si="5"/>
        <v>3</v>
      </c>
      <c r="AO12" s="407">
        <f t="shared" si="6"/>
        <v>2</v>
      </c>
      <c r="AP12" s="407">
        <f t="shared" si="7"/>
        <v>0</v>
      </c>
      <c r="AQ12" s="407">
        <f t="shared" si="8"/>
        <v>70</v>
      </c>
      <c r="AR12" s="407">
        <f t="shared" si="8"/>
        <v>1</v>
      </c>
      <c r="AS12" s="407">
        <f t="shared" si="9"/>
        <v>8</v>
      </c>
      <c r="AT12" s="407"/>
    </row>
    <row r="13" spans="1:46" s="22" customFormat="1" x14ac:dyDescent="0.15">
      <c r="A13" s="703" t="s">
        <v>386</v>
      </c>
      <c r="B13" s="557">
        <f>SUM(AK16:AK17)</f>
        <v>11</v>
      </c>
      <c r="C13" s="557">
        <f t="shared" ref="C13:J13" si="16">SUM(AL16:AL17)</f>
        <v>5</v>
      </c>
      <c r="D13" s="557">
        <f t="shared" si="16"/>
        <v>17</v>
      </c>
      <c r="E13" s="557">
        <f t="shared" si="16"/>
        <v>58</v>
      </c>
      <c r="F13" s="557">
        <f t="shared" si="16"/>
        <v>627</v>
      </c>
      <c r="G13" s="557">
        <f t="shared" si="16"/>
        <v>30</v>
      </c>
      <c r="H13" s="557">
        <f t="shared" si="16"/>
        <v>324</v>
      </c>
      <c r="I13" s="557">
        <f t="shared" si="16"/>
        <v>145</v>
      </c>
      <c r="J13" s="557">
        <f t="shared" si="16"/>
        <v>83</v>
      </c>
      <c r="K13" s="558">
        <f>SUM(B13:J13)</f>
        <v>1300</v>
      </c>
      <c r="L13" s="407"/>
      <c r="M13" s="559"/>
      <c r="N13" s="559" t="s">
        <v>398</v>
      </c>
      <c r="O13" s="23"/>
      <c r="P13" s="23"/>
      <c r="Q13" s="23"/>
      <c r="R13" s="23">
        <v>3</v>
      </c>
      <c r="S13" s="23">
        <v>1</v>
      </c>
      <c r="T13" s="23">
        <v>8</v>
      </c>
      <c r="U13" s="23">
        <v>11</v>
      </c>
      <c r="V13" s="23">
        <v>5</v>
      </c>
      <c r="W13" s="23">
        <v>98</v>
      </c>
      <c r="X13" s="23">
        <v>11</v>
      </c>
      <c r="Y13" s="23"/>
      <c r="Z13" s="23"/>
      <c r="AA13" s="23"/>
      <c r="AB13" s="23"/>
      <c r="AC13" s="23"/>
      <c r="AD13" s="23"/>
      <c r="AE13" s="23">
        <v>12</v>
      </c>
      <c r="AF13" s="23"/>
      <c r="AG13" s="23">
        <v>45</v>
      </c>
      <c r="AH13" s="23"/>
      <c r="AI13" s="407"/>
      <c r="AJ13" s="559" t="s">
        <v>398</v>
      </c>
      <c r="AK13" s="559">
        <f t="shared" si="2"/>
        <v>0</v>
      </c>
      <c r="AL13" s="407">
        <f t="shared" si="3"/>
        <v>4</v>
      </c>
      <c r="AM13" s="407">
        <f t="shared" si="4"/>
        <v>122</v>
      </c>
      <c r="AN13" s="407">
        <f t="shared" si="5"/>
        <v>11</v>
      </c>
      <c r="AO13" s="407">
        <f t="shared" si="6"/>
        <v>0</v>
      </c>
      <c r="AP13" s="407">
        <f t="shared" si="7"/>
        <v>0</v>
      </c>
      <c r="AQ13" s="407">
        <f t="shared" si="8"/>
        <v>12</v>
      </c>
      <c r="AR13" s="407">
        <f t="shared" si="8"/>
        <v>0</v>
      </c>
      <c r="AS13" s="407">
        <f t="shared" si="9"/>
        <v>45</v>
      </c>
      <c r="AT13" s="407"/>
    </row>
    <row r="14" spans="1:46" s="22" customFormat="1" x14ac:dyDescent="0.15">
      <c r="A14" s="719"/>
      <c r="B14" s="561">
        <f>B13/B$21</f>
        <v>8.7789305666400638E-3</v>
      </c>
      <c r="C14" s="561">
        <f t="shared" ref="C14:K14" si="17">C13/C$21</f>
        <v>3.7509377344336083E-3</v>
      </c>
      <c r="D14" s="561">
        <f t="shared" si="17"/>
        <v>1.2967200610221205E-2</v>
      </c>
      <c r="E14" s="561">
        <f t="shared" si="17"/>
        <v>4.7192839707078924E-2</v>
      </c>
      <c r="F14" s="561">
        <f t="shared" si="17"/>
        <v>0.58543417366946782</v>
      </c>
      <c r="G14" s="561">
        <f t="shared" si="17"/>
        <v>9.2592592592592587E-3</v>
      </c>
      <c r="H14" s="561">
        <f t="shared" si="17"/>
        <v>9.7944377267230959E-2</v>
      </c>
      <c r="I14" s="561">
        <f t="shared" si="17"/>
        <v>9.4709340300457218E-2</v>
      </c>
      <c r="J14" s="561">
        <f t="shared" si="17"/>
        <v>6.0188542422044959E-2</v>
      </c>
      <c r="K14" s="561">
        <f t="shared" si="17"/>
        <v>8.3040562120728204E-2</v>
      </c>
      <c r="L14" s="407"/>
      <c r="M14" s="559"/>
      <c r="N14" s="559" t="s">
        <v>399</v>
      </c>
      <c r="O14" s="23">
        <v>3</v>
      </c>
      <c r="P14" s="23">
        <v>2</v>
      </c>
      <c r="Q14" s="23">
        <v>5</v>
      </c>
      <c r="R14" s="23">
        <v>3</v>
      </c>
      <c r="S14" s="23">
        <v>1</v>
      </c>
      <c r="T14" s="23">
        <v>2</v>
      </c>
      <c r="U14" s="23">
        <v>10</v>
      </c>
      <c r="V14" s="23">
        <v>9</v>
      </c>
      <c r="W14" s="23">
        <v>16</v>
      </c>
      <c r="X14" s="23">
        <v>415</v>
      </c>
      <c r="Y14" s="23">
        <v>41</v>
      </c>
      <c r="Z14" s="23">
        <v>1</v>
      </c>
      <c r="AA14" s="23"/>
      <c r="AB14" s="23"/>
      <c r="AC14" s="23"/>
      <c r="AD14" s="23"/>
      <c r="AE14" s="23">
        <v>255</v>
      </c>
      <c r="AF14" s="23">
        <v>6</v>
      </c>
      <c r="AG14" s="23">
        <v>22</v>
      </c>
      <c r="AH14" s="23"/>
      <c r="AI14" s="407"/>
      <c r="AJ14" s="559" t="s">
        <v>399</v>
      </c>
      <c r="AK14" s="559">
        <f t="shared" si="2"/>
        <v>10</v>
      </c>
      <c r="AL14" s="407">
        <f t="shared" si="3"/>
        <v>4</v>
      </c>
      <c r="AM14" s="407">
        <f t="shared" si="4"/>
        <v>37</v>
      </c>
      <c r="AN14" s="407">
        <f t="shared" si="5"/>
        <v>456</v>
      </c>
      <c r="AO14" s="407">
        <f t="shared" si="6"/>
        <v>1</v>
      </c>
      <c r="AP14" s="407">
        <f t="shared" si="7"/>
        <v>0</v>
      </c>
      <c r="AQ14" s="407">
        <f t="shared" si="8"/>
        <v>255</v>
      </c>
      <c r="AR14" s="407">
        <f t="shared" si="8"/>
        <v>6</v>
      </c>
      <c r="AS14" s="407">
        <f t="shared" si="9"/>
        <v>22</v>
      </c>
      <c r="AT14" s="407"/>
    </row>
    <row r="15" spans="1:46" s="22" customFormat="1" x14ac:dyDescent="0.15">
      <c r="A15" s="703" t="s">
        <v>387</v>
      </c>
      <c r="B15" s="557">
        <f>SUM(AK18:AK20)</f>
        <v>40</v>
      </c>
      <c r="C15" s="557">
        <f t="shared" ref="C15:J15" si="18">SUM(AL18:AL20)</f>
        <v>29</v>
      </c>
      <c r="D15" s="557">
        <f t="shared" si="18"/>
        <v>114</v>
      </c>
      <c r="E15" s="557">
        <f t="shared" si="18"/>
        <v>185</v>
      </c>
      <c r="F15" s="557">
        <f t="shared" si="18"/>
        <v>135</v>
      </c>
      <c r="G15" s="557">
        <f t="shared" si="18"/>
        <v>3074</v>
      </c>
      <c r="H15" s="557">
        <f t="shared" si="18"/>
        <v>994</v>
      </c>
      <c r="I15" s="557">
        <f t="shared" si="18"/>
        <v>355</v>
      </c>
      <c r="J15" s="557">
        <f t="shared" si="18"/>
        <v>482</v>
      </c>
      <c r="K15" s="558">
        <f>SUM(B15:J15)</f>
        <v>5408</v>
      </c>
      <c r="L15" s="407"/>
      <c r="M15" s="559"/>
      <c r="N15" s="559" t="s">
        <v>400</v>
      </c>
      <c r="O15" s="23"/>
      <c r="P15" s="23">
        <v>1</v>
      </c>
      <c r="Q15" s="23">
        <v>3</v>
      </c>
      <c r="R15" s="23">
        <v>2</v>
      </c>
      <c r="S15" s="23"/>
      <c r="T15" s="23">
        <v>2</v>
      </c>
      <c r="U15" s="23">
        <v>1</v>
      </c>
      <c r="V15" s="23">
        <v>9</v>
      </c>
      <c r="W15" s="23">
        <v>4</v>
      </c>
      <c r="X15" s="23">
        <v>78</v>
      </c>
      <c r="Y15" s="23">
        <v>300</v>
      </c>
      <c r="Z15" s="23">
        <v>30</v>
      </c>
      <c r="AA15" s="23">
        <v>5</v>
      </c>
      <c r="AB15" s="23">
        <v>2</v>
      </c>
      <c r="AC15" s="23"/>
      <c r="AD15" s="23">
        <v>3</v>
      </c>
      <c r="AE15" s="23">
        <v>102</v>
      </c>
      <c r="AF15" s="23">
        <v>9</v>
      </c>
      <c r="AG15" s="23">
        <v>25</v>
      </c>
      <c r="AH15" s="23">
        <v>1</v>
      </c>
      <c r="AI15" s="407"/>
      <c r="AJ15" s="559" t="s">
        <v>400</v>
      </c>
      <c r="AK15" s="559">
        <f t="shared" si="2"/>
        <v>4</v>
      </c>
      <c r="AL15" s="407">
        <f t="shared" si="3"/>
        <v>2</v>
      </c>
      <c r="AM15" s="407">
        <f t="shared" si="4"/>
        <v>16</v>
      </c>
      <c r="AN15" s="407">
        <f t="shared" si="5"/>
        <v>378</v>
      </c>
      <c r="AO15" s="407">
        <f t="shared" si="6"/>
        <v>35</v>
      </c>
      <c r="AP15" s="407">
        <f t="shared" si="7"/>
        <v>5</v>
      </c>
      <c r="AQ15" s="407">
        <f t="shared" si="8"/>
        <v>102</v>
      </c>
      <c r="AR15" s="407">
        <f t="shared" si="8"/>
        <v>9</v>
      </c>
      <c r="AS15" s="407">
        <f t="shared" si="9"/>
        <v>26</v>
      </c>
      <c r="AT15" s="407"/>
    </row>
    <row r="16" spans="1:46" s="22" customFormat="1" x14ac:dyDescent="0.15">
      <c r="A16" s="719"/>
      <c r="B16" s="561">
        <f>B15/B$21</f>
        <v>3.192338387869114E-2</v>
      </c>
      <c r="C16" s="561">
        <f t="shared" ref="C16:K16" si="19">C15/C$21</f>
        <v>2.175543885971493E-2</v>
      </c>
      <c r="D16" s="561">
        <f t="shared" si="19"/>
        <v>8.6956521739130432E-2</v>
      </c>
      <c r="E16" s="561">
        <f t="shared" si="19"/>
        <v>0.15052888527257932</v>
      </c>
      <c r="F16" s="561">
        <f t="shared" si="19"/>
        <v>0.12605042016806722</v>
      </c>
      <c r="G16" s="561">
        <f t="shared" si="19"/>
        <v>0.9487654320987654</v>
      </c>
      <c r="H16" s="561">
        <f t="shared" si="19"/>
        <v>0.30048367593712211</v>
      </c>
      <c r="I16" s="561">
        <f t="shared" si="19"/>
        <v>0.2318745917700849</v>
      </c>
      <c r="J16" s="561">
        <f t="shared" si="19"/>
        <v>0.34952864394488758</v>
      </c>
      <c r="K16" s="561">
        <f t="shared" si="19"/>
        <v>0.34544873842222934</v>
      </c>
      <c r="L16" s="407"/>
      <c r="M16" s="559"/>
      <c r="N16" s="559" t="s">
        <v>401</v>
      </c>
      <c r="O16" s="23">
        <v>4</v>
      </c>
      <c r="P16" s="23"/>
      <c r="Q16" s="23"/>
      <c r="R16" s="23"/>
      <c r="S16" s="23">
        <v>1</v>
      </c>
      <c r="T16" s="23"/>
      <c r="U16" s="23"/>
      <c r="V16" s="23">
        <v>5</v>
      </c>
      <c r="W16" s="23"/>
      <c r="X16" s="23">
        <v>10</v>
      </c>
      <c r="Y16" s="23">
        <v>13</v>
      </c>
      <c r="Z16" s="23">
        <v>178</v>
      </c>
      <c r="AA16" s="23">
        <v>19</v>
      </c>
      <c r="AB16" s="23"/>
      <c r="AC16" s="23"/>
      <c r="AD16" s="23">
        <v>1</v>
      </c>
      <c r="AE16" s="23">
        <v>207</v>
      </c>
      <c r="AF16" s="23">
        <v>14</v>
      </c>
      <c r="AG16" s="23">
        <v>14</v>
      </c>
      <c r="AH16" s="23">
        <v>4</v>
      </c>
      <c r="AI16" s="407"/>
      <c r="AJ16" s="559" t="s">
        <v>401</v>
      </c>
      <c r="AK16" s="559">
        <f t="shared" si="2"/>
        <v>4</v>
      </c>
      <c r="AL16" s="407">
        <f t="shared" si="3"/>
        <v>1</v>
      </c>
      <c r="AM16" s="407">
        <f t="shared" si="4"/>
        <v>5</v>
      </c>
      <c r="AN16" s="407">
        <f t="shared" si="5"/>
        <v>23</v>
      </c>
      <c r="AO16" s="407">
        <f t="shared" si="6"/>
        <v>197</v>
      </c>
      <c r="AP16" s="407">
        <f t="shared" si="7"/>
        <v>1</v>
      </c>
      <c r="AQ16" s="407">
        <f t="shared" si="8"/>
        <v>207</v>
      </c>
      <c r="AR16" s="407">
        <f t="shared" si="8"/>
        <v>14</v>
      </c>
      <c r="AS16" s="407">
        <f t="shared" si="9"/>
        <v>18</v>
      </c>
      <c r="AT16" s="407"/>
    </row>
    <row r="17" spans="1:48" s="22" customFormat="1" x14ac:dyDescent="0.15">
      <c r="A17" s="703" t="s">
        <v>536</v>
      </c>
      <c r="B17" s="557">
        <f>AK21</f>
        <v>10</v>
      </c>
      <c r="C17" s="557">
        <f t="shared" ref="C17:J17" si="20">AL21</f>
        <v>0</v>
      </c>
      <c r="D17" s="557">
        <f t="shared" si="20"/>
        <v>9</v>
      </c>
      <c r="E17" s="557">
        <f t="shared" si="20"/>
        <v>12</v>
      </c>
      <c r="F17" s="557">
        <f t="shared" si="20"/>
        <v>10</v>
      </c>
      <c r="G17" s="557">
        <f t="shared" si="20"/>
        <v>3</v>
      </c>
      <c r="H17" s="557">
        <f t="shared" si="20"/>
        <v>128</v>
      </c>
      <c r="I17" s="557">
        <f t="shared" si="20"/>
        <v>4</v>
      </c>
      <c r="J17" s="557">
        <f t="shared" si="20"/>
        <v>14</v>
      </c>
      <c r="K17" s="558">
        <f>SUM(B17:J17)</f>
        <v>190</v>
      </c>
      <c r="L17" s="407"/>
      <c r="M17" s="559"/>
      <c r="N17" s="559" t="s">
        <v>402</v>
      </c>
      <c r="O17" s="23">
        <v>4</v>
      </c>
      <c r="P17" s="23">
        <v>1</v>
      </c>
      <c r="Q17" s="23">
        <v>2</v>
      </c>
      <c r="R17" s="23">
        <v>2</v>
      </c>
      <c r="S17" s="23">
        <v>2</v>
      </c>
      <c r="T17" s="23">
        <v>5</v>
      </c>
      <c r="U17" s="23">
        <v>3</v>
      </c>
      <c r="V17" s="23">
        <v>3</v>
      </c>
      <c r="W17" s="23">
        <v>1</v>
      </c>
      <c r="X17" s="23">
        <v>15</v>
      </c>
      <c r="Y17" s="23">
        <v>20</v>
      </c>
      <c r="Z17" s="23">
        <v>43</v>
      </c>
      <c r="AA17" s="23">
        <v>387</v>
      </c>
      <c r="AB17" s="23">
        <v>19</v>
      </c>
      <c r="AC17" s="23">
        <v>7</v>
      </c>
      <c r="AD17" s="23">
        <v>3</v>
      </c>
      <c r="AE17" s="23">
        <v>117</v>
      </c>
      <c r="AF17" s="23">
        <v>131</v>
      </c>
      <c r="AG17" s="23">
        <v>53</v>
      </c>
      <c r="AH17" s="23">
        <v>12</v>
      </c>
      <c r="AI17" s="407"/>
      <c r="AJ17" s="559" t="s">
        <v>402</v>
      </c>
      <c r="AK17" s="559">
        <f t="shared" si="2"/>
        <v>7</v>
      </c>
      <c r="AL17" s="407">
        <f t="shared" si="3"/>
        <v>4</v>
      </c>
      <c r="AM17" s="407">
        <f t="shared" si="4"/>
        <v>12</v>
      </c>
      <c r="AN17" s="407">
        <f t="shared" si="5"/>
        <v>35</v>
      </c>
      <c r="AO17" s="407">
        <f t="shared" si="6"/>
        <v>430</v>
      </c>
      <c r="AP17" s="407">
        <f t="shared" si="7"/>
        <v>29</v>
      </c>
      <c r="AQ17" s="407">
        <f t="shared" si="8"/>
        <v>117</v>
      </c>
      <c r="AR17" s="407">
        <f t="shared" si="8"/>
        <v>131</v>
      </c>
      <c r="AS17" s="407">
        <f t="shared" si="9"/>
        <v>65</v>
      </c>
      <c r="AT17" s="407"/>
    </row>
    <row r="18" spans="1:48" s="22" customFormat="1" x14ac:dyDescent="0.15">
      <c r="A18" s="719"/>
      <c r="B18" s="561">
        <f>B17/B$21</f>
        <v>7.9808459696727851E-3</v>
      </c>
      <c r="C18" s="561">
        <f t="shared" ref="C18:K18" si="21">C17/C$21</f>
        <v>0</v>
      </c>
      <c r="D18" s="561">
        <f t="shared" si="21"/>
        <v>6.8649885583524023E-3</v>
      </c>
      <c r="E18" s="561">
        <f t="shared" si="21"/>
        <v>9.7640358014646055E-3</v>
      </c>
      <c r="F18" s="561">
        <f t="shared" si="21"/>
        <v>9.3370681605975722E-3</v>
      </c>
      <c r="G18" s="561">
        <f t="shared" si="21"/>
        <v>9.2592592592592596E-4</v>
      </c>
      <c r="H18" s="561">
        <f t="shared" si="21"/>
        <v>3.8694074969770252E-2</v>
      </c>
      <c r="I18" s="561">
        <f t="shared" si="21"/>
        <v>2.6126714565643371E-3</v>
      </c>
      <c r="J18" s="561">
        <f t="shared" si="21"/>
        <v>1.015228426395939E-2</v>
      </c>
      <c r="K18" s="561">
        <f t="shared" si="21"/>
        <v>1.2136697540721815E-2</v>
      </c>
      <c r="L18" s="407"/>
      <c r="M18" s="559"/>
      <c r="N18" s="559" t="s">
        <v>403</v>
      </c>
      <c r="O18" s="23">
        <v>2</v>
      </c>
      <c r="P18" s="23">
        <v>4</v>
      </c>
      <c r="Q18" s="23">
        <v>5</v>
      </c>
      <c r="R18" s="23">
        <v>3</v>
      </c>
      <c r="S18" s="23">
        <v>2</v>
      </c>
      <c r="T18" s="23">
        <v>7</v>
      </c>
      <c r="U18" s="23">
        <v>6</v>
      </c>
      <c r="V18" s="23">
        <v>11</v>
      </c>
      <c r="W18" s="23">
        <v>13</v>
      </c>
      <c r="X18" s="23">
        <v>77</v>
      </c>
      <c r="Y18" s="23">
        <v>23</v>
      </c>
      <c r="Z18" s="23">
        <v>18</v>
      </c>
      <c r="AA18" s="23">
        <v>31</v>
      </c>
      <c r="AB18" s="23">
        <v>646</v>
      </c>
      <c r="AC18" s="23">
        <v>83</v>
      </c>
      <c r="AD18" s="23">
        <v>33</v>
      </c>
      <c r="AE18" s="23">
        <v>354</v>
      </c>
      <c r="AF18" s="23">
        <v>211</v>
      </c>
      <c r="AG18" s="23">
        <v>128</v>
      </c>
      <c r="AH18" s="23">
        <v>21</v>
      </c>
      <c r="AI18" s="407"/>
      <c r="AJ18" s="559" t="s">
        <v>403</v>
      </c>
      <c r="AK18" s="559">
        <f t="shared" si="2"/>
        <v>11</v>
      </c>
      <c r="AL18" s="407">
        <f t="shared" si="3"/>
        <v>5</v>
      </c>
      <c r="AM18" s="407">
        <f t="shared" si="4"/>
        <v>37</v>
      </c>
      <c r="AN18" s="407">
        <f t="shared" si="5"/>
        <v>100</v>
      </c>
      <c r="AO18" s="407">
        <f t="shared" si="6"/>
        <v>49</v>
      </c>
      <c r="AP18" s="407">
        <f t="shared" si="7"/>
        <v>762</v>
      </c>
      <c r="AQ18" s="407">
        <f t="shared" si="8"/>
        <v>354</v>
      </c>
      <c r="AR18" s="407">
        <f t="shared" si="8"/>
        <v>211</v>
      </c>
      <c r="AS18" s="407">
        <f t="shared" si="9"/>
        <v>149</v>
      </c>
      <c r="AT18" s="407"/>
    </row>
    <row r="19" spans="1:48" s="22" customFormat="1" x14ac:dyDescent="0.15">
      <c r="A19" s="703" t="s">
        <v>537</v>
      </c>
      <c r="B19" s="557">
        <f>AK22</f>
        <v>18</v>
      </c>
      <c r="C19" s="557">
        <f t="shared" ref="C19:J19" si="22">AL22</f>
        <v>9</v>
      </c>
      <c r="D19" s="557">
        <f t="shared" si="22"/>
        <v>25</v>
      </c>
      <c r="E19" s="557">
        <f t="shared" si="22"/>
        <v>55</v>
      </c>
      <c r="F19" s="557">
        <f t="shared" si="22"/>
        <v>233</v>
      </c>
      <c r="G19" s="557">
        <f t="shared" si="22"/>
        <v>105</v>
      </c>
      <c r="H19" s="557">
        <f t="shared" si="22"/>
        <v>622</v>
      </c>
      <c r="I19" s="557">
        <f t="shared" si="22"/>
        <v>987</v>
      </c>
      <c r="J19" s="557">
        <f t="shared" si="22"/>
        <v>83</v>
      </c>
      <c r="K19" s="558">
        <f>SUM(B19:J19)</f>
        <v>2137</v>
      </c>
      <c r="L19" s="407"/>
      <c r="M19" s="559"/>
      <c r="N19" s="559" t="s">
        <v>404</v>
      </c>
      <c r="O19" s="23">
        <v>3</v>
      </c>
      <c r="P19" s="23">
        <v>10</v>
      </c>
      <c r="Q19" s="23">
        <v>9</v>
      </c>
      <c r="R19" s="23">
        <v>8</v>
      </c>
      <c r="S19" s="23">
        <v>7</v>
      </c>
      <c r="T19" s="23">
        <v>5</v>
      </c>
      <c r="U19" s="23">
        <v>11</v>
      </c>
      <c r="V19" s="23">
        <v>10</v>
      </c>
      <c r="W19" s="23">
        <v>5</v>
      </c>
      <c r="X19" s="23">
        <v>43</v>
      </c>
      <c r="Y19" s="23">
        <v>24</v>
      </c>
      <c r="Z19" s="23">
        <v>34</v>
      </c>
      <c r="AA19" s="23">
        <v>39</v>
      </c>
      <c r="AB19" s="23">
        <v>142</v>
      </c>
      <c r="AC19" s="23">
        <v>1113</v>
      </c>
      <c r="AD19" s="23">
        <v>175</v>
      </c>
      <c r="AE19" s="23">
        <v>495</v>
      </c>
      <c r="AF19" s="23">
        <v>117</v>
      </c>
      <c r="AG19" s="23">
        <v>146</v>
      </c>
      <c r="AH19" s="23">
        <v>86</v>
      </c>
      <c r="AI19" s="407"/>
      <c r="AJ19" s="559" t="s">
        <v>404</v>
      </c>
      <c r="AK19" s="559">
        <f t="shared" si="2"/>
        <v>22</v>
      </c>
      <c r="AL19" s="407">
        <f t="shared" si="3"/>
        <v>15</v>
      </c>
      <c r="AM19" s="407">
        <f t="shared" si="4"/>
        <v>31</v>
      </c>
      <c r="AN19" s="407">
        <f t="shared" si="5"/>
        <v>67</v>
      </c>
      <c r="AO19" s="407">
        <f t="shared" si="6"/>
        <v>73</v>
      </c>
      <c r="AP19" s="407">
        <f t="shared" si="7"/>
        <v>1430</v>
      </c>
      <c r="AQ19" s="407">
        <f t="shared" si="8"/>
        <v>495</v>
      </c>
      <c r="AR19" s="407">
        <f t="shared" si="8"/>
        <v>117</v>
      </c>
      <c r="AS19" s="407">
        <f t="shared" si="9"/>
        <v>232</v>
      </c>
      <c r="AT19" s="407"/>
    </row>
    <row r="20" spans="1:48" s="22" customFormat="1" x14ac:dyDescent="0.15">
      <c r="A20" s="719"/>
      <c r="B20" s="561">
        <f>B19/B$21</f>
        <v>1.4365522745411013E-2</v>
      </c>
      <c r="C20" s="561">
        <f t="shared" ref="C20:K20" si="23">C19/C$21</f>
        <v>6.7516879219804947E-3</v>
      </c>
      <c r="D20" s="561">
        <f t="shared" si="23"/>
        <v>1.9069412662090009E-2</v>
      </c>
      <c r="E20" s="561">
        <f t="shared" si="23"/>
        <v>4.4751830756712775E-2</v>
      </c>
      <c r="F20" s="561">
        <f t="shared" si="23"/>
        <v>0.21755368814192344</v>
      </c>
      <c r="G20" s="561">
        <f t="shared" si="23"/>
        <v>3.2407407407407406E-2</v>
      </c>
      <c r="H20" s="561">
        <f t="shared" si="23"/>
        <v>0.18802902055622733</v>
      </c>
      <c r="I20" s="561">
        <f t="shared" si="23"/>
        <v>0.64467668190725014</v>
      </c>
      <c r="J20" s="561">
        <f t="shared" si="23"/>
        <v>6.0188542422044959E-2</v>
      </c>
      <c r="K20" s="561">
        <f t="shared" si="23"/>
        <v>0.13650590865538167</v>
      </c>
      <c r="L20" s="407"/>
      <c r="M20" s="559"/>
      <c r="N20" s="559" t="s">
        <v>405</v>
      </c>
      <c r="O20" s="23">
        <v>1</v>
      </c>
      <c r="P20" s="23">
        <v>3</v>
      </c>
      <c r="Q20" s="23">
        <v>3</v>
      </c>
      <c r="R20" s="23">
        <v>5</v>
      </c>
      <c r="S20" s="23">
        <v>4</v>
      </c>
      <c r="T20" s="23">
        <v>12</v>
      </c>
      <c r="U20" s="23">
        <v>10</v>
      </c>
      <c r="V20" s="23">
        <v>21</v>
      </c>
      <c r="W20" s="23">
        <v>3</v>
      </c>
      <c r="X20" s="23">
        <v>10</v>
      </c>
      <c r="Y20" s="23">
        <v>8</v>
      </c>
      <c r="Z20" s="23">
        <v>6</v>
      </c>
      <c r="AA20" s="23">
        <v>7</v>
      </c>
      <c r="AB20" s="23">
        <v>33</v>
      </c>
      <c r="AC20" s="23">
        <v>111</v>
      </c>
      <c r="AD20" s="23">
        <v>738</v>
      </c>
      <c r="AE20" s="23">
        <v>145</v>
      </c>
      <c r="AF20" s="23">
        <v>27</v>
      </c>
      <c r="AG20" s="23">
        <v>100</v>
      </c>
      <c r="AH20" s="23">
        <v>1</v>
      </c>
      <c r="AI20" s="407"/>
      <c r="AJ20" s="559" t="s">
        <v>405</v>
      </c>
      <c r="AK20" s="559">
        <f t="shared" si="2"/>
        <v>7</v>
      </c>
      <c r="AL20" s="407">
        <f t="shared" si="3"/>
        <v>9</v>
      </c>
      <c r="AM20" s="407">
        <f t="shared" si="4"/>
        <v>46</v>
      </c>
      <c r="AN20" s="407">
        <f t="shared" si="5"/>
        <v>18</v>
      </c>
      <c r="AO20" s="407">
        <f t="shared" si="6"/>
        <v>13</v>
      </c>
      <c r="AP20" s="407">
        <f t="shared" si="7"/>
        <v>882</v>
      </c>
      <c r="AQ20" s="407">
        <f t="shared" si="8"/>
        <v>145</v>
      </c>
      <c r="AR20" s="407">
        <f t="shared" si="8"/>
        <v>27</v>
      </c>
      <c r="AS20" s="407">
        <f t="shared" si="9"/>
        <v>101</v>
      </c>
      <c r="AT20" s="407"/>
    </row>
    <row r="21" spans="1:48" s="22" customFormat="1" x14ac:dyDescent="0.15">
      <c r="A21" s="732" t="s">
        <v>11</v>
      </c>
      <c r="B21" s="562">
        <f>SUM(B5,B7,B9,B11,B13,B15,B17,B19)</f>
        <v>1253</v>
      </c>
      <c r="C21" s="562">
        <f t="shared" ref="C21:K22" si="24">SUM(C5,C7,C9,C11,C13,C15,C17,C19)</f>
        <v>1333</v>
      </c>
      <c r="D21" s="562">
        <f t="shared" si="24"/>
        <v>1311</v>
      </c>
      <c r="E21" s="562">
        <f t="shared" si="24"/>
        <v>1229</v>
      </c>
      <c r="F21" s="562">
        <f t="shared" si="24"/>
        <v>1071</v>
      </c>
      <c r="G21" s="562">
        <f t="shared" si="24"/>
        <v>3240</v>
      </c>
      <c r="H21" s="562">
        <f t="shared" si="24"/>
        <v>3308</v>
      </c>
      <c r="I21" s="562">
        <f t="shared" si="24"/>
        <v>1531</v>
      </c>
      <c r="J21" s="562">
        <f t="shared" si="24"/>
        <v>1379</v>
      </c>
      <c r="K21" s="562">
        <f t="shared" si="24"/>
        <v>15655</v>
      </c>
      <c r="L21" s="407"/>
      <c r="M21" s="559"/>
      <c r="N21" s="559" t="s">
        <v>406</v>
      </c>
      <c r="O21" s="23">
        <v>2</v>
      </c>
      <c r="P21" s="23">
        <v>6</v>
      </c>
      <c r="Q21" s="23">
        <v>2</v>
      </c>
      <c r="R21" s="23"/>
      <c r="S21" s="23"/>
      <c r="T21" s="23"/>
      <c r="U21" s="23">
        <v>2</v>
      </c>
      <c r="V21" s="23">
        <v>3</v>
      </c>
      <c r="W21" s="23">
        <v>4</v>
      </c>
      <c r="X21" s="23">
        <v>6</v>
      </c>
      <c r="Y21" s="23">
        <v>6</v>
      </c>
      <c r="Z21" s="23">
        <v>4</v>
      </c>
      <c r="AA21" s="23">
        <v>6</v>
      </c>
      <c r="AB21" s="23">
        <v>2</v>
      </c>
      <c r="AC21" s="23">
        <v>1</v>
      </c>
      <c r="AD21" s="23"/>
      <c r="AE21" s="23">
        <v>128</v>
      </c>
      <c r="AF21" s="23">
        <v>4</v>
      </c>
      <c r="AG21" s="23">
        <v>13</v>
      </c>
      <c r="AH21" s="23">
        <v>1</v>
      </c>
      <c r="AI21" s="407"/>
      <c r="AJ21" s="559" t="s">
        <v>406</v>
      </c>
      <c r="AK21" s="559">
        <f t="shared" si="2"/>
        <v>10</v>
      </c>
      <c r="AL21" s="407">
        <f t="shared" si="3"/>
        <v>0</v>
      </c>
      <c r="AM21" s="407">
        <f t="shared" si="4"/>
        <v>9</v>
      </c>
      <c r="AN21" s="407">
        <f t="shared" si="5"/>
        <v>12</v>
      </c>
      <c r="AO21" s="407">
        <f t="shared" si="6"/>
        <v>10</v>
      </c>
      <c r="AP21" s="407">
        <f t="shared" si="7"/>
        <v>3</v>
      </c>
      <c r="AQ21" s="407">
        <f t="shared" si="8"/>
        <v>128</v>
      </c>
      <c r="AR21" s="407">
        <f t="shared" si="8"/>
        <v>4</v>
      </c>
      <c r="AS21" s="407">
        <f t="shared" si="9"/>
        <v>14</v>
      </c>
      <c r="AT21" s="407"/>
    </row>
    <row r="22" spans="1:48" s="22" customFormat="1" x14ac:dyDescent="0.15">
      <c r="A22" s="733"/>
      <c r="B22" s="563">
        <f>SUM(B6,B8,B10,B12,B14,B16,B18,B20)</f>
        <v>0.99999999999999989</v>
      </c>
      <c r="C22" s="563">
        <f t="shared" si="24"/>
        <v>0.99999999999999989</v>
      </c>
      <c r="D22" s="563">
        <f t="shared" si="24"/>
        <v>1</v>
      </c>
      <c r="E22" s="563">
        <f t="shared" si="24"/>
        <v>0.99999999999999989</v>
      </c>
      <c r="F22" s="563">
        <f t="shared" si="24"/>
        <v>1</v>
      </c>
      <c r="G22" s="563">
        <f t="shared" si="24"/>
        <v>1</v>
      </c>
      <c r="H22" s="563">
        <f t="shared" si="24"/>
        <v>1</v>
      </c>
      <c r="I22" s="563">
        <f t="shared" si="24"/>
        <v>1</v>
      </c>
      <c r="J22" s="563">
        <f t="shared" si="24"/>
        <v>1</v>
      </c>
      <c r="K22" s="563">
        <f t="shared" si="24"/>
        <v>1</v>
      </c>
      <c r="L22" s="407"/>
      <c r="M22" s="559"/>
      <c r="N22" s="559" t="s">
        <v>407</v>
      </c>
      <c r="O22" s="23">
        <v>4</v>
      </c>
      <c r="P22" s="23">
        <v>9</v>
      </c>
      <c r="Q22" s="23">
        <v>5</v>
      </c>
      <c r="R22" s="23">
        <v>6</v>
      </c>
      <c r="S22" s="23">
        <v>3</v>
      </c>
      <c r="T22" s="23">
        <v>8</v>
      </c>
      <c r="U22" s="23">
        <v>5</v>
      </c>
      <c r="V22" s="23">
        <v>6</v>
      </c>
      <c r="W22" s="23">
        <v>6</v>
      </c>
      <c r="X22" s="23">
        <v>31</v>
      </c>
      <c r="Y22" s="23">
        <v>24</v>
      </c>
      <c r="Z22" s="23">
        <v>167</v>
      </c>
      <c r="AA22" s="23">
        <v>66</v>
      </c>
      <c r="AB22" s="23">
        <v>65</v>
      </c>
      <c r="AC22" s="23">
        <v>25</v>
      </c>
      <c r="AD22" s="23">
        <v>15</v>
      </c>
      <c r="AE22" s="23">
        <v>622</v>
      </c>
      <c r="AF22" s="23">
        <v>987</v>
      </c>
      <c r="AG22" s="23">
        <v>65</v>
      </c>
      <c r="AH22" s="23">
        <v>18</v>
      </c>
      <c r="AI22" s="407"/>
      <c r="AJ22" s="559" t="s">
        <v>407</v>
      </c>
      <c r="AK22" s="559">
        <f t="shared" si="2"/>
        <v>18</v>
      </c>
      <c r="AL22" s="407">
        <f t="shared" si="3"/>
        <v>9</v>
      </c>
      <c r="AM22" s="407">
        <f t="shared" si="4"/>
        <v>25</v>
      </c>
      <c r="AN22" s="407">
        <f t="shared" si="5"/>
        <v>55</v>
      </c>
      <c r="AO22" s="407">
        <f t="shared" si="6"/>
        <v>233</v>
      </c>
      <c r="AP22" s="407">
        <f t="shared" si="7"/>
        <v>105</v>
      </c>
      <c r="AQ22" s="407">
        <f t="shared" si="8"/>
        <v>622</v>
      </c>
      <c r="AR22" s="407">
        <f t="shared" si="8"/>
        <v>987</v>
      </c>
      <c r="AS22" s="407">
        <f t="shared" si="9"/>
        <v>83</v>
      </c>
      <c r="AT22" s="407"/>
    </row>
    <row r="23" spans="1:48" x14ac:dyDescent="0.15">
      <c r="L23" s="43"/>
      <c r="M23" s="43"/>
      <c r="N23" s="43"/>
      <c r="O23" s="43"/>
      <c r="P23" s="43"/>
      <c r="Q23" s="43"/>
      <c r="R23" s="43"/>
      <c r="S23" s="43"/>
      <c r="T23" s="43"/>
      <c r="U23" s="43"/>
      <c r="V23" s="43"/>
      <c r="W23" s="43"/>
      <c r="X23" s="43"/>
      <c r="Y23" s="43"/>
      <c r="Z23" s="43"/>
      <c r="AA23" s="43"/>
      <c r="AB23" s="43"/>
      <c r="AC23" s="43"/>
      <c r="AD23" s="43"/>
      <c r="AE23" s="43"/>
      <c r="AF23" s="43"/>
      <c r="AG23" s="43"/>
      <c r="AH23" s="43"/>
      <c r="AI23" s="43"/>
      <c r="AJ23" s="413"/>
      <c r="AK23" s="413"/>
      <c r="AL23" s="43"/>
      <c r="AM23" s="43"/>
      <c r="AN23" s="43"/>
      <c r="AO23" s="43"/>
      <c r="AP23" s="43"/>
      <c r="AQ23" s="43"/>
      <c r="AR23" s="43"/>
      <c r="AS23" s="43"/>
      <c r="AT23" s="43"/>
    </row>
    <row r="24" spans="1:48" s="3" customFormat="1" ht="19.5" x14ac:dyDescent="0.15">
      <c r="A24" s="2" t="s">
        <v>538</v>
      </c>
      <c r="L24" s="564"/>
      <c r="M24" s="564"/>
      <c r="N24" s="564"/>
      <c r="O24" s="564"/>
      <c r="P24" s="564"/>
      <c r="Q24" s="564"/>
      <c r="R24" s="564"/>
      <c r="S24" s="564"/>
      <c r="T24" s="564"/>
      <c r="U24" s="564"/>
      <c r="V24" s="564"/>
      <c r="W24" s="564"/>
      <c r="X24" s="564"/>
      <c r="Y24" s="564"/>
      <c r="Z24" s="564"/>
      <c r="AA24" s="564"/>
      <c r="AB24" s="564"/>
      <c r="AC24" s="564"/>
      <c r="AD24" s="564"/>
      <c r="AE24" s="564"/>
      <c r="AF24" s="564"/>
      <c r="AG24" s="564"/>
      <c r="AH24" s="564"/>
      <c r="AI24" s="564"/>
      <c r="AJ24" s="564"/>
      <c r="AK24" s="564"/>
      <c r="AL24" s="564"/>
      <c r="AM24" s="564"/>
      <c r="AN24" s="564"/>
      <c r="AO24" s="564"/>
      <c r="AP24" s="564"/>
      <c r="AQ24" s="564"/>
      <c r="AR24" s="564"/>
      <c r="AS24" s="564"/>
      <c r="AT24" s="564"/>
    </row>
    <row r="25" spans="1:48" x14ac:dyDescent="0.15">
      <c r="A25" s="4"/>
      <c r="L25" s="43"/>
      <c r="M25" s="43"/>
      <c r="N25" s="43"/>
      <c r="O25" s="43"/>
      <c r="P25" s="43"/>
      <c r="Q25" s="43"/>
      <c r="R25" s="43"/>
      <c r="S25" s="43"/>
      <c r="T25" s="43"/>
      <c r="U25" s="43"/>
      <c r="V25" s="43"/>
      <c r="W25" s="43"/>
      <c r="X25" s="43"/>
      <c r="Y25" s="43"/>
      <c r="Z25" s="43"/>
      <c r="AA25" s="43"/>
      <c r="AB25" s="43"/>
      <c r="AC25" s="43"/>
      <c r="AD25" s="43"/>
      <c r="AE25" s="43"/>
      <c r="AF25" s="43"/>
      <c r="AG25" s="43"/>
      <c r="AH25" s="43"/>
      <c r="AI25" s="43"/>
      <c r="AJ25" s="43"/>
      <c r="AK25" s="43"/>
      <c r="AL25" s="43"/>
      <c r="AM25" s="43"/>
      <c r="AN25" s="43"/>
      <c r="AO25" s="43"/>
      <c r="AP25" s="43"/>
      <c r="AQ25" s="43"/>
      <c r="AR25" s="43"/>
      <c r="AS25" s="43"/>
      <c r="AT25" s="43"/>
    </row>
    <row r="26" spans="1:48" x14ac:dyDescent="0.15">
      <c r="A26" s="727" t="s">
        <v>524</v>
      </c>
      <c r="B26" s="729" t="s">
        <v>525</v>
      </c>
      <c r="C26" s="730"/>
      <c r="D26" s="730"/>
      <c r="E26" s="730"/>
      <c r="F26" s="730"/>
      <c r="G26" s="730"/>
      <c r="H26" s="730"/>
      <c r="I26" s="730"/>
      <c r="J26" s="730"/>
      <c r="K26" s="731"/>
      <c r="AI26" s="9"/>
      <c r="AJ26" s="554" t="s">
        <v>526</v>
      </c>
      <c r="AK26" s="554"/>
    </row>
    <row r="27" spans="1:48" ht="33" x14ac:dyDescent="0.15">
      <c r="A27" s="728"/>
      <c r="B27" s="555" t="s">
        <v>382</v>
      </c>
      <c r="C27" s="555" t="s">
        <v>383</v>
      </c>
      <c r="D27" s="555" t="s">
        <v>384</v>
      </c>
      <c r="E27" s="555" t="s">
        <v>385</v>
      </c>
      <c r="F27" s="555" t="s">
        <v>386</v>
      </c>
      <c r="G27" s="555" t="s">
        <v>387</v>
      </c>
      <c r="H27" s="555" t="s">
        <v>388</v>
      </c>
      <c r="I27" s="555" t="s">
        <v>389</v>
      </c>
      <c r="J27" s="556" t="s">
        <v>503</v>
      </c>
      <c r="K27" s="555" t="s">
        <v>62</v>
      </c>
      <c r="N27" s="34" t="s">
        <v>63</v>
      </c>
      <c r="O27" s="43" t="s">
        <v>390</v>
      </c>
      <c r="P27" s="43" t="s">
        <v>391</v>
      </c>
      <c r="Q27" s="43" t="s">
        <v>392</v>
      </c>
      <c r="R27" s="43" t="s">
        <v>393</v>
      </c>
      <c r="S27" s="43" t="s">
        <v>394</v>
      </c>
      <c r="T27" s="43" t="s">
        <v>395</v>
      </c>
      <c r="U27" s="43" t="s">
        <v>396</v>
      </c>
      <c r="V27" s="43" t="s">
        <v>397</v>
      </c>
      <c r="W27" s="43" t="s">
        <v>398</v>
      </c>
      <c r="X27" s="43" t="s">
        <v>399</v>
      </c>
      <c r="Y27" s="43" t="s">
        <v>400</v>
      </c>
      <c r="Z27" s="43" t="s">
        <v>401</v>
      </c>
      <c r="AA27" s="43" t="s">
        <v>402</v>
      </c>
      <c r="AB27" s="43" t="s">
        <v>403</v>
      </c>
      <c r="AC27" s="43" t="s">
        <v>404</v>
      </c>
      <c r="AD27" s="43" t="s">
        <v>405</v>
      </c>
      <c r="AE27" s="43" t="s">
        <v>406</v>
      </c>
      <c r="AF27" s="43" t="s">
        <v>407</v>
      </c>
      <c r="AG27" s="43" t="s">
        <v>504</v>
      </c>
      <c r="AH27" s="43" t="s">
        <v>505</v>
      </c>
      <c r="AI27" s="43"/>
      <c r="AJ27" s="43"/>
      <c r="AK27" s="43" t="s">
        <v>527</v>
      </c>
      <c r="AL27" s="43" t="s">
        <v>528</v>
      </c>
      <c r="AM27" s="43" t="s">
        <v>529</v>
      </c>
      <c r="AN27" s="43" t="s">
        <v>530</v>
      </c>
      <c r="AO27" s="43" t="s">
        <v>531</v>
      </c>
      <c r="AP27" s="43" t="s">
        <v>532</v>
      </c>
      <c r="AQ27" s="43" t="s">
        <v>533</v>
      </c>
      <c r="AR27" s="43" t="s">
        <v>534</v>
      </c>
      <c r="AS27" s="43" t="s">
        <v>535</v>
      </c>
      <c r="AT27" s="43"/>
      <c r="AU27" s="43"/>
      <c r="AV27" s="43"/>
    </row>
    <row r="28" spans="1:48" s="22" customFormat="1" x14ac:dyDescent="0.15">
      <c r="A28" s="703" t="s">
        <v>382</v>
      </c>
      <c r="B28" s="557">
        <f>SUM(AK28:AK30)</f>
        <v>527</v>
      </c>
      <c r="C28" s="557">
        <f t="shared" ref="C28:J28" si="25">SUM(AL28:AL30)</f>
        <v>41</v>
      </c>
      <c r="D28" s="557">
        <f t="shared" si="25"/>
        <v>22</v>
      </c>
      <c r="E28" s="557">
        <f t="shared" si="25"/>
        <v>4</v>
      </c>
      <c r="F28" s="557">
        <f t="shared" si="25"/>
        <v>7</v>
      </c>
      <c r="G28" s="557">
        <f t="shared" si="25"/>
        <v>4</v>
      </c>
      <c r="H28" s="557">
        <f t="shared" si="25"/>
        <v>243</v>
      </c>
      <c r="I28" s="557">
        <f t="shared" si="25"/>
        <v>5</v>
      </c>
      <c r="J28" s="557">
        <f t="shared" si="25"/>
        <v>211</v>
      </c>
      <c r="K28" s="558">
        <f>SUM(B28:J28)</f>
        <v>1064</v>
      </c>
      <c r="M28" s="559"/>
      <c r="N28" s="559" t="s">
        <v>390</v>
      </c>
      <c r="O28" s="23">
        <v>140</v>
      </c>
      <c r="P28" s="23">
        <v>34</v>
      </c>
      <c r="Q28" s="23">
        <v>29</v>
      </c>
      <c r="R28" s="23">
        <v>11</v>
      </c>
      <c r="S28" s="23">
        <v>6</v>
      </c>
      <c r="T28" s="23">
        <v>2</v>
      </c>
      <c r="U28" s="23">
        <v>1</v>
      </c>
      <c r="V28" s="23">
        <v>4</v>
      </c>
      <c r="W28" s="23"/>
      <c r="X28" s="23">
        <v>1</v>
      </c>
      <c r="Y28" s="23"/>
      <c r="Z28" s="23">
        <v>1</v>
      </c>
      <c r="AA28" s="23">
        <v>1</v>
      </c>
      <c r="AB28" s="23"/>
      <c r="AC28" s="23"/>
      <c r="AD28" s="23">
        <v>3</v>
      </c>
      <c r="AE28" s="23">
        <v>55</v>
      </c>
      <c r="AF28" s="23">
        <v>2</v>
      </c>
      <c r="AG28" s="23">
        <v>95</v>
      </c>
      <c r="AH28" s="23">
        <v>6</v>
      </c>
      <c r="AI28" s="559"/>
      <c r="AJ28" s="559" t="s">
        <v>390</v>
      </c>
      <c r="AK28" s="407">
        <f>SUM(O28:Q28)</f>
        <v>203</v>
      </c>
      <c r="AL28" s="407">
        <f>SUM(R28:S28)</f>
        <v>17</v>
      </c>
      <c r="AM28" s="407">
        <f>SUM(T28:W28)</f>
        <v>7</v>
      </c>
      <c r="AN28" s="407">
        <f>SUM(X28:Y28)</f>
        <v>1</v>
      </c>
      <c r="AO28" s="407">
        <f>SUM(Z28:AA28)</f>
        <v>2</v>
      </c>
      <c r="AP28" s="407">
        <f>SUM(AB28:AD28)</f>
        <v>3</v>
      </c>
      <c r="AQ28" s="407">
        <f>AE28</f>
        <v>55</v>
      </c>
      <c r="AR28" s="407">
        <f>AF28</f>
        <v>2</v>
      </c>
      <c r="AS28" s="407">
        <f>SUM(AG28:AH28)</f>
        <v>101</v>
      </c>
    </row>
    <row r="29" spans="1:48" s="22" customFormat="1" x14ac:dyDescent="0.15">
      <c r="A29" s="719"/>
      <c r="B29" s="561">
        <f>B28/B$44</f>
        <v>0.72093023255813948</v>
      </c>
      <c r="C29" s="561">
        <f t="shared" ref="C29:K29" si="26">C28/C$44</f>
        <v>5.4448871181938911E-2</v>
      </c>
      <c r="D29" s="561">
        <f t="shared" si="26"/>
        <v>3.125E-2</v>
      </c>
      <c r="E29" s="561">
        <f t="shared" si="26"/>
        <v>6.4935064935064939E-3</v>
      </c>
      <c r="F29" s="561">
        <f t="shared" si="26"/>
        <v>1.155115511551155E-2</v>
      </c>
      <c r="G29" s="561">
        <f t="shared" si="26"/>
        <v>1.8682858477347033E-3</v>
      </c>
      <c r="H29" s="561">
        <f t="shared" si="26"/>
        <v>0.13583007266629402</v>
      </c>
      <c r="I29" s="561">
        <f t="shared" si="26"/>
        <v>5.5928411633109623E-3</v>
      </c>
      <c r="J29" s="561">
        <f t="shared" si="26"/>
        <v>0.23237885462555066</v>
      </c>
      <c r="K29" s="561">
        <f t="shared" si="26"/>
        <v>0.11638591117917305</v>
      </c>
      <c r="M29" s="559"/>
      <c r="N29" s="559" t="s">
        <v>391</v>
      </c>
      <c r="O29" s="23">
        <v>22</v>
      </c>
      <c r="P29" s="23">
        <v>147</v>
      </c>
      <c r="Q29" s="23">
        <v>40</v>
      </c>
      <c r="R29" s="23">
        <v>10</v>
      </c>
      <c r="S29" s="23">
        <v>6</v>
      </c>
      <c r="T29" s="23">
        <v>3</v>
      </c>
      <c r="U29" s="23">
        <v>1</v>
      </c>
      <c r="V29" s="23">
        <v>5</v>
      </c>
      <c r="W29" s="23"/>
      <c r="X29" s="23">
        <v>1</v>
      </c>
      <c r="Y29" s="23"/>
      <c r="Z29" s="23">
        <v>1</v>
      </c>
      <c r="AA29" s="23">
        <v>1</v>
      </c>
      <c r="AB29" s="23"/>
      <c r="AC29" s="23"/>
      <c r="AD29" s="23"/>
      <c r="AE29" s="23">
        <v>129</v>
      </c>
      <c r="AF29" s="23">
        <v>1</v>
      </c>
      <c r="AG29" s="23">
        <v>67</v>
      </c>
      <c r="AH29" s="23">
        <v>1</v>
      </c>
      <c r="AI29" s="559"/>
      <c r="AJ29" s="559" t="s">
        <v>391</v>
      </c>
      <c r="AK29" s="407">
        <f t="shared" ref="AK29:AK44" si="27">SUM(O29:Q29)</f>
        <v>209</v>
      </c>
      <c r="AL29" s="407">
        <f t="shared" ref="AL29:AL45" si="28">SUM(R29:S29)</f>
        <v>16</v>
      </c>
      <c r="AM29" s="407">
        <f t="shared" ref="AM29:AM45" si="29">SUM(T29:W29)</f>
        <v>9</v>
      </c>
      <c r="AN29" s="407">
        <f t="shared" ref="AN29:AN45" si="30">SUM(X29:Y29)</f>
        <v>1</v>
      </c>
      <c r="AO29" s="407">
        <f t="shared" ref="AO29:AO45" si="31">SUM(Z29:AA29)</f>
        <v>2</v>
      </c>
      <c r="AP29" s="407">
        <f t="shared" ref="AP29:AP45" si="32">SUM(AB29:AD29)</f>
        <v>0</v>
      </c>
      <c r="AQ29" s="407">
        <f t="shared" ref="AQ29:AR45" si="33">AE29</f>
        <v>129</v>
      </c>
      <c r="AR29" s="407">
        <f t="shared" si="33"/>
        <v>1</v>
      </c>
      <c r="AS29" s="407">
        <f t="shared" ref="AS29:AS45" si="34">SUM(AG29:AH29)</f>
        <v>68</v>
      </c>
    </row>
    <row r="30" spans="1:48" s="22" customFormat="1" x14ac:dyDescent="0.15">
      <c r="A30" s="703" t="s">
        <v>383</v>
      </c>
      <c r="B30" s="557">
        <f>SUM(AK31:AK32)</f>
        <v>125</v>
      </c>
      <c r="C30" s="557">
        <f t="shared" ref="C30:J30" si="35">SUM(AL31:AL32)</f>
        <v>659</v>
      </c>
      <c r="D30" s="557">
        <f t="shared" si="35"/>
        <v>69</v>
      </c>
      <c r="E30" s="557">
        <f t="shared" si="35"/>
        <v>17</v>
      </c>
      <c r="F30" s="557">
        <f t="shared" si="35"/>
        <v>4</v>
      </c>
      <c r="G30" s="557">
        <f t="shared" si="35"/>
        <v>4</v>
      </c>
      <c r="H30" s="557">
        <f t="shared" si="35"/>
        <v>156</v>
      </c>
      <c r="I30" s="557">
        <f t="shared" si="35"/>
        <v>7</v>
      </c>
      <c r="J30" s="557">
        <f t="shared" si="35"/>
        <v>118</v>
      </c>
      <c r="K30" s="558">
        <f>SUM(B30:J30)</f>
        <v>1159</v>
      </c>
      <c r="M30" s="559"/>
      <c r="N30" s="559" t="s">
        <v>392</v>
      </c>
      <c r="O30" s="23">
        <v>7</v>
      </c>
      <c r="P30" s="23">
        <v>13</v>
      </c>
      <c r="Q30" s="23">
        <v>95</v>
      </c>
      <c r="R30" s="23">
        <v>7</v>
      </c>
      <c r="S30" s="23">
        <v>1</v>
      </c>
      <c r="T30" s="23">
        <v>2</v>
      </c>
      <c r="U30" s="23">
        <v>3</v>
      </c>
      <c r="V30" s="23">
        <v>1</v>
      </c>
      <c r="W30" s="23"/>
      <c r="X30" s="23">
        <v>1</v>
      </c>
      <c r="Y30" s="23">
        <v>1</v>
      </c>
      <c r="Z30" s="23">
        <v>1</v>
      </c>
      <c r="AA30" s="23">
        <v>2</v>
      </c>
      <c r="AB30" s="23"/>
      <c r="AC30" s="23">
        <v>1</v>
      </c>
      <c r="AD30" s="23"/>
      <c r="AE30" s="23">
        <v>59</v>
      </c>
      <c r="AF30" s="23">
        <v>2</v>
      </c>
      <c r="AG30" s="23">
        <v>41</v>
      </c>
      <c r="AH30" s="23">
        <v>1</v>
      </c>
      <c r="AI30" s="559"/>
      <c r="AJ30" s="559" t="s">
        <v>392</v>
      </c>
      <c r="AK30" s="407">
        <f t="shared" si="27"/>
        <v>115</v>
      </c>
      <c r="AL30" s="407">
        <f t="shared" si="28"/>
        <v>8</v>
      </c>
      <c r="AM30" s="407">
        <f t="shared" si="29"/>
        <v>6</v>
      </c>
      <c r="AN30" s="407">
        <f t="shared" si="30"/>
        <v>2</v>
      </c>
      <c r="AO30" s="407">
        <f t="shared" si="31"/>
        <v>3</v>
      </c>
      <c r="AP30" s="407">
        <f t="shared" si="32"/>
        <v>1</v>
      </c>
      <c r="AQ30" s="407">
        <f t="shared" si="33"/>
        <v>59</v>
      </c>
      <c r="AR30" s="407">
        <f t="shared" si="33"/>
        <v>2</v>
      </c>
      <c r="AS30" s="407">
        <f t="shared" si="34"/>
        <v>42</v>
      </c>
    </row>
    <row r="31" spans="1:48" s="22" customFormat="1" x14ac:dyDescent="0.15">
      <c r="A31" s="719"/>
      <c r="B31" s="561">
        <f>B30/B$44</f>
        <v>0.17099863201094392</v>
      </c>
      <c r="C31" s="561">
        <f t="shared" ref="C31:K31" si="36">C30/C$44</f>
        <v>0.8751660026560425</v>
      </c>
      <c r="D31" s="561">
        <f t="shared" si="36"/>
        <v>9.8011363636363633E-2</v>
      </c>
      <c r="E31" s="561">
        <f t="shared" si="36"/>
        <v>2.7597402597402596E-2</v>
      </c>
      <c r="F31" s="561">
        <f t="shared" si="36"/>
        <v>6.6006600660066007E-3</v>
      </c>
      <c r="G31" s="561">
        <f t="shared" si="36"/>
        <v>1.8682858477347033E-3</v>
      </c>
      <c r="H31" s="561">
        <f t="shared" si="36"/>
        <v>8.7199552822806031E-2</v>
      </c>
      <c r="I31" s="561">
        <f t="shared" si="36"/>
        <v>7.829977628635347E-3</v>
      </c>
      <c r="J31" s="561">
        <f t="shared" si="36"/>
        <v>0.12995594713656389</v>
      </c>
      <c r="K31" s="561">
        <f t="shared" si="36"/>
        <v>0.12677751039159921</v>
      </c>
      <c r="M31" s="559"/>
      <c r="N31" s="559" t="s">
        <v>393</v>
      </c>
      <c r="O31" s="23">
        <v>28</v>
      </c>
      <c r="P31" s="23">
        <v>22</v>
      </c>
      <c r="Q31" s="23">
        <v>48</v>
      </c>
      <c r="R31" s="23">
        <v>337</v>
      </c>
      <c r="S31" s="23">
        <v>149</v>
      </c>
      <c r="T31" s="23">
        <v>28</v>
      </c>
      <c r="U31" s="23">
        <v>6</v>
      </c>
      <c r="V31" s="23">
        <v>13</v>
      </c>
      <c r="W31" s="23">
        <v>7</v>
      </c>
      <c r="X31" s="23">
        <v>8</v>
      </c>
      <c r="Y31" s="23">
        <v>4</v>
      </c>
      <c r="Z31" s="23">
        <v>1</v>
      </c>
      <c r="AA31" s="23">
        <v>2</v>
      </c>
      <c r="AB31" s="23">
        <v>2</v>
      </c>
      <c r="AC31" s="23"/>
      <c r="AD31" s="23">
        <v>1</v>
      </c>
      <c r="AE31" s="23">
        <v>119</v>
      </c>
      <c r="AF31" s="23">
        <v>7</v>
      </c>
      <c r="AG31" s="23">
        <v>86</v>
      </c>
      <c r="AH31" s="23"/>
      <c r="AI31" s="559"/>
      <c r="AJ31" s="559" t="s">
        <v>393</v>
      </c>
      <c r="AK31" s="407">
        <f t="shared" si="27"/>
        <v>98</v>
      </c>
      <c r="AL31" s="407">
        <f t="shared" si="28"/>
        <v>486</v>
      </c>
      <c r="AM31" s="407">
        <f t="shared" si="29"/>
        <v>54</v>
      </c>
      <c r="AN31" s="407">
        <f t="shared" si="30"/>
        <v>12</v>
      </c>
      <c r="AO31" s="407">
        <f t="shared" si="31"/>
        <v>3</v>
      </c>
      <c r="AP31" s="407">
        <f t="shared" si="32"/>
        <v>3</v>
      </c>
      <c r="AQ31" s="407">
        <f t="shared" si="33"/>
        <v>119</v>
      </c>
      <c r="AR31" s="407">
        <f t="shared" si="33"/>
        <v>7</v>
      </c>
      <c r="AS31" s="407">
        <f t="shared" si="34"/>
        <v>86</v>
      </c>
    </row>
    <row r="32" spans="1:48" s="22" customFormat="1" x14ac:dyDescent="0.15">
      <c r="A32" s="703" t="s">
        <v>384</v>
      </c>
      <c r="B32" s="557">
        <f>SUM(AK33:AK36)</f>
        <v>25</v>
      </c>
      <c r="C32" s="557">
        <f t="shared" ref="C32:J32" si="37">SUM(AL33:AL36)</f>
        <v>24</v>
      </c>
      <c r="D32" s="557">
        <f t="shared" si="37"/>
        <v>477</v>
      </c>
      <c r="E32" s="557">
        <f t="shared" si="37"/>
        <v>24</v>
      </c>
      <c r="F32" s="557">
        <f t="shared" si="37"/>
        <v>7</v>
      </c>
      <c r="G32" s="557">
        <f t="shared" si="37"/>
        <v>5</v>
      </c>
      <c r="H32" s="557">
        <f t="shared" si="37"/>
        <v>105</v>
      </c>
      <c r="I32" s="557">
        <f t="shared" si="37"/>
        <v>5</v>
      </c>
      <c r="J32" s="557">
        <f t="shared" si="37"/>
        <v>92</v>
      </c>
      <c r="K32" s="558">
        <f>SUM(B32:J32)</f>
        <v>764</v>
      </c>
      <c r="M32" s="559"/>
      <c r="N32" s="559" t="s">
        <v>394</v>
      </c>
      <c r="O32" s="23">
        <v>4</v>
      </c>
      <c r="P32" s="23">
        <v>5</v>
      </c>
      <c r="Q32" s="23">
        <v>18</v>
      </c>
      <c r="R32" s="23">
        <v>44</v>
      </c>
      <c r="S32" s="23">
        <v>129</v>
      </c>
      <c r="T32" s="23">
        <v>7</v>
      </c>
      <c r="U32" s="23">
        <v>2</v>
      </c>
      <c r="V32" s="23">
        <v>3</v>
      </c>
      <c r="W32" s="23">
        <v>3</v>
      </c>
      <c r="X32" s="23">
        <v>4</v>
      </c>
      <c r="Y32" s="23">
        <v>1</v>
      </c>
      <c r="Z32" s="23">
        <v>1</v>
      </c>
      <c r="AA32" s="23"/>
      <c r="AB32" s="23">
        <v>1</v>
      </c>
      <c r="AC32" s="23"/>
      <c r="AD32" s="23"/>
      <c r="AE32" s="23">
        <v>37</v>
      </c>
      <c r="AF32" s="23"/>
      <c r="AG32" s="23">
        <v>32</v>
      </c>
      <c r="AH32" s="23"/>
      <c r="AI32" s="559"/>
      <c r="AJ32" s="559" t="s">
        <v>394</v>
      </c>
      <c r="AK32" s="407">
        <f t="shared" si="27"/>
        <v>27</v>
      </c>
      <c r="AL32" s="407">
        <f t="shared" si="28"/>
        <v>173</v>
      </c>
      <c r="AM32" s="407">
        <f t="shared" si="29"/>
        <v>15</v>
      </c>
      <c r="AN32" s="407">
        <f t="shared" si="30"/>
        <v>5</v>
      </c>
      <c r="AO32" s="407">
        <f t="shared" si="31"/>
        <v>1</v>
      </c>
      <c r="AP32" s="407">
        <f t="shared" si="32"/>
        <v>1</v>
      </c>
      <c r="AQ32" s="407">
        <f t="shared" si="33"/>
        <v>37</v>
      </c>
      <c r="AR32" s="407">
        <f t="shared" si="33"/>
        <v>0</v>
      </c>
      <c r="AS32" s="407">
        <f t="shared" si="34"/>
        <v>32</v>
      </c>
    </row>
    <row r="33" spans="1:45" s="22" customFormat="1" x14ac:dyDescent="0.15">
      <c r="A33" s="719"/>
      <c r="B33" s="561">
        <f>B32/B$44</f>
        <v>3.4199726402188782E-2</v>
      </c>
      <c r="C33" s="561">
        <f t="shared" ref="C33:K33" si="38">C32/C$44</f>
        <v>3.1872509960159362E-2</v>
      </c>
      <c r="D33" s="561">
        <f t="shared" si="38"/>
        <v>0.67755681818181823</v>
      </c>
      <c r="E33" s="561">
        <f t="shared" si="38"/>
        <v>3.896103896103896E-2</v>
      </c>
      <c r="F33" s="561">
        <f t="shared" si="38"/>
        <v>1.155115511551155E-2</v>
      </c>
      <c r="G33" s="561">
        <f t="shared" si="38"/>
        <v>2.3353573096683792E-3</v>
      </c>
      <c r="H33" s="561">
        <f t="shared" si="38"/>
        <v>5.8692006707657909E-2</v>
      </c>
      <c r="I33" s="561">
        <f t="shared" si="38"/>
        <v>5.5928411633109623E-3</v>
      </c>
      <c r="J33" s="561">
        <f t="shared" si="38"/>
        <v>0.1013215859030837</v>
      </c>
      <c r="K33" s="561">
        <f t="shared" si="38"/>
        <v>8.3570334718879896E-2</v>
      </c>
      <c r="M33" s="559"/>
      <c r="N33" s="559" t="s">
        <v>395</v>
      </c>
      <c r="O33" s="23">
        <v>5</v>
      </c>
      <c r="P33" s="23">
        <v>12</v>
      </c>
      <c r="Q33" s="23">
        <v>6</v>
      </c>
      <c r="R33" s="23">
        <v>5</v>
      </c>
      <c r="S33" s="23">
        <v>12</v>
      </c>
      <c r="T33" s="23">
        <v>153</v>
      </c>
      <c r="U33" s="23">
        <v>27</v>
      </c>
      <c r="V33" s="23">
        <v>28</v>
      </c>
      <c r="W33" s="23">
        <v>21</v>
      </c>
      <c r="X33" s="23">
        <v>11</v>
      </c>
      <c r="Y33" s="23">
        <v>3</v>
      </c>
      <c r="Z33" s="23">
        <v>2</v>
      </c>
      <c r="AA33" s="23">
        <v>2</v>
      </c>
      <c r="AB33" s="23">
        <v>1</v>
      </c>
      <c r="AC33" s="23">
        <v>1</v>
      </c>
      <c r="AD33" s="23">
        <v>1</v>
      </c>
      <c r="AE33" s="23">
        <v>50</v>
      </c>
      <c r="AF33" s="23">
        <v>5</v>
      </c>
      <c r="AG33" s="23">
        <v>53</v>
      </c>
      <c r="AH33" s="23">
        <v>3</v>
      </c>
      <c r="AI33" s="559"/>
      <c r="AJ33" s="559" t="s">
        <v>395</v>
      </c>
      <c r="AK33" s="407">
        <f t="shared" si="27"/>
        <v>23</v>
      </c>
      <c r="AL33" s="407">
        <f t="shared" si="28"/>
        <v>17</v>
      </c>
      <c r="AM33" s="407">
        <f t="shared" si="29"/>
        <v>229</v>
      </c>
      <c r="AN33" s="407">
        <f t="shared" si="30"/>
        <v>14</v>
      </c>
      <c r="AO33" s="407">
        <f t="shared" si="31"/>
        <v>4</v>
      </c>
      <c r="AP33" s="407">
        <f t="shared" si="32"/>
        <v>3</v>
      </c>
      <c r="AQ33" s="407">
        <f t="shared" si="33"/>
        <v>50</v>
      </c>
      <c r="AR33" s="407">
        <f t="shared" si="33"/>
        <v>5</v>
      </c>
      <c r="AS33" s="407">
        <f t="shared" si="34"/>
        <v>56</v>
      </c>
    </row>
    <row r="34" spans="1:45" s="22" customFormat="1" x14ac:dyDescent="0.15">
      <c r="A34" s="703" t="s">
        <v>385</v>
      </c>
      <c r="B34" s="557">
        <f>SUM(AK37:AK38)</f>
        <v>9</v>
      </c>
      <c r="C34" s="557">
        <f t="shared" ref="C34:J34" si="39">SUM(AL37:AL38)</f>
        <v>4</v>
      </c>
      <c r="D34" s="557">
        <f t="shared" si="39"/>
        <v>24</v>
      </c>
      <c r="E34" s="557">
        <f t="shared" si="39"/>
        <v>386</v>
      </c>
      <c r="F34" s="557">
        <f t="shared" si="39"/>
        <v>15</v>
      </c>
      <c r="G34" s="557">
        <f t="shared" si="39"/>
        <v>4</v>
      </c>
      <c r="H34" s="557">
        <f t="shared" si="39"/>
        <v>163</v>
      </c>
      <c r="I34" s="557">
        <f t="shared" si="39"/>
        <v>8</v>
      </c>
      <c r="J34" s="557">
        <f t="shared" si="39"/>
        <v>24</v>
      </c>
      <c r="K34" s="558">
        <f>SUM(B34:J34)</f>
        <v>637</v>
      </c>
      <c r="M34" s="559"/>
      <c r="N34" s="559" t="s">
        <v>396</v>
      </c>
      <c r="O34" s="23"/>
      <c r="P34" s="23"/>
      <c r="Q34" s="23">
        <v>1</v>
      </c>
      <c r="R34" s="23"/>
      <c r="S34" s="23"/>
      <c r="T34" s="23">
        <v>7</v>
      </c>
      <c r="U34" s="23">
        <v>42</v>
      </c>
      <c r="V34" s="23">
        <v>18</v>
      </c>
      <c r="W34" s="23">
        <v>14</v>
      </c>
      <c r="X34" s="23">
        <v>3</v>
      </c>
      <c r="Y34" s="23">
        <v>1</v>
      </c>
      <c r="Z34" s="23"/>
      <c r="AA34" s="23">
        <v>1</v>
      </c>
      <c r="AB34" s="23"/>
      <c r="AC34" s="23">
        <v>2</v>
      </c>
      <c r="AD34" s="23"/>
      <c r="AE34" s="23">
        <v>7</v>
      </c>
      <c r="AF34" s="23"/>
      <c r="AG34" s="23">
        <v>4</v>
      </c>
      <c r="AH34" s="23"/>
      <c r="AI34" s="559"/>
      <c r="AJ34" s="559" t="s">
        <v>396</v>
      </c>
      <c r="AK34" s="407">
        <f t="shared" si="27"/>
        <v>1</v>
      </c>
      <c r="AL34" s="407">
        <f t="shared" si="28"/>
        <v>0</v>
      </c>
      <c r="AM34" s="407">
        <f t="shared" si="29"/>
        <v>81</v>
      </c>
      <c r="AN34" s="407">
        <f t="shared" si="30"/>
        <v>4</v>
      </c>
      <c r="AO34" s="407">
        <f t="shared" si="31"/>
        <v>1</v>
      </c>
      <c r="AP34" s="407">
        <f t="shared" si="32"/>
        <v>2</v>
      </c>
      <c r="AQ34" s="407">
        <f t="shared" si="33"/>
        <v>7</v>
      </c>
      <c r="AR34" s="407">
        <f t="shared" si="33"/>
        <v>0</v>
      </c>
      <c r="AS34" s="407">
        <f t="shared" si="34"/>
        <v>4</v>
      </c>
    </row>
    <row r="35" spans="1:45" s="22" customFormat="1" x14ac:dyDescent="0.15">
      <c r="A35" s="719"/>
      <c r="B35" s="561">
        <f>B34/B$44</f>
        <v>1.2311901504787962E-2</v>
      </c>
      <c r="C35" s="561">
        <f t="shared" ref="C35:K35" si="40">C34/C$44</f>
        <v>5.3120849933598934E-3</v>
      </c>
      <c r="D35" s="561">
        <f t="shared" si="40"/>
        <v>3.4090909090909088E-2</v>
      </c>
      <c r="E35" s="561">
        <f t="shared" si="40"/>
        <v>0.62662337662337664</v>
      </c>
      <c r="F35" s="561">
        <f t="shared" si="40"/>
        <v>2.4752475247524754E-2</v>
      </c>
      <c r="G35" s="561">
        <f t="shared" si="40"/>
        <v>1.8682858477347033E-3</v>
      </c>
      <c r="H35" s="561">
        <f t="shared" si="40"/>
        <v>9.1112353269983237E-2</v>
      </c>
      <c r="I35" s="561">
        <f t="shared" si="40"/>
        <v>8.948545861297539E-3</v>
      </c>
      <c r="J35" s="561">
        <f t="shared" si="40"/>
        <v>2.643171806167401E-2</v>
      </c>
      <c r="K35" s="561">
        <f t="shared" si="40"/>
        <v>6.9678407350689128E-2</v>
      </c>
      <c r="M35" s="559"/>
      <c r="N35" s="559" t="s">
        <v>397</v>
      </c>
      <c r="O35" s="23">
        <v>1</v>
      </c>
      <c r="P35" s="23"/>
      <c r="Q35" s="23"/>
      <c r="R35" s="23">
        <v>2</v>
      </c>
      <c r="S35" s="23">
        <v>1</v>
      </c>
      <c r="T35" s="23">
        <v>4</v>
      </c>
      <c r="U35" s="23">
        <v>5</v>
      </c>
      <c r="V35" s="23">
        <v>78</v>
      </c>
      <c r="W35" s="23">
        <v>2</v>
      </c>
      <c r="X35" s="23">
        <v>2</v>
      </c>
      <c r="Y35" s="23"/>
      <c r="Z35" s="23">
        <v>2</v>
      </c>
      <c r="AA35" s="23"/>
      <c r="AB35" s="23"/>
      <c r="AC35" s="23"/>
      <c r="AD35" s="23"/>
      <c r="AE35" s="23">
        <v>39</v>
      </c>
      <c r="AF35" s="23"/>
      <c r="AG35" s="23">
        <v>3</v>
      </c>
      <c r="AH35" s="23"/>
      <c r="AI35" s="559"/>
      <c r="AJ35" s="559" t="s">
        <v>397</v>
      </c>
      <c r="AK35" s="407">
        <f t="shared" si="27"/>
        <v>1</v>
      </c>
      <c r="AL35" s="407">
        <f t="shared" si="28"/>
        <v>3</v>
      </c>
      <c r="AM35" s="407">
        <f t="shared" si="29"/>
        <v>89</v>
      </c>
      <c r="AN35" s="407">
        <f t="shared" si="30"/>
        <v>2</v>
      </c>
      <c r="AO35" s="407">
        <f t="shared" si="31"/>
        <v>2</v>
      </c>
      <c r="AP35" s="407">
        <f t="shared" si="32"/>
        <v>0</v>
      </c>
      <c r="AQ35" s="407">
        <f t="shared" si="33"/>
        <v>39</v>
      </c>
      <c r="AR35" s="407">
        <f t="shared" si="33"/>
        <v>0</v>
      </c>
      <c r="AS35" s="407">
        <f t="shared" si="34"/>
        <v>3</v>
      </c>
    </row>
    <row r="36" spans="1:45" s="22" customFormat="1" x14ac:dyDescent="0.15">
      <c r="A36" s="703" t="s">
        <v>386</v>
      </c>
      <c r="B36" s="557">
        <f>SUM(AK39:AK40)</f>
        <v>7</v>
      </c>
      <c r="C36" s="557">
        <f t="shared" ref="C36:J36" si="41">SUM(AL39:AL40)</f>
        <v>3</v>
      </c>
      <c r="D36" s="557">
        <f t="shared" si="41"/>
        <v>15</v>
      </c>
      <c r="E36" s="557">
        <f t="shared" si="41"/>
        <v>33</v>
      </c>
      <c r="F36" s="557">
        <f t="shared" si="41"/>
        <v>379</v>
      </c>
      <c r="G36" s="557">
        <f t="shared" si="41"/>
        <v>16</v>
      </c>
      <c r="H36" s="557">
        <f t="shared" si="41"/>
        <v>184</v>
      </c>
      <c r="I36" s="557">
        <f t="shared" si="41"/>
        <v>104</v>
      </c>
      <c r="J36" s="557">
        <f t="shared" si="41"/>
        <v>56</v>
      </c>
      <c r="K36" s="558">
        <f>SUM(B36:J36)</f>
        <v>797</v>
      </c>
      <c r="M36" s="559"/>
      <c r="N36" s="559" t="s">
        <v>398</v>
      </c>
      <c r="O36" s="23"/>
      <c r="P36" s="23"/>
      <c r="Q36" s="23"/>
      <c r="R36" s="23">
        <v>3</v>
      </c>
      <c r="S36" s="23">
        <v>1</v>
      </c>
      <c r="T36" s="23">
        <v>7</v>
      </c>
      <c r="U36" s="23">
        <v>8</v>
      </c>
      <c r="V36" s="23">
        <v>3</v>
      </c>
      <c r="W36" s="23">
        <v>60</v>
      </c>
      <c r="X36" s="23">
        <v>4</v>
      </c>
      <c r="Y36" s="23"/>
      <c r="Z36" s="23"/>
      <c r="AA36" s="23"/>
      <c r="AB36" s="23"/>
      <c r="AC36" s="23"/>
      <c r="AD36" s="23"/>
      <c r="AE36" s="23">
        <v>9</v>
      </c>
      <c r="AF36" s="23"/>
      <c r="AG36" s="23">
        <v>29</v>
      </c>
      <c r="AH36" s="23"/>
      <c r="AI36" s="559"/>
      <c r="AJ36" s="559" t="s">
        <v>398</v>
      </c>
      <c r="AK36" s="407">
        <f t="shared" si="27"/>
        <v>0</v>
      </c>
      <c r="AL36" s="407">
        <f t="shared" si="28"/>
        <v>4</v>
      </c>
      <c r="AM36" s="407">
        <f t="shared" si="29"/>
        <v>78</v>
      </c>
      <c r="AN36" s="407">
        <f t="shared" si="30"/>
        <v>4</v>
      </c>
      <c r="AO36" s="407">
        <f t="shared" si="31"/>
        <v>0</v>
      </c>
      <c r="AP36" s="407">
        <f t="shared" si="32"/>
        <v>0</v>
      </c>
      <c r="AQ36" s="407">
        <f t="shared" si="33"/>
        <v>9</v>
      </c>
      <c r="AR36" s="407">
        <f t="shared" si="33"/>
        <v>0</v>
      </c>
      <c r="AS36" s="407">
        <f t="shared" si="34"/>
        <v>29</v>
      </c>
    </row>
    <row r="37" spans="1:45" s="22" customFormat="1" x14ac:dyDescent="0.15">
      <c r="A37" s="719"/>
      <c r="B37" s="561">
        <f>B36/B$44</f>
        <v>9.575923392612859E-3</v>
      </c>
      <c r="C37" s="561">
        <f t="shared" ref="C37:K37" si="42">C36/C$44</f>
        <v>3.9840637450199202E-3</v>
      </c>
      <c r="D37" s="561">
        <f t="shared" si="42"/>
        <v>2.130681818181818E-2</v>
      </c>
      <c r="E37" s="561">
        <f t="shared" si="42"/>
        <v>5.3571428571428568E-2</v>
      </c>
      <c r="F37" s="561">
        <f t="shared" si="42"/>
        <v>0.62541254125412538</v>
      </c>
      <c r="G37" s="561">
        <f t="shared" si="42"/>
        <v>7.4731433909388132E-3</v>
      </c>
      <c r="H37" s="561">
        <f t="shared" si="42"/>
        <v>0.10285075461151481</v>
      </c>
      <c r="I37" s="561">
        <f t="shared" si="42"/>
        <v>0.116331096196868</v>
      </c>
      <c r="J37" s="561">
        <f t="shared" si="42"/>
        <v>6.1674008810572688E-2</v>
      </c>
      <c r="K37" s="561">
        <f t="shared" si="42"/>
        <v>8.7180048129512147E-2</v>
      </c>
      <c r="M37" s="559"/>
      <c r="N37" s="559" t="s">
        <v>399</v>
      </c>
      <c r="O37" s="23">
        <v>2</v>
      </c>
      <c r="P37" s="23">
        <v>2</v>
      </c>
      <c r="Q37" s="23">
        <v>3</v>
      </c>
      <c r="R37" s="23">
        <v>2</v>
      </c>
      <c r="S37" s="23"/>
      <c r="T37" s="23">
        <v>1</v>
      </c>
      <c r="U37" s="23">
        <v>5</v>
      </c>
      <c r="V37" s="23">
        <v>6</v>
      </c>
      <c r="W37" s="23">
        <v>6</v>
      </c>
      <c r="X37" s="23">
        <v>191</v>
      </c>
      <c r="Y37" s="23">
        <v>17</v>
      </c>
      <c r="Z37" s="23"/>
      <c r="AA37" s="23"/>
      <c r="AB37" s="23"/>
      <c r="AC37" s="23"/>
      <c r="AD37" s="23"/>
      <c r="AE37" s="23">
        <v>118</v>
      </c>
      <c r="AF37" s="23">
        <v>5</v>
      </c>
      <c r="AG37" s="23">
        <v>12</v>
      </c>
      <c r="AH37" s="23"/>
      <c r="AI37" s="559"/>
      <c r="AJ37" s="559" t="s">
        <v>399</v>
      </c>
      <c r="AK37" s="407">
        <f t="shared" si="27"/>
        <v>7</v>
      </c>
      <c r="AL37" s="407">
        <f t="shared" si="28"/>
        <v>2</v>
      </c>
      <c r="AM37" s="407">
        <f t="shared" si="29"/>
        <v>18</v>
      </c>
      <c r="AN37" s="407">
        <f t="shared" si="30"/>
        <v>208</v>
      </c>
      <c r="AO37" s="407">
        <f t="shared" si="31"/>
        <v>0</v>
      </c>
      <c r="AP37" s="407">
        <f t="shared" si="32"/>
        <v>0</v>
      </c>
      <c r="AQ37" s="407">
        <f t="shared" si="33"/>
        <v>118</v>
      </c>
      <c r="AR37" s="407">
        <f t="shared" si="33"/>
        <v>5</v>
      </c>
      <c r="AS37" s="407">
        <f t="shared" si="34"/>
        <v>12</v>
      </c>
    </row>
    <row r="38" spans="1:45" s="22" customFormat="1" x14ac:dyDescent="0.15">
      <c r="A38" s="703" t="s">
        <v>387</v>
      </c>
      <c r="B38" s="557">
        <f>SUM(AK41:AK43)</f>
        <v>25</v>
      </c>
      <c r="C38" s="557">
        <f t="shared" ref="C38:J38" si="43">SUM(AL41:AL43)</f>
        <v>18</v>
      </c>
      <c r="D38" s="557">
        <f t="shared" si="43"/>
        <v>85</v>
      </c>
      <c r="E38" s="557">
        <f t="shared" si="43"/>
        <v>122</v>
      </c>
      <c r="F38" s="557">
        <f t="shared" si="43"/>
        <v>73</v>
      </c>
      <c r="G38" s="557">
        <f t="shared" si="43"/>
        <v>2069</v>
      </c>
      <c r="H38" s="557">
        <f t="shared" si="43"/>
        <v>628</v>
      </c>
      <c r="I38" s="557">
        <f t="shared" si="43"/>
        <v>212</v>
      </c>
      <c r="J38" s="557">
        <f t="shared" si="43"/>
        <v>349</v>
      </c>
      <c r="K38" s="558">
        <f>SUM(B38:J38)</f>
        <v>3581</v>
      </c>
      <c r="M38" s="559"/>
      <c r="N38" s="559" t="s">
        <v>400</v>
      </c>
      <c r="O38" s="23"/>
      <c r="P38" s="23"/>
      <c r="Q38" s="23">
        <v>2</v>
      </c>
      <c r="R38" s="23">
        <v>2</v>
      </c>
      <c r="S38" s="23"/>
      <c r="T38" s="23"/>
      <c r="U38" s="23"/>
      <c r="V38" s="23">
        <v>5</v>
      </c>
      <c r="W38" s="23">
        <v>1</v>
      </c>
      <c r="X38" s="23">
        <v>35</v>
      </c>
      <c r="Y38" s="23">
        <v>143</v>
      </c>
      <c r="Z38" s="23">
        <v>14</v>
      </c>
      <c r="AA38" s="23">
        <v>1</v>
      </c>
      <c r="AB38" s="23">
        <v>1</v>
      </c>
      <c r="AC38" s="23"/>
      <c r="AD38" s="23">
        <v>3</v>
      </c>
      <c r="AE38" s="23">
        <v>45</v>
      </c>
      <c r="AF38" s="23">
        <v>3</v>
      </c>
      <c r="AG38" s="23">
        <v>12</v>
      </c>
      <c r="AH38" s="23"/>
      <c r="AI38" s="559"/>
      <c r="AJ38" s="559" t="s">
        <v>400</v>
      </c>
      <c r="AK38" s="407">
        <f t="shared" si="27"/>
        <v>2</v>
      </c>
      <c r="AL38" s="407">
        <f t="shared" si="28"/>
        <v>2</v>
      </c>
      <c r="AM38" s="407">
        <f t="shared" si="29"/>
        <v>6</v>
      </c>
      <c r="AN38" s="407">
        <f t="shared" si="30"/>
        <v>178</v>
      </c>
      <c r="AO38" s="407">
        <f t="shared" si="31"/>
        <v>15</v>
      </c>
      <c r="AP38" s="407">
        <f t="shared" si="32"/>
        <v>4</v>
      </c>
      <c r="AQ38" s="407">
        <f t="shared" si="33"/>
        <v>45</v>
      </c>
      <c r="AR38" s="407">
        <f t="shared" si="33"/>
        <v>3</v>
      </c>
      <c r="AS38" s="407">
        <f t="shared" si="34"/>
        <v>12</v>
      </c>
    </row>
    <row r="39" spans="1:45" s="22" customFormat="1" x14ac:dyDescent="0.15">
      <c r="A39" s="719"/>
      <c r="B39" s="561">
        <f>B38/B$44</f>
        <v>3.4199726402188782E-2</v>
      </c>
      <c r="C39" s="561">
        <f t="shared" ref="C39:K39" si="44">C38/C$44</f>
        <v>2.3904382470119521E-2</v>
      </c>
      <c r="D39" s="561">
        <f t="shared" si="44"/>
        <v>0.12073863636363637</v>
      </c>
      <c r="E39" s="561">
        <f t="shared" si="44"/>
        <v>0.19805194805194806</v>
      </c>
      <c r="F39" s="561">
        <f t="shared" si="44"/>
        <v>0.12046204620462046</v>
      </c>
      <c r="G39" s="561">
        <f t="shared" si="44"/>
        <v>0.96637085474077533</v>
      </c>
      <c r="H39" s="561">
        <f t="shared" si="44"/>
        <v>0.35103409726103968</v>
      </c>
      <c r="I39" s="561">
        <f t="shared" si="44"/>
        <v>0.23713646532438479</v>
      </c>
      <c r="J39" s="561">
        <f t="shared" si="44"/>
        <v>0.3843612334801762</v>
      </c>
      <c r="K39" s="561">
        <f t="shared" si="44"/>
        <v>0.39170859768103261</v>
      </c>
      <c r="M39" s="559"/>
      <c r="N39" s="559" t="s">
        <v>401</v>
      </c>
      <c r="O39" s="23">
        <v>3</v>
      </c>
      <c r="P39" s="23"/>
      <c r="Q39" s="23"/>
      <c r="R39" s="23"/>
      <c r="S39" s="23">
        <v>1</v>
      </c>
      <c r="T39" s="23"/>
      <c r="U39" s="23"/>
      <c r="V39" s="23">
        <v>4</v>
      </c>
      <c r="W39" s="23"/>
      <c r="X39" s="23">
        <v>6</v>
      </c>
      <c r="Y39" s="23">
        <v>8</v>
      </c>
      <c r="Z39" s="23">
        <v>118</v>
      </c>
      <c r="AA39" s="23">
        <v>12</v>
      </c>
      <c r="AB39" s="23"/>
      <c r="AC39" s="23"/>
      <c r="AD39" s="23"/>
      <c r="AE39" s="23">
        <v>110</v>
      </c>
      <c r="AF39" s="23">
        <v>10</v>
      </c>
      <c r="AG39" s="23">
        <v>13</v>
      </c>
      <c r="AH39" s="23">
        <v>2</v>
      </c>
      <c r="AI39" s="559"/>
      <c r="AJ39" s="559" t="s">
        <v>401</v>
      </c>
      <c r="AK39" s="407">
        <f t="shared" si="27"/>
        <v>3</v>
      </c>
      <c r="AL39" s="407">
        <f t="shared" si="28"/>
        <v>1</v>
      </c>
      <c r="AM39" s="407">
        <f t="shared" si="29"/>
        <v>4</v>
      </c>
      <c r="AN39" s="407">
        <f t="shared" si="30"/>
        <v>14</v>
      </c>
      <c r="AO39" s="407">
        <f t="shared" si="31"/>
        <v>130</v>
      </c>
      <c r="AP39" s="407">
        <f t="shared" si="32"/>
        <v>0</v>
      </c>
      <c r="AQ39" s="407">
        <f t="shared" si="33"/>
        <v>110</v>
      </c>
      <c r="AR39" s="407">
        <f t="shared" si="33"/>
        <v>10</v>
      </c>
      <c r="AS39" s="407">
        <f t="shared" si="34"/>
        <v>15</v>
      </c>
    </row>
    <row r="40" spans="1:45" s="22" customFormat="1" x14ac:dyDescent="0.15">
      <c r="A40" s="703" t="s">
        <v>536</v>
      </c>
      <c r="B40" s="557">
        <f>AK44</f>
        <v>0</v>
      </c>
      <c r="C40" s="557">
        <f t="shared" ref="C40:J40" si="45">AL44</f>
        <v>0</v>
      </c>
      <c r="D40" s="557">
        <f t="shared" si="45"/>
        <v>1</v>
      </c>
      <c r="E40" s="557">
        <f t="shared" si="45"/>
        <v>0</v>
      </c>
      <c r="F40" s="557">
        <f t="shared" si="45"/>
        <v>0</v>
      </c>
      <c r="G40" s="557">
        <f t="shared" si="45"/>
        <v>0</v>
      </c>
      <c r="H40" s="557">
        <f t="shared" si="45"/>
        <v>1</v>
      </c>
      <c r="I40" s="557">
        <f t="shared" si="45"/>
        <v>0</v>
      </c>
      <c r="J40" s="557">
        <f t="shared" si="45"/>
        <v>0</v>
      </c>
      <c r="K40" s="558">
        <f>SUM(B40:J40)</f>
        <v>2</v>
      </c>
      <c r="M40" s="559"/>
      <c r="N40" s="559" t="s">
        <v>402</v>
      </c>
      <c r="O40" s="23">
        <v>2</v>
      </c>
      <c r="P40" s="23">
        <v>1</v>
      </c>
      <c r="Q40" s="23">
        <v>1</v>
      </c>
      <c r="R40" s="23"/>
      <c r="S40" s="23">
        <v>2</v>
      </c>
      <c r="T40" s="23">
        <v>5</v>
      </c>
      <c r="U40" s="23">
        <v>2</v>
      </c>
      <c r="V40" s="23">
        <v>3</v>
      </c>
      <c r="W40" s="23">
        <v>1</v>
      </c>
      <c r="X40" s="23">
        <v>9</v>
      </c>
      <c r="Y40" s="23">
        <v>10</v>
      </c>
      <c r="Z40" s="23">
        <v>31</v>
      </c>
      <c r="AA40" s="23">
        <v>218</v>
      </c>
      <c r="AB40" s="23">
        <v>14</v>
      </c>
      <c r="AC40" s="23">
        <v>1</v>
      </c>
      <c r="AD40" s="23">
        <v>1</v>
      </c>
      <c r="AE40" s="23">
        <v>74</v>
      </c>
      <c r="AF40" s="23">
        <v>94</v>
      </c>
      <c r="AG40" s="23">
        <v>33</v>
      </c>
      <c r="AH40" s="23">
        <v>8</v>
      </c>
      <c r="AI40" s="559"/>
      <c r="AJ40" s="559" t="s">
        <v>402</v>
      </c>
      <c r="AK40" s="407">
        <f t="shared" si="27"/>
        <v>4</v>
      </c>
      <c r="AL40" s="407">
        <f t="shared" si="28"/>
        <v>2</v>
      </c>
      <c r="AM40" s="407">
        <f t="shared" si="29"/>
        <v>11</v>
      </c>
      <c r="AN40" s="407">
        <f t="shared" si="30"/>
        <v>19</v>
      </c>
      <c r="AO40" s="407">
        <f t="shared" si="31"/>
        <v>249</v>
      </c>
      <c r="AP40" s="407">
        <f t="shared" si="32"/>
        <v>16</v>
      </c>
      <c r="AQ40" s="407">
        <f t="shared" si="33"/>
        <v>74</v>
      </c>
      <c r="AR40" s="407">
        <f t="shared" si="33"/>
        <v>94</v>
      </c>
      <c r="AS40" s="407">
        <f t="shared" si="34"/>
        <v>41</v>
      </c>
    </row>
    <row r="41" spans="1:45" s="22" customFormat="1" x14ac:dyDescent="0.15">
      <c r="A41" s="719"/>
      <c r="B41" s="561">
        <f>B40/B$44</f>
        <v>0</v>
      </c>
      <c r="C41" s="561">
        <f t="shared" ref="C41:K41" si="46">C40/C$44</f>
        <v>0</v>
      </c>
      <c r="D41" s="561">
        <f t="shared" si="46"/>
        <v>1.4204545454545455E-3</v>
      </c>
      <c r="E41" s="561">
        <f t="shared" si="46"/>
        <v>0</v>
      </c>
      <c r="F41" s="561">
        <f t="shared" si="46"/>
        <v>0</v>
      </c>
      <c r="G41" s="561">
        <f t="shared" si="46"/>
        <v>0</v>
      </c>
      <c r="H41" s="561">
        <f t="shared" si="46"/>
        <v>5.5897149245388487E-4</v>
      </c>
      <c r="I41" s="561">
        <f t="shared" si="46"/>
        <v>0</v>
      </c>
      <c r="J41" s="561">
        <f t="shared" si="46"/>
        <v>0</v>
      </c>
      <c r="K41" s="561">
        <f t="shared" si="46"/>
        <v>2.1877050973528769E-4</v>
      </c>
      <c r="M41" s="559"/>
      <c r="N41" s="559" t="s">
        <v>403</v>
      </c>
      <c r="O41" s="23">
        <v>2</v>
      </c>
      <c r="P41" s="23">
        <v>2</v>
      </c>
      <c r="Q41" s="23">
        <v>2</v>
      </c>
      <c r="R41" s="23">
        <v>2</v>
      </c>
      <c r="S41" s="23">
        <v>2</v>
      </c>
      <c r="T41" s="23">
        <v>3</v>
      </c>
      <c r="U41" s="23">
        <v>4</v>
      </c>
      <c r="V41" s="23">
        <v>5</v>
      </c>
      <c r="W41" s="23">
        <v>12</v>
      </c>
      <c r="X41" s="23">
        <v>47</v>
      </c>
      <c r="Y41" s="23">
        <v>13</v>
      </c>
      <c r="Z41" s="23">
        <v>9</v>
      </c>
      <c r="AA41" s="23">
        <v>11</v>
      </c>
      <c r="AB41" s="23">
        <v>412</v>
      </c>
      <c r="AC41" s="23">
        <v>40</v>
      </c>
      <c r="AD41" s="23">
        <v>17</v>
      </c>
      <c r="AE41" s="23">
        <v>187</v>
      </c>
      <c r="AF41" s="23">
        <v>107</v>
      </c>
      <c r="AG41" s="23">
        <v>69</v>
      </c>
      <c r="AH41" s="23">
        <v>9</v>
      </c>
      <c r="AI41" s="559"/>
      <c r="AJ41" s="559" t="s">
        <v>403</v>
      </c>
      <c r="AK41" s="407">
        <f t="shared" si="27"/>
        <v>6</v>
      </c>
      <c r="AL41" s="407">
        <f t="shared" si="28"/>
        <v>4</v>
      </c>
      <c r="AM41" s="407">
        <f t="shared" si="29"/>
        <v>24</v>
      </c>
      <c r="AN41" s="407">
        <f t="shared" si="30"/>
        <v>60</v>
      </c>
      <c r="AO41" s="407">
        <f t="shared" si="31"/>
        <v>20</v>
      </c>
      <c r="AP41" s="407">
        <f t="shared" si="32"/>
        <v>469</v>
      </c>
      <c r="AQ41" s="407">
        <f t="shared" si="33"/>
        <v>187</v>
      </c>
      <c r="AR41" s="407">
        <f t="shared" si="33"/>
        <v>107</v>
      </c>
      <c r="AS41" s="407">
        <f t="shared" si="34"/>
        <v>78</v>
      </c>
    </row>
    <row r="42" spans="1:45" s="22" customFormat="1" x14ac:dyDescent="0.15">
      <c r="A42" s="703" t="s">
        <v>537</v>
      </c>
      <c r="B42" s="557">
        <f>AK45</f>
        <v>13</v>
      </c>
      <c r="C42" s="557">
        <f t="shared" ref="C42:J42" si="47">AL45</f>
        <v>4</v>
      </c>
      <c r="D42" s="557">
        <f t="shared" si="47"/>
        <v>11</v>
      </c>
      <c r="E42" s="557">
        <f t="shared" si="47"/>
        <v>30</v>
      </c>
      <c r="F42" s="557">
        <f t="shared" si="47"/>
        <v>121</v>
      </c>
      <c r="G42" s="557">
        <f t="shared" si="47"/>
        <v>39</v>
      </c>
      <c r="H42" s="557">
        <f t="shared" si="47"/>
        <v>309</v>
      </c>
      <c r="I42" s="557">
        <f t="shared" si="47"/>
        <v>553</v>
      </c>
      <c r="J42" s="557">
        <f t="shared" si="47"/>
        <v>58</v>
      </c>
      <c r="K42" s="558">
        <f>SUM(B42:J42)</f>
        <v>1138</v>
      </c>
      <c r="M42" s="559"/>
      <c r="N42" s="559" t="s">
        <v>404</v>
      </c>
      <c r="O42" s="23">
        <v>3</v>
      </c>
      <c r="P42" s="23">
        <v>6</v>
      </c>
      <c r="Q42" s="23">
        <v>5</v>
      </c>
      <c r="R42" s="23">
        <v>6</v>
      </c>
      <c r="S42" s="23">
        <v>3</v>
      </c>
      <c r="T42" s="23">
        <v>5</v>
      </c>
      <c r="U42" s="23">
        <v>9</v>
      </c>
      <c r="V42" s="23">
        <v>7</v>
      </c>
      <c r="W42" s="23">
        <v>4</v>
      </c>
      <c r="X42" s="23">
        <v>34</v>
      </c>
      <c r="Y42" s="23">
        <v>14</v>
      </c>
      <c r="Z42" s="23">
        <v>21</v>
      </c>
      <c r="AA42" s="23">
        <v>23</v>
      </c>
      <c r="AB42" s="23">
        <v>103</v>
      </c>
      <c r="AC42" s="23">
        <v>803</v>
      </c>
      <c r="AD42" s="23">
        <v>108</v>
      </c>
      <c r="AE42" s="23">
        <v>334</v>
      </c>
      <c r="AF42" s="23">
        <v>88</v>
      </c>
      <c r="AG42" s="23">
        <v>112</v>
      </c>
      <c r="AH42" s="23">
        <v>72</v>
      </c>
      <c r="AI42" s="559"/>
      <c r="AJ42" s="559" t="s">
        <v>404</v>
      </c>
      <c r="AK42" s="407">
        <f t="shared" si="27"/>
        <v>14</v>
      </c>
      <c r="AL42" s="407">
        <f t="shared" si="28"/>
        <v>9</v>
      </c>
      <c r="AM42" s="407">
        <f t="shared" si="29"/>
        <v>25</v>
      </c>
      <c r="AN42" s="407">
        <f t="shared" si="30"/>
        <v>48</v>
      </c>
      <c r="AO42" s="407">
        <f t="shared" si="31"/>
        <v>44</v>
      </c>
      <c r="AP42" s="407">
        <f t="shared" si="32"/>
        <v>1014</v>
      </c>
      <c r="AQ42" s="407">
        <f t="shared" si="33"/>
        <v>334</v>
      </c>
      <c r="AR42" s="407">
        <f t="shared" si="33"/>
        <v>88</v>
      </c>
      <c r="AS42" s="407">
        <f t="shared" si="34"/>
        <v>184</v>
      </c>
    </row>
    <row r="43" spans="1:45" s="22" customFormat="1" x14ac:dyDescent="0.15">
      <c r="A43" s="719"/>
      <c r="B43" s="561">
        <f>B42/B$44</f>
        <v>1.7783857729138167E-2</v>
      </c>
      <c r="C43" s="561">
        <f t="shared" ref="C43:K43" si="48">C42/C$44</f>
        <v>5.3120849933598934E-3</v>
      </c>
      <c r="D43" s="561">
        <f t="shared" si="48"/>
        <v>1.5625E-2</v>
      </c>
      <c r="E43" s="561">
        <f t="shared" si="48"/>
        <v>4.8701298701298704E-2</v>
      </c>
      <c r="F43" s="561">
        <f t="shared" si="48"/>
        <v>0.19966996699669967</v>
      </c>
      <c r="G43" s="561">
        <f t="shared" si="48"/>
        <v>1.8215787015413359E-2</v>
      </c>
      <c r="H43" s="561">
        <f t="shared" si="48"/>
        <v>0.17272219116825041</v>
      </c>
      <c r="I43" s="561">
        <f t="shared" si="48"/>
        <v>0.61856823266219241</v>
      </c>
      <c r="J43" s="561">
        <f t="shared" si="48"/>
        <v>6.3876651982378851E-2</v>
      </c>
      <c r="K43" s="561">
        <f t="shared" si="48"/>
        <v>0.12448042003937869</v>
      </c>
      <c r="M43" s="559"/>
      <c r="N43" s="559" t="s">
        <v>405</v>
      </c>
      <c r="O43" s="23">
        <v>1</v>
      </c>
      <c r="P43" s="23">
        <v>2</v>
      </c>
      <c r="Q43" s="23">
        <v>2</v>
      </c>
      <c r="R43" s="23">
        <v>2</v>
      </c>
      <c r="S43" s="23">
        <v>3</v>
      </c>
      <c r="T43" s="23">
        <v>7</v>
      </c>
      <c r="U43" s="23">
        <v>7</v>
      </c>
      <c r="V43" s="23">
        <v>20</v>
      </c>
      <c r="W43" s="23">
        <v>2</v>
      </c>
      <c r="X43" s="23">
        <v>6</v>
      </c>
      <c r="Y43" s="23">
        <v>8</v>
      </c>
      <c r="Z43" s="23">
        <v>5</v>
      </c>
      <c r="AA43" s="23">
        <v>4</v>
      </c>
      <c r="AB43" s="23">
        <v>22</v>
      </c>
      <c r="AC43" s="23">
        <v>75</v>
      </c>
      <c r="AD43" s="23">
        <v>489</v>
      </c>
      <c r="AE43" s="23">
        <v>107</v>
      </c>
      <c r="AF43" s="23">
        <v>17</v>
      </c>
      <c r="AG43" s="23">
        <v>86</v>
      </c>
      <c r="AH43" s="23">
        <v>1</v>
      </c>
      <c r="AI43" s="559"/>
      <c r="AJ43" s="559" t="s">
        <v>405</v>
      </c>
      <c r="AK43" s="407">
        <f t="shared" si="27"/>
        <v>5</v>
      </c>
      <c r="AL43" s="407">
        <f t="shared" si="28"/>
        <v>5</v>
      </c>
      <c r="AM43" s="407">
        <f t="shared" si="29"/>
        <v>36</v>
      </c>
      <c r="AN43" s="407">
        <f t="shared" si="30"/>
        <v>14</v>
      </c>
      <c r="AO43" s="407">
        <f t="shared" si="31"/>
        <v>9</v>
      </c>
      <c r="AP43" s="407">
        <f t="shared" si="32"/>
        <v>586</v>
      </c>
      <c r="AQ43" s="407">
        <f t="shared" si="33"/>
        <v>107</v>
      </c>
      <c r="AR43" s="407">
        <f t="shared" si="33"/>
        <v>17</v>
      </c>
      <c r="AS43" s="407">
        <f t="shared" si="34"/>
        <v>87</v>
      </c>
    </row>
    <row r="44" spans="1:45" s="22" customFormat="1" x14ac:dyDescent="0.15">
      <c r="A44" s="732" t="s">
        <v>11</v>
      </c>
      <c r="B44" s="562">
        <f>SUM(B28,B30,B32,B34,B36,B38,B40,B42)</f>
        <v>731</v>
      </c>
      <c r="C44" s="562">
        <f t="shared" ref="C44:K45" si="49">SUM(C28,C30,C32,C34,C36,C38,C40,C42)</f>
        <v>753</v>
      </c>
      <c r="D44" s="562">
        <f t="shared" si="49"/>
        <v>704</v>
      </c>
      <c r="E44" s="562">
        <f t="shared" si="49"/>
        <v>616</v>
      </c>
      <c r="F44" s="562">
        <f t="shared" si="49"/>
        <v>606</v>
      </c>
      <c r="G44" s="562">
        <f t="shared" si="49"/>
        <v>2141</v>
      </c>
      <c r="H44" s="562">
        <f t="shared" si="49"/>
        <v>1789</v>
      </c>
      <c r="I44" s="562">
        <f t="shared" si="49"/>
        <v>894</v>
      </c>
      <c r="J44" s="562">
        <f t="shared" si="49"/>
        <v>908</v>
      </c>
      <c r="K44" s="562">
        <f t="shared" si="49"/>
        <v>9142</v>
      </c>
      <c r="M44" s="559"/>
      <c r="N44" s="559" t="s">
        <v>406</v>
      </c>
      <c r="O44" s="23"/>
      <c r="P44" s="23"/>
      <c r="Q44" s="23"/>
      <c r="R44" s="23"/>
      <c r="S44" s="23"/>
      <c r="T44" s="23"/>
      <c r="U44" s="23"/>
      <c r="V44" s="23"/>
      <c r="W44" s="23">
        <v>1</v>
      </c>
      <c r="X44" s="23"/>
      <c r="Y44" s="23"/>
      <c r="Z44" s="23"/>
      <c r="AA44" s="23"/>
      <c r="AB44" s="23"/>
      <c r="AC44" s="23"/>
      <c r="AD44" s="23"/>
      <c r="AE44" s="23">
        <v>1</v>
      </c>
      <c r="AF44" s="23"/>
      <c r="AG44" s="23"/>
      <c r="AH44" s="23"/>
      <c r="AI44" s="559"/>
      <c r="AJ44" s="559" t="s">
        <v>406</v>
      </c>
      <c r="AK44" s="407">
        <f t="shared" si="27"/>
        <v>0</v>
      </c>
      <c r="AL44" s="407">
        <f t="shared" si="28"/>
        <v>0</v>
      </c>
      <c r="AM44" s="407">
        <f t="shared" si="29"/>
        <v>1</v>
      </c>
      <c r="AN44" s="407">
        <f t="shared" si="30"/>
        <v>0</v>
      </c>
      <c r="AO44" s="407">
        <f t="shared" si="31"/>
        <v>0</v>
      </c>
      <c r="AP44" s="407">
        <f t="shared" si="32"/>
        <v>0</v>
      </c>
      <c r="AQ44" s="407">
        <f t="shared" si="33"/>
        <v>1</v>
      </c>
      <c r="AR44" s="407">
        <f t="shared" si="33"/>
        <v>0</v>
      </c>
      <c r="AS44" s="407">
        <f t="shared" si="34"/>
        <v>0</v>
      </c>
    </row>
    <row r="45" spans="1:45" s="22" customFormat="1" x14ac:dyDescent="0.15">
      <c r="A45" s="733"/>
      <c r="B45" s="563">
        <f>SUM(B29,B31,B33,B35,B37,B39,B41,B43)</f>
        <v>1</v>
      </c>
      <c r="C45" s="563">
        <f t="shared" si="49"/>
        <v>0.99999999999999989</v>
      </c>
      <c r="D45" s="563">
        <f t="shared" si="49"/>
        <v>1</v>
      </c>
      <c r="E45" s="563">
        <f t="shared" si="49"/>
        <v>1</v>
      </c>
      <c r="F45" s="563">
        <f t="shared" si="49"/>
        <v>1</v>
      </c>
      <c r="G45" s="563">
        <f t="shared" si="49"/>
        <v>1</v>
      </c>
      <c r="H45" s="563">
        <f t="shared" si="49"/>
        <v>1</v>
      </c>
      <c r="I45" s="563">
        <f t="shared" si="49"/>
        <v>1</v>
      </c>
      <c r="J45" s="563">
        <f t="shared" si="49"/>
        <v>1</v>
      </c>
      <c r="K45" s="563">
        <f t="shared" si="49"/>
        <v>1</v>
      </c>
      <c r="M45" s="559"/>
      <c r="N45" s="559" t="s">
        <v>407</v>
      </c>
      <c r="O45" s="23">
        <v>3</v>
      </c>
      <c r="P45" s="23">
        <v>6</v>
      </c>
      <c r="Q45" s="23">
        <v>4</v>
      </c>
      <c r="R45" s="23">
        <v>4</v>
      </c>
      <c r="S45" s="23"/>
      <c r="T45" s="23">
        <v>4</v>
      </c>
      <c r="U45" s="23">
        <v>2</v>
      </c>
      <c r="V45" s="23">
        <v>2</v>
      </c>
      <c r="W45" s="23">
        <v>3</v>
      </c>
      <c r="X45" s="23">
        <v>19</v>
      </c>
      <c r="Y45" s="23">
        <v>11</v>
      </c>
      <c r="Z45" s="23">
        <v>88</v>
      </c>
      <c r="AA45" s="23">
        <v>33</v>
      </c>
      <c r="AB45" s="23">
        <v>26</v>
      </c>
      <c r="AC45" s="23">
        <v>9</v>
      </c>
      <c r="AD45" s="23">
        <v>4</v>
      </c>
      <c r="AE45" s="23">
        <v>309</v>
      </c>
      <c r="AF45" s="23">
        <v>553</v>
      </c>
      <c r="AG45" s="23">
        <v>47</v>
      </c>
      <c r="AH45" s="23">
        <v>11</v>
      </c>
      <c r="AI45" s="559"/>
      <c r="AJ45" s="559" t="s">
        <v>407</v>
      </c>
      <c r="AK45" s="407">
        <f>SUM(O45:Q45)</f>
        <v>13</v>
      </c>
      <c r="AL45" s="407">
        <f t="shared" si="28"/>
        <v>4</v>
      </c>
      <c r="AM45" s="407">
        <f t="shared" si="29"/>
        <v>11</v>
      </c>
      <c r="AN45" s="407">
        <f t="shared" si="30"/>
        <v>30</v>
      </c>
      <c r="AO45" s="407">
        <f t="shared" si="31"/>
        <v>121</v>
      </c>
      <c r="AP45" s="407">
        <f t="shared" si="32"/>
        <v>39</v>
      </c>
      <c r="AQ45" s="407">
        <f t="shared" si="33"/>
        <v>309</v>
      </c>
      <c r="AR45" s="407">
        <f t="shared" si="33"/>
        <v>553</v>
      </c>
      <c r="AS45" s="407">
        <f t="shared" si="34"/>
        <v>58</v>
      </c>
    </row>
    <row r="46" spans="1:45" x14ac:dyDescent="0.15">
      <c r="AI46" s="43"/>
      <c r="AJ46" s="43"/>
      <c r="AK46" s="43"/>
      <c r="AQ46" s="43"/>
      <c r="AR46" s="43"/>
      <c r="AS46" s="43"/>
    </row>
    <row r="47" spans="1:45" x14ac:dyDescent="0.15">
      <c r="A47" s="378"/>
      <c r="B47" s="378"/>
      <c r="C47" s="378"/>
      <c r="D47" s="378"/>
      <c r="E47" s="378"/>
      <c r="F47" s="378"/>
      <c r="G47" s="378"/>
      <c r="H47" s="378"/>
      <c r="I47" s="378"/>
      <c r="J47" s="378"/>
      <c r="K47" s="378"/>
      <c r="L47" s="378"/>
      <c r="M47" s="378"/>
    </row>
    <row r="48" spans="1:45" x14ac:dyDescent="0.15">
      <c r="A48" s="54"/>
    </row>
    <row r="49" spans="1:8" x14ac:dyDescent="0.15">
      <c r="A49" s="54"/>
    </row>
    <row r="50" spans="1:8" x14ac:dyDescent="0.15">
      <c r="A50" s="54"/>
    </row>
    <row r="51" spans="1:8" x14ac:dyDescent="0.15">
      <c r="A51" s="54"/>
    </row>
    <row r="52" spans="1:8" x14ac:dyDescent="0.15">
      <c r="A52" s="54"/>
    </row>
    <row r="53" spans="1:8" x14ac:dyDescent="0.15">
      <c r="A53" s="54"/>
      <c r="H53" s="565"/>
    </row>
    <row r="54" spans="1:8" x14ac:dyDescent="0.15">
      <c r="A54" s="54"/>
    </row>
    <row r="55" spans="1:8" x14ac:dyDescent="0.15">
      <c r="A55" s="54"/>
    </row>
  </sheetData>
  <mergeCells count="22">
    <mergeCell ref="A38:A39"/>
    <mergeCell ref="A40:A41"/>
    <mergeCell ref="A42:A43"/>
    <mergeCell ref="A44:A45"/>
    <mergeCell ref="B26:K26"/>
    <mergeCell ref="A28:A29"/>
    <mergeCell ref="A30:A31"/>
    <mergeCell ref="A32:A33"/>
    <mergeCell ref="A34:A35"/>
    <mergeCell ref="A36:A37"/>
    <mergeCell ref="A26:A27"/>
    <mergeCell ref="A13:A14"/>
    <mergeCell ref="A15:A16"/>
    <mergeCell ref="A17:A18"/>
    <mergeCell ref="A19:A20"/>
    <mergeCell ref="A21:A22"/>
    <mergeCell ref="A11:A12"/>
    <mergeCell ref="A3:A4"/>
    <mergeCell ref="B3:K3"/>
    <mergeCell ref="A5:A6"/>
    <mergeCell ref="A7:A8"/>
    <mergeCell ref="A9:A10"/>
  </mergeCells>
  <phoneticPr fontId="2"/>
  <printOptions horizontalCentered="1"/>
  <pageMargins left="0.70866141732283472" right="0.70866141732283472" top="0.74803149606299213" bottom="0.74803149606299213" header="0.31496062992125984" footer="0.31496062992125984"/>
  <pageSetup paperSize="9" scale="89" orientation="portrait"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Q89"/>
  <sheetViews>
    <sheetView zoomScaleNormal="100" zoomScaleSheetLayoutView="100" workbookViewId="0">
      <selection activeCell="D84" sqref="D84"/>
    </sheetView>
  </sheetViews>
  <sheetFormatPr defaultRowHeight="18.75" x14ac:dyDescent="0.15"/>
  <cols>
    <col min="1" max="1" width="4" style="1" bestFit="1" customWidth="1"/>
    <col min="2" max="2" width="10.875" style="566" customWidth="1"/>
    <col min="3" max="3" width="4.375" style="566" bestFit="1" customWidth="1"/>
    <col min="4" max="4" width="4.25" style="566" customWidth="1"/>
    <col min="5" max="8" width="5.375" style="566" bestFit="1" customWidth="1"/>
    <col min="9" max="9" width="7" style="566" bestFit="1" customWidth="1"/>
    <col min="10" max="10" width="4.375" style="566" bestFit="1" customWidth="1"/>
    <col min="11" max="14" width="5.375" style="566" bestFit="1" customWidth="1"/>
    <col min="15" max="15" width="5" style="566" bestFit="1" customWidth="1"/>
    <col min="16" max="16" width="7" style="566" bestFit="1" customWidth="1"/>
    <col min="17" max="17" width="6.875" style="566" customWidth="1"/>
    <col min="18" max="16384" width="9" style="1"/>
  </cols>
  <sheetData>
    <row r="1" spans="1:17" x14ac:dyDescent="0.15">
      <c r="B1" s="4" t="s">
        <v>539</v>
      </c>
    </row>
    <row r="3" spans="1:17" x14ac:dyDescent="0.15">
      <c r="B3" s="567"/>
      <c r="C3" s="734" t="s">
        <v>540</v>
      </c>
      <c r="D3" s="735"/>
      <c r="E3" s="735"/>
      <c r="F3" s="735"/>
      <c r="G3" s="735"/>
      <c r="H3" s="735"/>
      <c r="I3" s="736"/>
      <c r="J3" s="734" t="s">
        <v>541</v>
      </c>
      <c r="K3" s="735"/>
      <c r="L3" s="735"/>
      <c r="M3" s="735"/>
      <c r="N3" s="735"/>
      <c r="O3" s="735"/>
      <c r="P3" s="736"/>
      <c r="Q3" s="737" t="s">
        <v>62</v>
      </c>
    </row>
    <row r="4" spans="1:17" ht="44.25" customHeight="1" x14ac:dyDescent="0.15">
      <c r="B4" s="568"/>
      <c r="C4" s="569" t="s">
        <v>277</v>
      </c>
      <c r="D4" s="570" t="s">
        <v>278</v>
      </c>
      <c r="E4" s="569" t="s">
        <v>542</v>
      </c>
      <c r="F4" s="569" t="s">
        <v>543</v>
      </c>
      <c r="G4" s="569" t="s">
        <v>544</v>
      </c>
      <c r="H4" s="569" t="s">
        <v>545</v>
      </c>
      <c r="I4" s="569" t="s">
        <v>546</v>
      </c>
      <c r="J4" s="569" t="s">
        <v>277</v>
      </c>
      <c r="K4" s="570" t="s">
        <v>278</v>
      </c>
      <c r="L4" s="569" t="s">
        <v>542</v>
      </c>
      <c r="M4" s="569" t="s">
        <v>543</v>
      </c>
      <c r="N4" s="569" t="s">
        <v>544</v>
      </c>
      <c r="O4" s="569" t="s">
        <v>545</v>
      </c>
      <c r="P4" s="569" t="s">
        <v>546</v>
      </c>
      <c r="Q4" s="738"/>
    </row>
    <row r="5" spans="1:17" s="226" customFormat="1" x14ac:dyDescent="0.15">
      <c r="A5" s="226">
        <v>1</v>
      </c>
      <c r="B5" s="249" t="s">
        <v>547</v>
      </c>
      <c r="C5" s="571"/>
      <c r="D5" s="571">
        <v>7</v>
      </c>
      <c r="E5" s="571">
        <v>9</v>
      </c>
      <c r="F5" s="571">
        <v>26</v>
      </c>
      <c r="G5" s="571">
        <v>16</v>
      </c>
      <c r="H5" s="571">
        <v>4</v>
      </c>
      <c r="I5" s="571">
        <f>SUM(C5:H5)</f>
        <v>62</v>
      </c>
      <c r="J5" s="571"/>
      <c r="K5" s="571">
        <v>4</v>
      </c>
      <c r="L5" s="571">
        <v>3</v>
      </c>
      <c r="M5" s="571">
        <v>15</v>
      </c>
      <c r="N5" s="571">
        <v>10</v>
      </c>
      <c r="O5" s="571">
        <v>3</v>
      </c>
      <c r="P5" s="571">
        <f>SUM(J5:O5)</f>
        <v>35</v>
      </c>
      <c r="Q5" s="572">
        <f>SUM(I5,P5)</f>
        <v>97</v>
      </c>
    </row>
    <row r="6" spans="1:17" s="226" customFormat="1" x14ac:dyDescent="0.15">
      <c r="A6" s="226">
        <v>2</v>
      </c>
      <c r="B6" s="249" t="s">
        <v>548</v>
      </c>
      <c r="C6" s="571"/>
      <c r="D6" s="571">
        <v>3</v>
      </c>
      <c r="E6" s="571">
        <v>10</v>
      </c>
      <c r="F6" s="571">
        <v>61</v>
      </c>
      <c r="G6" s="571">
        <v>41</v>
      </c>
      <c r="H6" s="571">
        <v>11</v>
      </c>
      <c r="I6" s="571">
        <f t="shared" ref="I6:I45" si="0">SUM(C6:H6)</f>
        <v>126</v>
      </c>
      <c r="J6" s="571">
        <v>1</v>
      </c>
      <c r="K6" s="571">
        <v>5</v>
      </c>
      <c r="L6" s="571">
        <v>18</v>
      </c>
      <c r="M6" s="571">
        <v>20</v>
      </c>
      <c r="N6" s="571">
        <v>29</v>
      </c>
      <c r="O6" s="571">
        <v>1</v>
      </c>
      <c r="P6" s="571">
        <f t="shared" ref="P6:P45" si="1">SUM(J6:O6)</f>
        <v>74</v>
      </c>
      <c r="Q6" s="572">
        <f t="shared" ref="Q6:Q71" si="2">SUM(I6,P6)</f>
        <v>200</v>
      </c>
    </row>
    <row r="7" spans="1:17" s="226" customFormat="1" x14ac:dyDescent="0.15">
      <c r="A7" s="226">
        <v>3</v>
      </c>
      <c r="B7" s="249" t="s">
        <v>549</v>
      </c>
      <c r="C7" s="571"/>
      <c r="D7" s="571"/>
      <c r="E7" s="571">
        <v>1</v>
      </c>
      <c r="F7" s="571">
        <v>11</v>
      </c>
      <c r="G7" s="571">
        <v>5</v>
      </c>
      <c r="H7" s="571">
        <v>2</v>
      </c>
      <c r="I7" s="571">
        <f t="shared" si="0"/>
        <v>19</v>
      </c>
      <c r="J7" s="571">
        <v>2</v>
      </c>
      <c r="K7" s="571">
        <v>1</v>
      </c>
      <c r="L7" s="571"/>
      <c r="M7" s="571">
        <v>1</v>
      </c>
      <c r="N7" s="571"/>
      <c r="O7" s="571"/>
      <c r="P7" s="571">
        <f t="shared" si="1"/>
        <v>4</v>
      </c>
      <c r="Q7" s="572">
        <f t="shared" si="2"/>
        <v>23</v>
      </c>
    </row>
    <row r="8" spans="1:17" s="226" customFormat="1" x14ac:dyDescent="0.15">
      <c r="A8" s="226">
        <v>4</v>
      </c>
      <c r="B8" s="249" t="s">
        <v>550</v>
      </c>
      <c r="C8" s="571"/>
      <c r="D8" s="571"/>
      <c r="E8" s="571">
        <v>2</v>
      </c>
      <c r="F8" s="571">
        <v>5</v>
      </c>
      <c r="G8" s="571">
        <v>7</v>
      </c>
      <c r="H8" s="571">
        <v>2</v>
      </c>
      <c r="I8" s="571">
        <f t="shared" si="0"/>
        <v>16</v>
      </c>
      <c r="J8" s="571"/>
      <c r="K8" s="571">
        <v>1</v>
      </c>
      <c r="L8" s="571">
        <v>1</v>
      </c>
      <c r="M8" s="571">
        <v>7</v>
      </c>
      <c r="N8" s="571">
        <v>3</v>
      </c>
      <c r="O8" s="571"/>
      <c r="P8" s="571">
        <f t="shared" si="1"/>
        <v>12</v>
      </c>
      <c r="Q8" s="572">
        <f t="shared" si="2"/>
        <v>28</v>
      </c>
    </row>
    <row r="9" spans="1:17" s="226" customFormat="1" x14ac:dyDescent="0.15">
      <c r="A9" s="226">
        <v>5</v>
      </c>
      <c r="B9" s="249" t="s">
        <v>551</v>
      </c>
      <c r="C9" s="571">
        <v>5</v>
      </c>
      <c r="D9" s="571">
        <v>11</v>
      </c>
      <c r="E9" s="571">
        <v>27</v>
      </c>
      <c r="F9" s="571">
        <v>101</v>
      </c>
      <c r="G9" s="571">
        <v>83</v>
      </c>
      <c r="H9" s="571">
        <v>25</v>
      </c>
      <c r="I9" s="571">
        <f t="shared" si="0"/>
        <v>252</v>
      </c>
      <c r="J9" s="571">
        <v>8</v>
      </c>
      <c r="K9" s="571">
        <v>32</v>
      </c>
      <c r="L9" s="571">
        <v>55</v>
      </c>
      <c r="M9" s="571">
        <v>76</v>
      </c>
      <c r="N9" s="571">
        <v>41</v>
      </c>
      <c r="O9" s="571">
        <v>9</v>
      </c>
      <c r="P9" s="571">
        <f t="shared" si="1"/>
        <v>221</v>
      </c>
      <c r="Q9" s="572">
        <f t="shared" si="2"/>
        <v>473</v>
      </c>
    </row>
    <row r="10" spans="1:17" s="226" customFormat="1" x14ac:dyDescent="0.15">
      <c r="A10" s="226">
        <v>6</v>
      </c>
      <c r="B10" s="249" t="s">
        <v>552</v>
      </c>
      <c r="C10" s="571">
        <v>1</v>
      </c>
      <c r="D10" s="571">
        <v>16</v>
      </c>
      <c r="E10" s="571">
        <v>39</v>
      </c>
      <c r="F10" s="571">
        <v>101</v>
      </c>
      <c r="G10" s="571">
        <v>83</v>
      </c>
      <c r="H10" s="571">
        <v>16</v>
      </c>
      <c r="I10" s="571">
        <f t="shared" si="0"/>
        <v>256</v>
      </c>
      <c r="J10" s="571">
        <v>8</v>
      </c>
      <c r="K10" s="571">
        <v>18</v>
      </c>
      <c r="L10" s="571">
        <v>33</v>
      </c>
      <c r="M10" s="571">
        <v>70</v>
      </c>
      <c r="N10" s="571">
        <v>37</v>
      </c>
      <c r="O10" s="571">
        <v>10</v>
      </c>
      <c r="P10" s="571">
        <f t="shared" si="1"/>
        <v>176</v>
      </c>
      <c r="Q10" s="572">
        <f t="shared" si="2"/>
        <v>432</v>
      </c>
    </row>
    <row r="11" spans="1:17" s="226" customFormat="1" x14ac:dyDescent="0.15">
      <c r="A11" s="226">
        <v>7</v>
      </c>
      <c r="B11" s="249" t="s">
        <v>553</v>
      </c>
      <c r="C11" s="571">
        <v>1</v>
      </c>
      <c r="D11" s="571">
        <v>5</v>
      </c>
      <c r="E11" s="571">
        <v>9</v>
      </c>
      <c r="F11" s="571">
        <v>24</v>
      </c>
      <c r="G11" s="571">
        <v>18</v>
      </c>
      <c r="H11" s="571">
        <v>4</v>
      </c>
      <c r="I11" s="571">
        <f t="shared" si="0"/>
        <v>61</v>
      </c>
      <c r="J11" s="571">
        <v>1</v>
      </c>
      <c r="K11" s="571">
        <v>1</v>
      </c>
      <c r="L11" s="571">
        <v>12</v>
      </c>
      <c r="M11" s="571">
        <v>17</v>
      </c>
      <c r="N11" s="571">
        <v>11</v>
      </c>
      <c r="O11" s="571">
        <v>3</v>
      </c>
      <c r="P11" s="571">
        <f t="shared" si="1"/>
        <v>45</v>
      </c>
      <c r="Q11" s="572">
        <f t="shared" si="2"/>
        <v>106</v>
      </c>
    </row>
    <row r="12" spans="1:17" s="226" customFormat="1" x14ac:dyDescent="0.15">
      <c r="A12" s="226">
        <v>8</v>
      </c>
      <c r="B12" s="249" t="s">
        <v>554</v>
      </c>
      <c r="C12" s="571">
        <v>4</v>
      </c>
      <c r="D12" s="571">
        <v>9</v>
      </c>
      <c r="E12" s="571">
        <v>39</v>
      </c>
      <c r="F12" s="571">
        <v>151</v>
      </c>
      <c r="G12" s="571">
        <v>114</v>
      </c>
      <c r="H12" s="571">
        <v>39</v>
      </c>
      <c r="I12" s="571">
        <f t="shared" si="0"/>
        <v>356</v>
      </c>
      <c r="J12" s="571">
        <v>7</v>
      </c>
      <c r="K12" s="571">
        <v>9</v>
      </c>
      <c r="L12" s="571">
        <v>35</v>
      </c>
      <c r="M12" s="571">
        <v>92</v>
      </c>
      <c r="N12" s="571">
        <v>64</v>
      </c>
      <c r="O12" s="571">
        <v>9</v>
      </c>
      <c r="P12" s="571">
        <f t="shared" si="1"/>
        <v>216</v>
      </c>
      <c r="Q12" s="572">
        <f t="shared" si="2"/>
        <v>572</v>
      </c>
    </row>
    <row r="13" spans="1:17" s="226" customFormat="1" x14ac:dyDescent="0.15">
      <c r="A13" s="226">
        <v>9</v>
      </c>
      <c r="B13" s="249" t="s">
        <v>622</v>
      </c>
      <c r="C13" s="571"/>
      <c r="D13" s="571"/>
      <c r="E13" s="571">
        <v>2</v>
      </c>
      <c r="F13" s="571">
        <v>5</v>
      </c>
      <c r="G13" s="571">
        <v>10</v>
      </c>
      <c r="H13" s="571">
        <v>3</v>
      </c>
      <c r="I13" s="571">
        <f t="shared" si="0"/>
        <v>20</v>
      </c>
      <c r="J13" s="571"/>
      <c r="K13" s="571">
        <v>1</v>
      </c>
      <c r="L13" s="571">
        <v>3</v>
      </c>
      <c r="M13" s="571">
        <v>5</v>
      </c>
      <c r="N13" s="571">
        <v>4</v>
      </c>
      <c r="O13" s="571"/>
      <c r="P13" s="571">
        <f t="shared" si="1"/>
        <v>13</v>
      </c>
      <c r="Q13" s="572">
        <f t="shared" si="2"/>
        <v>33</v>
      </c>
    </row>
    <row r="14" spans="1:17" s="226" customFormat="1" x14ac:dyDescent="0.15">
      <c r="A14" s="226">
        <v>10</v>
      </c>
      <c r="B14" s="249" t="s">
        <v>623</v>
      </c>
      <c r="C14" s="571">
        <v>10</v>
      </c>
      <c r="D14" s="571">
        <v>10</v>
      </c>
      <c r="E14" s="571">
        <v>53</v>
      </c>
      <c r="F14" s="571">
        <v>127</v>
      </c>
      <c r="G14" s="571">
        <v>101</v>
      </c>
      <c r="H14" s="571">
        <v>15</v>
      </c>
      <c r="I14" s="571">
        <f t="shared" si="0"/>
        <v>316</v>
      </c>
      <c r="J14" s="571">
        <v>2</v>
      </c>
      <c r="K14" s="571">
        <v>20</v>
      </c>
      <c r="L14" s="571">
        <v>72</v>
      </c>
      <c r="M14" s="571">
        <v>113</v>
      </c>
      <c r="N14" s="571">
        <v>79</v>
      </c>
      <c r="O14" s="571">
        <v>20</v>
      </c>
      <c r="P14" s="571">
        <f t="shared" si="1"/>
        <v>306</v>
      </c>
      <c r="Q14" s="572">
        <f t="shared" si="2"/>
        <v>622</v>
      </c>
    </row>
    <row r="15" spans="1:17" s="226" customFormat="1" x14ac:dyDescent="0.15">
      <c r="A15" s="226">
        <v>11</v>
      </c>
      <c r="B15" s="249" t="s">
        <v>555</v>
      </c>
      <c r="C15" s="571">
        <v>3</v>
      </c>
      <c r="D15" s="571">
        <v>10</v>
      </c>
      <c r="E15" s="571">
        <v>39</v>
      </c>
      <c r="F15" s="571">
        <v>78</v>
      </c>
      <c r="G15" s="571">
        <v>85</v>
      </c>
      <c r="H15" s="571">
        <v>23</v>
      </c>
      <c r="I15" s="571">
        <f t="shared" si="0"/>
        <v>238</v>
      </c>
      <c r="J15" s="571">
        <v>2</v>
      </c>
      <c r="K15" s="571">
        <v>20</v>
      </c>
      <c r="L15" s="571">
        <v>52</v>
      </c>
      <c r="M15" s="571">
        <v>68</v>
      </c>
      <c r="N15" s="571">
        <v>43</v>
      </c>
      <c r="O15" s="571">
        <v>14</v>
      </c>
      <c r="P15" s="571">
        <f t="shared" si="1"/>
        <v>199</v>
      </c>
      <c r="Q15" s="572">
        <f t="shared" si="2"/>
        <v>437</v>
      </c>
    </row>
    <row r="16" spans="1:17" s="226" customFormat="1" x14ac:dyDescent="0.15">
      <c r="A16" s="226">
        <v>12</v>
      </c>
      <c r="B16" s="249" t="s">
        <v>556</v>
      </c>
      <c r="C16" s="571"/>
      <c r="D16" s="571">
        <v>10</v>
      </c>
      <c r="E16" s="571">
        <v>25</v>
      </c>
      <c r="F16" s="571">
        <v>47</v>
      </c>
      <c r="G16" s="571">
        <v>35</v>
      </c>
      <c r="H16" s="571">
        <v>7</v>
      </c>
      <c r="I16" s="571">
        <f t="shared" si="0"/>
        <v>124</v>
      </c>
      <c r="J16" s="571">
        <v>1</v>
      </c>
      <c r="K16" s="571">
        <v>7</v>
      </c>
      <c r="L16" s="571">
        <v>20</v>
      </c>
      <c r="M16" s="571">
        <v>52</v>
      </c>
      <c r="N16" s="571">
        <v>31</v>
      </c>
      <c r="O16" s="571">
        <v>14</v>
      </c>
      <c r="P16" s="571">
        <f t="shared" si="1"/>
        <v>125</v>
      </c>
      <c r="Q16" s="572">
        <f t="shared" si="2"/>
        <v>249</v>
      </c>
    </row>
    <row r="17" spans="1:17" s="226" customFormat="1" x14ac:dyDescent="0.15">
      <c r="A17" s="226">
        <v>13</v>
      </c>
      <c r="B17" s="249" t="s">
        <v>557</v>
      </c>
      <c r="C17" s="571"/>
      <c r="D17" s="571">
        <v>2</v>
      </c>
      <c r="E17" s="571">
        <v>1</v>
      </c>
      <c r="F17" s="571">
        <v>13</v>
      </c>
      <c r="G17" s="571">
        <v>9</v>
      </c>
      <c r="H17" s="571">
        <v>3</v>
      </c>
      <c r="I17" s="571">
        <f t="shared" si="0"/>
        <v>28</v>
      </c>
      <c r="J17" s="571"/>
      <c r="K17" s="571">
        <v>4</v>
      </c>
      <c r="L17" s="571">
        <v>6</v>
      </c>
      <c r="M17" s="571">
        <v>20</v>
      </c>
      <c r="N17" s="571">
        <v>13</v>
      </c>
      <c r="O17" s="571">
        <v>2</v>
      </c>
      <c r="P17" s="571">
        <f t="shared" si="1"/>
        <v>45</v>
      </c>
      <c r="Q17" s="572">
        <f t="shared" si="2"/>
        <v>73</v>
      </c>
    </row>
    <row r="18" spans="1:17" s="226" customFormat="1" x14ac:dyDescent="0.15">
      <c r="A18" s="226">
        <v>14</v>
      </c>
      <c r="B18" s="249" t="s">
        <v>624</v>
      </c>
      <c r="C18" s="571"/>
      <c r="D18" s="571"/>
      <c r="E18" s="571">
        <v>11</v>
      </c>
      <c r="F18" s="571">
        <v>27</v>
      </c>
      <c r="G18" s="571">
        <v>15</v>
      </c>
      <c r="H18" s="571">
        <v>10</v>
      </c>
      <c r="I18" s="571">
        <f t="shared" si="0"/>
        <v>63</v>
      </c>
      <c r="J18" s="571">
        <v>1</v>
      </c>
      <c r="K18" s="571">
        <v>2</v>
      </c>
      <c r="L18" s="571">
        <v>6</v>
      </c>
      <c r="M18" s="571">
        <v>15</v>
      </c>
      <c r="N18" s="571">
        <v>5</v>
      </c>
      <c r="O18" s="571">
        <v>1</v>
      </c>
      <c r="P18" s="571">
        <f t="shared" si="1"/>
        <v>30</v>
      </c>
      <c r="Q18" s="572">
        <f t="shared" si="2"/>
        <v>93</v>
      </c>
    </row>
    <row r="19" spans="1:17" s="226" customFormat="1" x14ac:dyDescent="0.15">
      <c r="A19" s="226">
        <v>15</v>
      </c>
      <c r="B19" s="249" t="s">
        <v>625</v>
      </c>
      <c r="C19" s="571"/>
      <c r="D19" s="571">
        <v>4</v>
      </c>
      <c r="E19" s="571">
        <v>6</v>
      </c>
      <c r="F19" s="571">
        <v>24</v>
      </c>
      <c r="G19" s="571">
        <v>10</v>
      </c>
      <c r="H19" s="571">
        <v>2</v>
      </c>
      <c r="I19" s="571">
        <f t="shared" si="0"/>
        <v>46</v>
      </c>
      <c r="J19" s="571">
        <v>3</v>
      </c>
      <c r="K19" s="571">
        <v>4</v>
      </c>
      <c r="L19" s="571">
        <v>15</v>
      </c>
      <c r="M19" s="571">
        <v>16</v>
      </c>
      <c r="N19" s="571">
        <v>10</v>
      </c>
      <c r="O19" s="571">
        <v>3</v>
      </c>
      <c r="P19" s="571">
        <f t="shared" si="1"/>
        <v>51</v>
      </c>
      <c r="Q19" s="572">
        <f t="shared" si="2"/>
        <v>97</v>
      </c>
    </row>
    <row r="20" spans="1:17" s="226" customFormat="1" x14ac:dyDescent="0.15">
      <c r="A20" s="226">
        <v>16</v>
      </c>
      <c r="B20" s="249" t="s">
        <v>626</v>
      </c>
      <c r="C20" s="571"/>
      <c r="D20" s="571">
        <v>6</v>
      </c>
      <c r="E20" s="571">
        <v>10</v>
      </c>
      <c r="F20" s="571">
        <v>43</v>
      </c>
      <c r="G20" s="571">
        <v>42</v>
      </c>
      <c r="H20" s="571">
        <v>14</v>
      </c>
      <c r="I20" s="571">
        <f t="shared" si="0"/>
        <v>115</v>
      </c>
      <c r="J20" s="571"/>
      <c r="K20" s="571">
        <v>8</v>
      </c>
      <c r="L20" s="571">
        <v>12</v>
      </c>
      <c r="M20" s="571">
        <v>30</v>
      </c>
      <c r="N20" s="571">
        <v>23</v>
      </c>
      <c r="O20" s="571">
        <v>6</v>
      </c>
      <c r="P20" s="571">
        <f t="shared" si="1"/>
        <v>79</v>
      </c>
      <c r="Q20" s="572">
        <f t="shared" si="2"/>
        <v>194</v>
      </c>
    </row>
    <row r="21" spans="1:17" s="226" customFormat="1" x14ac:dyDescent="0.15">
      <c r="A21" s="226">
        <v>17</v>
      </c>
      <c r="B21" s="249" t="s">
        <v>627</v>
      </c>
      <c r="C21" s="571"/>
      <c r="D21" s="571">
        <v>5</v>
      </c>
      <c r="E21" s="571">
        <v>16</v>
      </c>
      <c r="F21" s="571">
        <v>27</v>
      </c>
      <c r="G21" s="571">
        <v>30</v>
      </c>
      <c r="H21" s="571">
        <v>12</v>
      </c>
      <c r="I21" s="571">
        <f t="shared" si="0"/>
        <v>90</v>
      </c>
      <c r="J21" s="571">
        <v>1</v>
      </c>
      <c r="K21" s="571">
        <v>9</v>
      </c>
      <c r="L21" s="571">
        <v>17</v>
      </c>
      <c r="M21" s="571">
        <v>32</v>
      </c>
      <c r="N21" s="571">
        <v>15</v>
      </c>
      <c r="O21" s="571">
        <v>4</v>
      </c>
      <c r="P21" s="571">
        <f t="shared" si="1"/>
        <v>78</v>
      </c>
      <c r="Q21" s="572">
        <f t="shared" si="2"/>
        <v>168</v>
      </c>
    </row>
    <row r="22" spans="1:17" s="226" customFormat="1" x14ac:dyDescent="0.15">
      <c r="A22" s="226">
        <v>18</v>
      </c>
      <c r="B22" s="249" t="s">
        <v>558</v>
      </c>
      <c r="C22" s="571">
        <v>5</v>
      </c>
      <c r="D22" s="571">
        <v>43</v>
      </c>
      <c r="E22" s="571">
        <v>94</v>
      </c>
      <c r="F22" s="571">
        <v>160</v>
      </c>
      <c r="G22" s="571">
        <v>72</v>
      </c>
      <c r="H22" s="571">
        <v>8</v>
      </c>
      <c r="I22" s="571">
        <f t="shared" si="0"/>
        <v>382</v>
      </c>
      <c r="J22" s="571">
        <v>16</v>
      </c>
      <c r="K22" s="571">
        <v>47</v>
      </c>
      <c r="L22" s="571">
        <v>112</v>
      </c>
      <c r="M22" s="571">
        <v>146</v>
      </c>
      <c r="N22" s="571">
        <v>39</v>
      </c>
      <c r="O22" s="571">
        <v>8</v>
      </c>
      <c r="P22" s="571">
        <f t="shared" si="1"/>
        <v>368</v>
      </c>
      <c r="Q22" s="572">
        <f t="shared" si="2"/>
        <v>750</v>
      </c>
    </row>
    <row r="23" spans="1:17" s="226" customFormat="1" x14ac:dyDescent="0.15">
      <c r="A23" s="226">
        <v>19</v>
      </c>
      <c r="B23" s="249" t="s">
        <v>559</v>
      </c>
      <c r="C23" s="571">
        <v>3</v>
      </c>
      <c r="D23" s="571">
        <v>16</v>
      </c>
      <c r="E23" s="571">
        <v>40</v>
      </c>
      <c r="F23" s="571">
        <v>90</v>
      </c>
      <c r="G23" s="571">
        <v>32</v>
      </c>
      <c r="H23" s="571">
        <v>4</v>
      </c>
      <c r="I23" s="571">
        <f t="shared" si="0"/>
        <v>185</v>
      </c>
      <c r="J23" s="571">
        <v>23</v>
      </c>
      <c r="K23" s="571">
        <v>30</v>
      </c>
      <c r="L23" s="571">
        <v>44</v>
      </c>
      <c r="M23" s="571">
        <v>52</v>
      </c>
      <c r="N23" s="571">
        <v>30</v>
      </c>
      <c r="O23" s="571">
        <v>3</v>
      </c>
      <c r="P23" s="571">
        <f t="shared" si="1"/>
        <v>182</v>
      </c>
      <c r="Q23" s="572">
        <f t="shared" si="2"/>
        <v>367</v>
      </c>
    </row>
    <row r="24" spans="1:17" s="226" customFormat="1" x14ac:dyDescent="0.15">
      <c r="A24" s="226">
        <v>20</v>
      </c>
      <c r="B24" s="249" t="s">
        <v>560</v>
      </c>
      <c r="C24" s="571"/>
      <c r="D24" s="571">
        <v>5</v>
      </c>
      <c r="E24" s="571">
        <v>9</v>
      </c>
      <c r="F24" s="571">
        <v>21</v>
      </c>
      <c r="G24" s="571">
        <v>11</v>
      </c>
      <c r="H24" s="571">
        <v>3</v>
      </c>
      <c r="I24" s="571">
        <f t="shared" si="0"/>
        <v>49</v>
      </c>
      <c r="J24" s="571">
        <v>3</v>
      </c>
      <c r="K24" s="571">
        <v>10</v>
      </c>
      <c r="L24" s="571">
        <v>20</v>
      </c>
      <c r="M24" s="571">
        <v>19</v>
      </c>
      <c r="N24" s="571">
        <v>10</v>
      </c>
      <c r="O24" s="571">
        <v>1</v>
      </c>
      <c r="P24" s="571">
        <f t="shared" si="1"/>
        <v>63</v>
      </c>
      <c r="Q24" s="572">
        <f t="shared" si="2"/>
        <v>112</v>
      </c>
    </row>
    <row r="25" spans="1:17" s="226" customFormat="1" x14ac:dyDescent="0.15">
      <c r="A25" s="226">
        <v>21</v>
      </c>
      <c r="B25" s="249" t="s">
        <v>561</v>
      </c>
      <c r="C25" s="571"/>
      <c r="D25" s="571">
        <v>4</v>
      </c>
      <c r="E25" s="571">
        <v>24</v>
      </c>
      <c r="F25" s="571">
        <v>81</v>
      </c>
      <c r="G25" s="571">
        <v>39</v>
      </c>
      <c r="H25" s="571">
        <v>5</v>
      </c>
      <c r="I25" s="571">
        <f t="shared" si="0"/>
        <v>153</v>
      </c>
      <c r="J25" s="571">
        <v>7</v>
      </c>
      <c r="K25" s="571">
        <v>16</v>
      </c>
      <c r="L25" s="571">
        <v>14</v>
      </c>
      <c r="M25" s="571">
        <v>37</v>
      </c>
      <c r="N25" s="571">
        <v>14</v>
      </c>
      <c r="O25" s="571">
        <v>4</v>
      </c>
      <c r="P25" s="571">
        <f t="shared" si="1"/>
        <v>92</v>
      </c>
      <c r="Q25" s="572">
        <f t="shared" si="2"/>
        <v>245</v>
      </c>
    </row>
    <row r="26" spans="1:17" s="226" customFormat="1" x14ac:dyDescent="0.15">
      <c r="A26" s="226">
        <v>22</v>
      </c>
      <c r="B26" s="249" t="s">
        <v>562</v>
      </c>
      <c r="C26" s="571">
        <v>1</v>
      </c>
      <c r="D26" s="571">
        <v>3</v>
      </c>
      <c r="E26" s="571">
        <v>7</v>
      </c>
      <c r="F26" s="571">
        <v>17</v>
      </c>
      <c r="G26" s="571">
        <v>7</v>
      </c>
      <c r="H26" s="571"/>
      <c r="I26" s="571">
        <f t="shared" si="0"/>
        <v>35</v>
      </c>
      <c r="J26" s="571">
        <v>3</v>
      </c>
      <c r="K26" s="571">
        <v>4</v>
      </c>
      <c r="L26" s="571">
        <v>8</v>
      </c>
      <c r="M26" s="571">
        <v>13</v>
      </c>
      <c r="N26" s="571">
        <v>3</v>
      </c>
      <c r="O26" s="571">
        <v>1</v>
      </c>
      <c r="P26" s="571">
        <f t="shared" si="1"/>
        <v>32</v>
      </c>
      <c r="Q26" s="572">
        <f t="shared" si="2"/>
        <v>67</v>
      </c>
    </row>
    <row r="27" spans="1:17" s="226" customFormat="1" x14ac:dyDescent="0.15">
      <c r="A27" s="226">
        <v>23</v>
      </c>
      <c r="B27" s="249" t="s">
        <v>563</v>
      </c>
      <c r="C27" s="571"/>
      <c r="D27" s="571">
        <v>9</v>
      </c>
      <c r="E27" s="571">
        <v>25</v>
      </c>
      <c r="F27" s="571">
        <v>49</v>
      </c>
      <c r="G27" s="571">
        <v>22</v>
      </c>
      <c r="H27" s="571">
        <v>2</v>
      </c>
      <c r="I27" s="571">
        <f t="shared" si="0"/>
        <v>107</v>
      </c>
      <c r="J27" s="571">
        <v>4</v>
      </c>
      <c r="K27" s="571">
        <v>10</v>
      </c>
      <c r="L27" s="571">
        <v>14</v>
      </c>
      <c r="M27" s="571">
        <v>29</v>
      </c>
      <c r="N27" s="571">
        <v>12</v>
      </c>
      <c r="O27" s="571">
        <v>4</v>
      </c>
      <c r="P27" s="571">
        <f t="shared" si="1"/>
        <v>73</v>
      </c>
      <c r="Q27" s="572">
        <f t="shared" si="2"/>
        <v>180</v>
      </c>
    </row>
    <row r="28" spans="1:17" s="226" customFormat="1" x14ac:dyDescent="0.15">
      <c r="A28" s="226">
        <v>24</v>
      </c>
      <c r="B28" s="249" t="s">
        <v>564</v>
      </c>
      <c r="C28" s="571">
        <v>1</v>
      </c>
      <c r="D28" s="571">
        <v>5</v>
      </c>
      <c r="E28" s="571">
        <v>9</v>
      </c>
      <c r="F28" s="571">
        <v>35</v>
      </c>
      <c r="G28" s="571">
        <v>22</v>
      </c>
      <c r="H28" s="571">
        <v>1</v>
      </c>
      <c r="I28" s="571">
        <f t="shared" si="0"/>
        <v>73</v>
      </c>
      <c r="J28" s="571">
        <v>2</v>
      </c>
      <c r="K28" s="571">
        <v>6</v>
      </c>
      <c r="L28" s="571">
        <v>11</v>
      </c>
      <c r="M28" s="571">
        <v>11</v>
      </c>
      <c r="N28" s="571">
        <v>7</v>
      </c>
      <c r="O28" s="571">
        <v>3</v>
      </c>
      <c r="P28" s="571">
        <f t="shared" si="1"/>
        <v>40</v>
      </c>
      <c r="Q28" s="572">
        <f t="shared" si="2"/>
        <v>113</v>
      </c>
    </row>
    <row r="29" spans="1:17" s="226" customFormat="1" x14ac:dyDescent="0.15">
      <c r="A29" s="226">
        <v>25</v>
      </c>
      <c r="B29" s="249" t="s">
        <v>565</v>
      </c>
      <c r="C29" s="571">
        <v>6</v>
      </c>
      <c r="D29" s="571">
        <v>19</v>
      </c>
      <c r="E29" s="571">
        <v>32</v>
      </c>
      <c r="F29" s="571">
        <v>47</v>
      </c>
      <c r="G29" s="571">
        <v>18</v>
      </c>
      <c r="H29" s="571">
        <v>3</v>
      </c>
      <c r="I29" s="571">
        <f t="shared" si="0"/>
        <v>125</v>
      </c>
      <c r="J29" s="571">
        <v>6</v>
      </c>
      <c r="K29" s="571">
        <v>21</v>
      </c>
      <c r="L29" s="571">
        <v>30</v>
      </c>
      <c r="M29" s="571">
        <v>29</v>
      </c>
      <c r="N29" s="571">
        <v>21</v>
      </c>
      <c r="O29" s="571">
        <v>4</v>
      </c>
      <c r="P29" s="571">
        <f t="shared" si="1"/>
        <v>111</v>
      </c>
      <c r="Q29" s="572">
        <f t="shared" si="2"/>
        <v>236</v>
      </c>
    </row>
    <row r="30" spans="1:17" s="226" customFormat="1" x14ac:dyDescent="0.15">
      <c r="A30" s="226">
        <v>26</v>
      </c>
      <c r="B30" s="249" t="s">
        <v>566</v>
      </c>
      <c r="C30" s="571">
        <v>1</v>
      </c>
      <c r="D30" s="571">
        <v>1</v>
      </c>
      <c r="E30" s="571"/>
      <c r="F30" s="571">
        <v>2</v>
      </c>
      <c r="G30" s="571"/>
      <c r="H30" s="571">
        <v>1</v>
      </c>
      <c r="I30" s="571">
        <f t="shared" si="0"/>
        <v>5</v>
      </c>
      <c r="J30" s="571">
        <v>3</v>
      </c>
      <c r="K30" s="571">
        <v>1</v>
      </c>
      <c r="L30" s="571">
        <v>2</v>
      </c>
      <c r="M30" s="571">
        <v>3</v>
      </c>
      <c r="N30" s="571"/>
      <c r="O30" s="571"/>
      <c r="P30" s="571">
        <f t="shared" si="1"/>
        <v>9</v>
      </c>
      <c r="Q30" s="572">
        <f t="shared" si="2"/>
        <v>14</v>
      </c>
    </row>
    <row r="31" spans="1:17" s="226" customFormat="1" x14ac:dyDescent="0.15">
      <c r="A31" s="226">
        <v>27</v>
      </c>
      <c r="B31" s="249" t="s">
        <v>567</v>
      </c>
      <c r="C31" s="571"/>
      <c r="D31" s="571"/>
      <c r="E31" s="571">
        <v>2</v>
      </c>
      <c r="F31" s="571">
        <v>2</v>
      </c>
      <c r="G31" s="571"/>
      <c r="H31" s="571">
        <v>1</v>
      </c>
      <c r="I31" s="571">
        <f t="shared" si="0"/>
        <v>5</v>
      </c>
      <c r="J31" s="571">
        <v>1</v>
      </c>
      <c r="K31" s="571">
        <v>3</v>
      </c>
      <c r="L31" s="571">
        <v>2</v>
      </c>
      <c r="M31" s="571">
        <v>4</v>
      </c>
      <c r="N31" s="571">
        <v>2</v>
      </c>
      <c r="O31" s="571"/>
      <c r="P31" s="571">
        <f t="shared" si="1"/>
        <v>12</v>
      </c>
      <c r="Q31" s="572">
        <f t="shared" si="2"/>
        <v>17</v>
      </c>
    </row>
    <row r="32" spans="1:17" s="226" customFormat="1" x14ac:dyDescent="0.15">
      <c r="A32" s="226">
        <v>28</v>
      </c>
      <c r="B32" s="249" t="s">
        <v>568</v>
      </c>
      <c r="C32" s="571">
        <v>1</v>
      </c>
      <c r="D32" s="571"/>
      <c r="E32" s="571">
        <v>1</v>
      </c>
      <c r="F32" s="571">
        <v>2</v>
      </c>
      <c r="G32" s="571">
        <v>1</v>
      </c>
      <c r="H32" s="571"/>
      <c r="I32" s="571">
        <f t="shared" si="0"/>
        <v>5</v>
      </c>
      <c r="J32" s="571"/>
      <c r="K32" s="571">
        <v>1</v>
      </c>
      <c r="L32" s="571">
        <v>1</v>
      </c>
      <c r="M32" s="571">
        <v>1</v>
      </c>
      <c r="N32" s="571"/>
      <c r="O32" s="571"/>
      <c r="P32" s="571">
        <f t="shared" si="1"/>
        <v>3</v>
      </c>
      <c r="Q32" s="572">
        <f t="shared" si="2"/>
        <v>8</v>
      </c>
    </row>
    <row r="33" spans="1:17" s="226" customFormat="1" x14ac:dyDescent="0.15">
      <c r="A33" s="226">
        <v>29</v>
      </c>
      <c r="B33" s="249" t="s">
        <v>569</v>
      </c>
      <c r="C33" s="571">
        <v>2</v>
      </c>
      <c r="D33" s="571">
        <v>11</v>
      </c>
      <c r="E33" s="571">
        <v>27</v>
      </c>
      <c r="F33" s="571">
        <v>35</v>
      </c>
      <c r="G33" s="571">
        <v>20</v>
      </c>
      <c r="H33" s="571">
        <v>3</v>
      </c>
      <c r="I33" s="571">
        <f t="shared" si="0"/>
        <v>98</v>
      </c>
      <c r="J33" s="571">
        <v>10</v>
      </c>
      <c r="K33" s="571">
        <v>20</v>
      </c>
      <c r="L33" s="571">
        <v>30</v>
      </c>
      <c r="M33" s="571">
        <v>19</v>
      </c>
      <c r="N33" s="571">
        <v>13</v>
      </c>
      <c r="O33" s="571">
        <v>1</v>
      </c>
      <c r="P33" s="571">
        <f t="shared" si="1"/>
        <v>93</v>
      </c>
      <c r="Q33" s="572">
        <f t="shared" si="2"/>
        <v>191</v>
      </c>
    </row>
    <row r="34" spans="1:17" s="226" customFormat="1" x14ac:dyDescent="0.15">
      <c r="A34" s="226">
        <v>31</v>
      </c>
      <c r="B34" s="249" t="s">
        <v>570</v>
      </c>
      <c r="C34" s="571">
        <v>1</v>
      </c>
      <c r="D34" s="571">
        <v>15</v>
      </c>
      <c r="E34" s="571">
        <v>41</v>
      </c>
      <c r="F34" s="571">
        <v>120</v>
      </c>
      <c r="G34" s="571">
        <v>60</v>
      </c>
      <c r="H34" s="571">
        <v>12</v>
      </c>
      <c r="I34" s="571">
        <f t="shared" si="0"/>
        <v>249</v>
      </c>
      <c r="J34" s="571">
        <v>2</v>
      </c>
      <c r="K34" s="571">
        <v>24</v>
      </c>
      <c r="L34" s="571">
        <v>58</v>
      </c>
      <c r="M34" s="571">
        <v>63</v>
      </c>
      <c r="N34" s="571">
        <v>19</v>
      </c>
      <c r="O34" s="571">
        <v>6</v>
      </c>
      <c r="P34" s="571">
        <f t="shared" si="1"/>
        <v>172</v>
      </c>
      <c r="Q34" s="572">
        <f t="shared" si="2"/>
        <v>421</v>
      </c>
    </row>
    <row r="35" spans="1:17" s="226" customFormat="1" x14ac:dyDescent="0.15">
      <c r="A35" s="226">
        <v>32</v>
      </c>
      <c r="B35" s="249" t="s">
        <v>571</v>
      </c>
      <c r="C35" s="571"/>
      <c r="D35" s="571">
        <v>1</v>
      </c>
      <c r="E35" s="571">
        <v>13</v>
      </c>
      <c r="F35" s="571">
        <v>49</v>
      </c>
      <c r="G35" s="571">
        <v>34</v>
      </c>
      <c r="H35" s="571">
        <v>9</v>
      </c>
      <c r="I35" s="571">
        <f t="shared" si="0"/>
        <v>106</v>
      </c>
      <c r="J35" s="571">
        <v>2</v>
      </c>
      <c r="K35" s="571">
        <v>6</v>
      </c>
      <c r="L35" s="571">
        <v>17</v>
      </c>
      <c r="M35" s="571">
        <v>25</v>
      </c>
      <c r="N35" s="571">
        <v>17</v>
      </c>
      <c r="O35" s="571">
        <v>3</v>
      </c>
      <c r="P35" s="571">
        <f t="shared" si="1"/>
        <v>70</v>
      </c>
      <c r="Q35" s="572">
        <f t="shared" si="2"/>
        <v>176</v>
      </c>
    </row>
    <row r="36" spans="1:17" s="226" customFormat="1" x14ac:dyDescent="0.15">
      <c r="A36" s="226">
        <v>33</v>
      </c>
      <c r="B36" s="249" t="s">
        <v>572</v>
      </c>
      <c r="C36" s="571"/>
      <c r="D36" s="571">
        <v>2</v>
      </c>
      <c r="E36" s="571">
        <v>29</v>
      </c>
      <c r="F36" s="571">
        <v>99</v>
      </c>
      <c r="G36" s="571">
        <v>54</v>
      </c>
      <c r="H36" s="571">
        <v>15</v>
      </c>
      <c r="I36" s="571">
        <f t="shared" si="0"/>
        <v>199</v>
      </c>
      <c r="J36" s="571">
        <v>1</v>
      </c>
      <c r="K36" s="571">
        <v>11</v>
      </c>
      <c r="L36" s="571">
        <v>14</v>
      </c>
      <c r="M36" s="571">
        <v>23</v>
      </c>
      <c r="N36" s="571">
        <v>19</v>
      </c>
      <c r="O36" s="571">
        <v>5</v>
      </c>
      <c r="P36" s="571">
        <f t="shared" si="1"/>
        <v>73</v>
      </c>
      <c r="Q36" s="572">
        <f t="shared" si="2"/>
        <v>272</v>
      </c>
    </row>
    <row r="37" spans="1:17" s="226" customFormat="1" x14ac:dyDescent="0.15">
      <c r="A37" s="226">
        <v>34</v>
      </c>
      <c r="B37" s="249" t="s">
        <v>573</v>
      </c>
      <c r="C37" s="571"/>
      <c r="D37" s="571">
        <v>1</v>
      </c>
      <c r="E37" s="571">
        <v>2</v>
      </c>
      <c r="F37" s="571">
        <v>16</v>
      </c>
      <c r="G37" s="571">
        <v>8</v>
      </c>
      <c r="H37" s="571">
        <v>1</v>
      </c>
      <c r="I37" s="571">
        <f t="shared" si="0"/>
        <v>28</v>
      </c>
      <c r="J37" s="571"/>
      <c r="K37" s="571">
        <v>1</v>
      </c>
      <c r="L37" s="571">
        <v>4</v>
      </c>
      <c r="M37" s="571">
        <v>5</v>
      </c>
      <c r="N37" s="571">
        <v>5</v>
      </c>
      <c r="O37" s="571">
        <v>2</v>
      </c>
      <c r="P37" s="571">
        <f t="shared" si="1"/>
        <v>17</v>
      </c>
      <c r="Q37" s="572">
        <f t="shared" si="2"/>
        <v>45</v>
      </c>
    </row>
    <row r="38" spans="1:17" s="226" customFormat="1" x14ac:dyDescent="0.15">
      <c r="A38" s="226">
        <v>35</v>
      </c>
      <c r="B38" s="249" t="s">
        <v>574</v>
      </c>
      <c r="C38" s="571">
        <v>3</v>
      </c>
      <c r="D38" s="571">
        <v>16</v>
      </c>
      <c r="E38" s="571">
        <v>77</v>
      </c>
      <c r="F38" s="571">
        <v>130</v>
      </c>
      <c r="G38" s="571">
        <v>250</v>
      </c>
      <c r="H38" s="571">
        <v>17</v>
      </c>
      <c r="I38" s="571">
        <f t="shared" si="0"/>
        <v>493</v>
      </c>
      <c r="J38" s="571">
        <v>5</v>
      </c>
      <c r="K38" s="571">
        <v>38</v>
      </c>
      <c r="L38" s="571">
        <v>53</v>
      </c>
      <c r="M38" s="571">
        <v>62</v>
      </c>
      <c r="N38" s="571">
        <v>84</v>
      </c>
      <c r="O38" s="571">
        <v>7</v>
      </c>
      <c r="P38" s="571">
        <f t="shared" si="1"/>
        <v>249</v>
      </c>
      <c r="Q38" s="572">
        <f t="shared" si="2"/>
        <v>742</v>
      </c>
    </row>
    <row r="39" spans="1:17" s="226" customFormat="1" x14ac:dyDescent="0.15">
      <c r="A39" s="226">
        <v>36</v>
      </c>
      <c r="B39" s="249" t="s">
        <v>575</v>
      </c>
      <c r="C39" s="571">
        <v>4</v>
      </c>
      <c r="D39" s="571">
        <v>12</v>
      </c>
      <c r="E39" s="571">
        <v>74</v>
      </c>
      <c r="F39" s="571">
        <v>209</v>
      </c>
      <c r="G39" s="571">
        <v>118</v>
      </c>
      <c r="H39" s="571">
        <v>22</v>
      </c>
      <c r="I39" s="571">
        <f t="shared" si="0"/>
        <v>439</v>
      </c>
      <c r="J39" s="571">
        <v>4</v>
      </c>
      <c r="K39" s="571">
        <v>13</v>
      </c>
      <c r="L39" s="571">
        <v>40</v>
      </c>
      <c r="M39" s="571">
        <v>53</v>
      </c>
      <c r="N39" s="571">
        <v>46</v>
      </c>
      <c r="O39" s="571">
        <v>10</v>
      </c>
      <c r="P39" s="571">
        <f t="shared" si="1"/>
        <v>166</v>
      </c>
      <c r="Q39" s="572">
        <f t="shared" si="2"/>
        <v>605</v>
      </c>
    </row>
    <row r="40" spans="1:17" s="226" customFormat="1" x14ac:dyDescent="0.15">
      <c r="A40" s="226">
        <v>37</v>
      </c>
      <c r="B40" s="249" t="s">
        <v>576</v>
      </c>
      <c r="C40" s="571">
        <v>1</v>
      </c>
      <c r="D40" s="571">
        <v>2</v>
      </c>
      <c r="E40" s="571">
        <v>14</v>
      </c>
      <c r="F40" s="571">
        <v>51</v>
      </c>
      <c r="G40" s="571">
        <v>20</v>
      </c>
      <c r="H40" s="571">
        <v>3</v>
      </c>
      <c r="I40" s="571">
        <f t="shared" si="0"/>
        <v>91</v>
      </c>
      <c r="J40" s="571">
        <v>1</v>
      </c>
      <c r="K40" s="571">
        <v>5</v>
      </c>
      <c r="L40" s="571">
        <v>9</v>
      </c>
      <c r="M40" s="571">
        <v>22</v>
      </c>
      <c r="N40" s="571">
        <v>10</v>
      </c>
      <c r="O40" s="571">
        <v>2</v>
      </c>
      <c r="P40" s="571">
        <f t="shared" si="1"/>
        <v>49</v>
      </c>
      <c r="Q40" s="572">
        <f t="shared" si="2"/>
        <v>140</v>
      </c>
    </row>
    <row r="41" spans="1:17" s="226" customFormat="1" x14ac:dyDescent="0.15">
      <c r="A41" s="226">
        <v>38</v>
      </c>
      <c r="B41" s="249" t="s">
        <v>577</v>
      </c>
      <c r="C41" s="571">
        <v>1</v>
      </c>
      <c r="D41" s="571">
        <v>4</v>
      </c>
      <c r="E41" s="571">
        <v>31</v>
      </c>
      <c r="F41" s="571">
        <v>90</v>
      </c>
      <c r="G41" s="571">
        <v>80</v>
      </c>
      <c r="H41" s="571">
        <v>9</v>
      </c>
      <c r="I41" s="571">
        <f t="shared" si="0"/>
        <v>215</v>
      </c>
      <c r="J41" s="571">
        <v>2</v>
      </c>
      <c r="K41" s="571">
        <v>15</v>
      </c>
      <c r="L41" s="571">
        <v>28</v>
      </c>
      <c r="M41" s="571">
        <v>51</v>
      </c>
      <c r="N41" s="571">
        <v>29</v>
      </c>
      <c r="O41" s="571">
        <v>6</v>
      </c>
      <c r="P41" s="571">
        <f t="shared" si="1"/>
        <v>131</v>
      </c>
      <c r="Q41" s="572">
        <f t="shared" si="2"/>
        <v>346</v>
      </c>
    </row>
    <row r="42" spans="1:17" s="226" customFormat="1" x14ac:dyDescent="0.15">
      <c r="A42" s="226">
        <v>39</v>
      </c>
      <c r="B42" s="249" t="s">
        <v>578</v>
      </c>
      <c r="C42" s="571"/>
      <c r="D42" s="571"/>
      <c r="E42" s="571">
        <v>1</v>
      </c>
      <c r="F42" s="571">
        <v>3</v>
      </c>
      <c r="G42" s="571">
        <v>7</v>
      </c>
      <c r="H42" s="571">
        <v>5</v>
      </c>
      <c r="I42" s="571">
        <f t="shared" si="0"/>
        <v>16</v>
      </c>
      <c r="J42" s="571"/>
      <c r="K42" s="571"/>
      <c r="L42" s="571">
        <v>1</v>
      </c>
      <c r="M42" s="571">
        <v>3</v>
      </c>
      <c r="N42" s="571">
        <v>2</v>
      </c>
      <c r="O42" s="571">
        <v>1</v>
      </c>
      <c r="P42" s="571">
        <f t="shared" si="1"/>
        <v>7</v>
      </c>
      <c r="Q42" s="572">
        <f t="shared" si="2"/>
        <v>23</v>
      </c>
    </row>
    <row r="43" spans="1:17" s="226" customFormat="1" x14ac:dyDescent="0.15">
      <c r="A43" s="226">
        <v>40</v>
      </c>
      <c r="B43" s="249" t="s">
        <v>579</v>
      </c>
      <c r="C43" s="571">
        <v>1</v>
      </c>
      <c r="D43" s="571">
        <v>8</v>
      </c>
      <c r="E43" s="571">
        <v>26</v>
      </c>
      <c r="F43" s="571">
        <v>79</v>
      </c>
      <c r="G43" s="571">
        <v>54</v>
      </c>
      <c r="H43" s="571">
        <v>18</v>
      </c>
      <c r="I43" s="571">
        <f t="shared" si="0"/>
        <v>186</v>
      </c>
      <c r="J43" s="571">
        <v>1</v>
      </c>
      <c r="K43" s="571">
        <v>7</v>
      </c>
      <c r="L43" s="571">
        <v>18</v>
      </c>
      <c r="M43" s="571">
        <v>37</v>
      </c>
      <c r="N43" s="571">
        <v>27</v>
      </c>
      <c r="O43" s="571">
        <v>4</v>
      </c>
      <c r="P43" s="571">
        <f t="shared" si="1"/>
        <v>94</v>
      </c>
      <c r="Q43" s="572">
        <f t="shared" si="2"/>
        <v>280</v>
      </c>
    </row>
    <row r="44" spans="1:17" s="226" customFormat="1" x14ac:dyDescent="0.15">
      <c r="A44" s="226">
        <v>41</v>
      </c>
      <c r="B44" s="249" t="s">
        <v>580</v>
      </c>
      <c r="C44" s="571"/>
      <c r="D44" s="571">
        <v>5</v>
      </c>
      <c r="E44" s="571">
        <v>12</v>
      </c>
      <c r="F44" s="571">
        <v>34</v>
      </c>
      <c r="G44" s="571">
        <v>32</v>
      </c>
      <c r="H44" s="571">
        <v>9</v>
      </c>
      <c r="I44" s="571">
        <f t="shared" si="0"/>
        <v>92</v>
      </c>
      <c r="J44" s="571"/>
      <c r="K44" s="571">
        <v>5</v>
      </c>
      <c r="L44" s="571">
        <v>9</v>
      </c>
      <c r="M44" s="571">
        <v>20</v>
      </c>
      <c r="N44" s="571">
        <v>15</v>
      </c>
      <c r="O44" s="571">
        <v>5</v>
      </c>
      <c r="P44" s="571">
        <f t="shared" si="1"/>
        <v>54</v>
      </c>
      <c r="Q44" s="572">
        <f t="shared" si="2"/>
        <v>146</v>
      </c>
    </row>
    <row r="45" spans="1:17" s="226" customFormat="1" x14ac:dyDescent="0.15">
      <c r="A45" s="226">
        <v>42</v>
      </c>
      <c r="B45" s="249" t="s">
        <v>581</v>
      </c>
      <c r="C45" s="571"/>
      <c r="D45" s="571">
        <v>1</v>
      </c>
      <c r="E45" s="571">
        <v>6</v>
      </c>
      <c r="F45" s="571">
        <v>14</v>
      </c>
      <c r="G45" s="571">
        <v>4</v>
      </c>
      <c r="H45" s="571">
        <v>2</v>
      </c>
      <c r="I45" s="571">
        <f t="shared" si="0"/>
        <v>27</v>
      </c>
      <c r="J45" s="571"/>
      <c r="K45" s="571">
        <v>1</v>
      </c>
      <c r="L45" s="571">
        <v>4</v>
      </c>
      <c r="M45" s="571">
        <v>5</v>
      </c>
      <c r="N45" s="571">
        <v>3</v>
      </c>
      <c r="O45" s="571">
        <v>3</v>
      </c>
      <c r="P45" s="571">
        <f t="shared" si="1"/>
        <v>16</v>
      </c>
      <c r="Q45" s="572">
        <f t="shared" si="2"/>
        <v>43</v>
      </c>
    </row>
    <row r="46" spans="1:17" x14ac:dyDescent="0.15">
      <c r="B46" s="567"/>
      <c r="C46" s="734" t="s">
        <v>540</v>
      </c>
      <c r="D46" s="735"/>
      <c r="E46" s="735"/>
      <c r="F46" s="735"/>
      <c r="G46" s="735"/>
      <c r="H46" s="735"/>
      <c r="I46" s="736"/>
      <c r="J46" s="734" t="s">
        <v>541</v>
      </c>
      <c r="K46" s="735"/>
      <c r="L46" s="735"/>
      <c r="M46" s="735"/>
      <c r="N46" s="735"/>
      <c r="O46" s="735"/>
      <c r="P46" s="736"/>
      <c r="Q46" s="737" t="s">
        <v>62</v>
      </c>
    </row>
    <row r="47" spans="1:17" ht="44.25" customHeight="1" x14ac:dyDescent="0.15">
      <c r="B47" s="568"/>
      <c r="C47" s="569" t="s">
        <v>277</v>
      </c>
      <c r="D47" s="570" t="s">
        <v>278</v>
      </c>
      <c r="E47" s="569" t="s">
        <v>542</v>
      </c>
      <c r="F47" s="569" t="s">
        <v>543</v>
      </c>
      <c r="G47" s="569" t="s">
        <v>544</v>
      </c>
      <c r="H47" s="569" t="s">
        <v>545</v>
      </c>
      <c r="I47" s="569" t="s">
        <v>546</v>
      </c>
      <c r="J47" s="569" t="s">
        <v>277</v>
      </c>
      <c r="K47" s="570" t="s">
        <v>278</v>
      </c>
      <c r="L47" s="569" t="s">
        <v>542</v>
      </c>
      <c r="M47" s="569" t="s">
        <v>543</v>
      </c>
      <c r="N47" s="569" t="s">
        <v>544</v>
      </c>
      <c r="O47" s="569" t="s">
        <v>545</v>
      </c>
      <c r="P47" s="569" t="s">
        <v>546</v>
      </c>
      <c r="Q47" s="738"/>
    </row>
    <row r="48" spans="1:17" s="226" customFormat="1" x14ac:dyDescent="0.15">
      <c r="B48" s="249" t="s">
        <v>582</v>
      </c>
      <c r="C48" s="572">
        <f t="shared" ref="C48:O48" si="3">SUM(C49:C72)</f>
        <v>17</v>
      </c>
      <c r="D48" s="572">
        <f t="shared" si="3"/>
        <v>102</v>
      </c>
      <c r="E48" s="572">
        <f t="shared" si="3"/>
        <v>274</v>
      </c>
      <c r="F48" s="572">
        <f t="shared" si="3"/>
        <v>828</v>
      </c>
      <c r="G48" s="572">
        <f t="shared" si="3"/>
        <v>473</v>
      </c>
      <c r="H48" s="572">
        <f t="shared" si="3"/>
        <v>95</v>
      </c>
      <c r="I48" s="572">
        <f>SUM(I49:I72)</f>
        <v>1789</v>
      </c>
      <c r="J48" s="572">
        <f>SUM(J49:J72)</f>
        <v>91</v>
      </c>
      <c r="K48" s="572">
        <f t="shared" si="3"/>
        <v>226</v>
      </c>
      <c r="L48" s="572">
        <f t="shared" si="3"/>
        <v>413</v>
      </c>
      <c r="M48" s="572">
        <f t="shared" si="3"/>
        <v>495</v>
      </c>
      <c r="N48" s="572">
        <f t="shared" si="3"/>
        <v>254</v>
      </c>
      <c r="O48" s="572">
        <f t="shared" si="3"/>
        <v>41</v>
      </c>
      <c r="P48" s="572">
        <f>SUM(P49:P72)</f>
        <v>1520</v>
      </c>
      <c r="Q48" s="572">
        <f t="shared" si="2"/>
        <v>3309</v>
      </c>
    </row>
    <row r="49" spans="1:17" s="226" customFormat="1" x14ac:dyDescent="0.15">
      <c r="A49" s="226">
        <v>43</v>
      </c>
      <c r="B49" s="573" t="s">
        <v>583</v>
      </c>
      <c r="C49" s="571"/>
      <c r="D49" s="571">
        <v>1</v>
      </c>
      <c r="E49" s="571">
        <v>5</v>
      </c>
      <c r="F49" s="571">
        <v>29</v>
      </c>
      <c r="G49" s="571">
        <v>14</v>
      </c>
      <c r="H49" s="571">
        <v>6</v>
      </c>
      <c r="I49" s="571">
        <f t="shared" ref="I49:I88" si="4">SUM(C49:H49)</f>
        <v>55</v>
      </c>
      <c r="J49" s="571">
        <v>2</v>
      </c>
      <c r="K49" s="571">
        <v>3</v>
      </c>
      <c r="L49" s="571">
        <v>14</v>
      </c>
      <c r="M49" s="571">
        <v>16</v>
      </c>
      <c r="N49" s="571">
        <v>5</v>
      </c>
      <c r="O49" s="571">
        <v>1</v>
      </c>
      <c r="P49" s="571">
        <f t="shared" ref="P49:P72" si="5">SUM(J49:O49)</f>
        <v>41</v>
      </c>
      <c r="Q49" s="572">
        <f t="shared" si="2"/>
        <v>96</v>
      </c>
    </row>
    <row r="50" spans="1:17" s="226" customFormat="1" x14ac:dyDescent="0.15">
      <c r="A50" s="226">
        <v>44</v>
      </c>
      <c r="B50" s="573" t="s">
        <v>584</v>
      </c>
      <c r="C50" s="571"/>
      <c r="D50" s="571">
        <v>1</v>
      </c>
      <c r="E50" s="571">
        <v>8</v>
      </c>
      <c r="F50" s="571">
        <v>26</v>
      </c>
      <c r="G50" s="571">
        <v>10</v>
      </c>
      <c r="H50" s="571">
        <v>3</v>
      </c>
      <c r="I50" s="571">
        <f t="shared" si="4"/>
        <v>48</v>
      </c>
      <c r="J50" s="571">
        <v>2</v>
      </c>
      <c r="K50" s="571">
        <v>4</v>
      </c>
      <c r="L50" s="571">
        <v>8</v>
      </c>
      <c r="M50" s="571">
        <v>9</v>
      </c>
      <c r="N50" s="571">
        <v>5</v>
      </c>
      <c r="O50" s="571">
        <v>5</v>
      </c>
      <c r="P50" s="571">
        <f t="shared" si="5"/>
        <v>33</v>
      </c>
      <c r="Q50" s="572">
        <f t="shared" si="2"/>
        <v>81</v>
      </c>
    </row>
    <row r="51" spans="1:17" s="226" customFormat="1" x14ac:dyDescent="0.15">
      <c r="A51" s="226">
        <v>45</v>
      </c>
      <c r="B51" s="573" t="s">
        <v>585</v>
      </c>
      <c r="C51" s="571"/>
      <c r="D51" s="571">
        <v>3</v>
      </c>
      <c r="E51" s="571">
        <v>6</v>
      </c>
      <c r="F51" s="571">
        <v>22</v>
      </c>
      <c r="G51" s="571">
        <v>14</v>
      </c>
      <c r="H51" s="571">
        <v>1</v>
      </c>
      <c r="I51" s="571">
        <f t="shared" si="4"/>
        <v>46</v>
      </c>
      <c r="J51" s="571">
        <v>1</v>
      </c>
      <c r="K51" s="571"/>
      <c r="L51" s="571">
        <v>5</v>
      </c>
      <c r="M51" s="571">
        <v>6</v>
      </c>
      <c r="N51" s="571">
        <v>5</v>
      </c>
      <c r="O51" s="571">
        <v>1</v>
      </c>
      <c r="P51" s="571">
        <f t="shared" si="5"/>
        <v>18</v>
      </c>
      <c r="Q51" s="572">
        <f t="shared" si="2"/>
        <v>64</v>
      </c>
    </row>
    <row r="52" spans="1:17" s="226" customFormat="1" x14ac:dyDescent="0.15">
      <c r="A52" s="226">
        <v>46</v>
      </c>
      <c r="B52" s="573" t="s">
        <v>586</v>
      </c>
      <c r="C52" s="571"/>
      <c r="D52" s="571">
        <v>2</v>
      </c>
      <c r="E52" s="571">
        <v>6</v>
      </c>
      <c r="F52" s="571">
        <v>29</v>
      </c>
      <c r="G52" s="571">
        <v>21</v>
      </c>
      <c r="H52" s="571">
        <v>1</v>
      </c>
      <c r="I52" s="571">
        <f t="shared" si="4"/>
        <v>59</v>
      </c>
      <c r="J52" s="571">
        <v>2</v>
      </c>
      <c r="K52" s="571">
        <v>5</v>
      </c>
      <c r="L52" s="571">
        <v>5</v>
      </c>
      <c r="M52" s="571">
        <v>11</v>
      </c>
      <c r="N52" s="571">
        <v>2</v>
      </c>
      <c r="O52" s="571">
        <v>1</v>
      </c>
      <c r="P52" s="571">
        <f t="shared" si="5"/>
        <v>26</v>
      </c>
      <c r="Q52" s="572">
        <f t="shared" si="2"/>
        <v>85</v>
      </c>
    </row>
    <row r="53" spans="1:17" s="226" customFormat="1" x14ac:dyDescent="0.15">
      <c r="A53" s="226">
        <v>47</v>
      </c>
      <c r="B53" s="573" t="s">
        <v>587</v>
      </c>
      <c r="C53" s="571"/>
      <c r="D53" s="571">
        <v>1</v>
      </c>
      <c r="E53" s="571">
        <v>7</v>
      </c>
      <c r="F53" s="571">
        <v>11</v>
      </c>
      <c r="G53" s="571">
        <v>9</v>
      </c>
      <c r="H53" s="571"/>
      <c r="I53" s="571">
        <f t="shared" si="4"/>
        <v>28</v>
      </c>
      <c r="J53" s="571"/>
      <c r="K53" s="571">
        <v>4</v>
      </c>
      <c r="L53" s="571">
        <v>9</v>
      </c>
      <c r="M53" s="571">
        <v>8</v>
      </c>
      <c r="N53" s="571">
        <v>3</v>
      </c>
      <c r="O53" s="571">
        <v>1</v>
      </c>
      <c r="P53" s="571">
        <f t="shared" si="5"/>
        <v>25</v>
      </c>
      <c r="Q53" s="572">
        <f t="shared" si="2"/>
        <v>53</v>
      </c>
    </row>
    <row r="54" spans="1:17" s="226" customFormat="1" x14ac:dyDescent="0.15">
      <c r="A54" s="226">
        <v>48</v>
      </c>
      <c r="B54" s="573" t="s">
        <v>588</v>
      </c>
      <c r="C54" s="571"/>
      <c r="D54" s="571">
        <v>2</v>
      </c>
      <c r="E54" s="571">
        <v>6</v>
      </c>
      <c r="F54" s="571">
        <v>14</v>
      </c>
      <c r="G54" s="571">
        <v>8</v>
      </c>
      <c r="H54" s="571">
        <v>1</v>
      </c>
      <c r="I54" s="571">
        <f t="shared" si="4"/>
        <v>31</v>
      </c>
      <c r="J54" s="571">
        <v>1</v>
      </c>
      <c r="K54" s="571">
        <v>3</v>
      </c>
      <c r="L54" s="571">
        <v>4</v>
      </c>
      <c r="M54" s="571">
        <v>5</v>
      </c>
      <c r="N54" s="571">
        <v>3</v>
      </c>
      <c r="O54" s="571">
        <v>1</v>
      </c>
      <c r="P54" s="571">
        <f t="shared" si="5"/>
        <v>17</v>
      </c>
      <c r="Q54" s="572">
        <f t="shared" si="2"/>
        <v>48</v>
      </c>
    </row>
    <row r="55" spans="1:17" s="226" customFormat="1" x14ac:dyDescent="0.15">
      <c r="A55" s="226">
        <v>49</v>
      </c>
      <c r="B55" s="573" t="s">
        <v>589</v>
      </c>
      <c r="C55" s="571"/>
      <c r="D55" s="571">
        <v>2</v>
      </c>
      <c r="E55" s="571">
        <v>8</v>
      </c>
      <c r="F55" s="571">
        <v>33</v>
      </c>
      <c r="G55" s="571">
        <v>18</v>
      </c>
      <c r="H55" s="571">
        <v>3</v>
      </c>
      <c r="I55" s="571">
        <f t="shared" si="4"/>
        <v>64</v>
      </c>
      <c r="J55" s="571">
        <v>2</v>
      </c>
      <c r="K55" s="571">
        <v>6</v>
      </c>
      <c r="L55" s="571">
        <v>12</v>
      </c>
      <c r="M55" s="571">
        <v>16</v>
      </c>
      <c r="N55" s="571">
        <v>8</v>
      </c>
      <c r="O55" s="571">
        <v>2</v>
      </c>
      <c r="P55" s="571">
        <f t="shared" si="5"/>
        <v>46</v>
      </c>
      <c r="Q55" s="572">
        <f t="shared" si="2"/>
        <v>110</v>
      </c>
    </row>
    <row r="56" spans="1:17" s="226" customFormat="1" x14ac:dyDescent="0.15">
      <c r="A56" s="226">
        <v>50</v>
      </c>
      <c r="B56" s="573" t="s">
        <v>590</v>
      </c>
      <c r="C56" s="571"/>
      <c r="D56" s="571">
        <v>4</v>
      </c>
      <c r="E56" s="571">
        <v>6</v>
      </c>
      <c r="F56" s="571">
        <v>19</v>
      </c>
      <c r="G56" s="571">
        <v>12</v>
      </c>
      <c r="H56" s="571">
        <v>1</v>
      </c>
      <c r="I56" s="571">
        <f t="shared" si="4"/>
        <v>42</v>
      </c>
      <c r="J56" s="571">
        <v>9</v>
      </c>
      <c r="K56" s="571">
        <v>7</v>
      </c>
      <c r="L56" s="571">
        <v>17</v>
      </c>
      <c r="M56" s="571">
        <v>23</v>
      </c>
      <c r="N56" s="571">
        <v>18</v>
      </c>
      <c r="O56" s="571">
        <v>3</v>
      </c>
      <c r="P56" s="571">
        <f t="shared" si="5"/>
        <v>77</v>
      </c>
      <c r="Q56" s="572">
        <f t="shared" si="2"/>
        <v>119</v>
      </c>
    </row>
    <row r="57" spans="1:17" s="226" customFormat="1" x14ac:dyDescent="0.15">
      <c r="A57" s="226">
        <v>51</v>
      </c>
      <c r="B57" s="573" t="s">
        <v>591</v>
      </c>
      <c r="C57" s="571"/>
      <c r="D57" s="571">
        <v>6</v>
      </c>
      <c r="E57" s="571">
        <v>5</v>
      </c>
      <c r="F57" s="571">
        <v>8</v>
      </c>
      <c r="G57" s="571">
        <v>6</v>
      </c>
      <c r="H57" s="571"/>
      <c r="I57" s="571">
        <f t="shared" si="4"/>
        <v>25</v>
      </c>
      <c r="J57" s="571"/>
      <c r="K57" s="571">
        <v>5</v>
      </c>
      <c r="L57" s="571">
        <v>11</v>
      </c>
      <c r="M57" s="571">
        <v>11</v>
      </c>
      <c r="N57" s="571">
        <v>11</v>
      </c>
      <c r="O57" s="571">
        <v>3</v>
      </c>
      <c r="P57" s="571">
        <f t="shared" si="5"/>
        <v>41</v>
      </c>
      <c r="Q57" s="572">
        <f t="shared" si="2"/>
        <v>66</v>
      </c>
    </row>
    <row r="58" spans="1:17" s="226" customFormat="1" x14ac:dyDescent="0.15">
      <c r="A58" s="226">
        <v>52</v>
      </c>
      <c r="B58" s="573" t="s">
        <v>592</v>
      </c>
      <c r="C58" s="571">
        <v>1</v>
      </c>
      <c r="D58" s="571">
        <v>1</v>
      </c>
      <c r="E58" s="571">
        <v>6</v>
      </c>
      <c r="F58" s="571">
        <v>12</v>
      </c>
      <c r="G58" s="571">
        <v>6</v>
      </c>
      <c r="H58" s="571">
        <v>1</v>
      </c>
      <c r="I58" s="571">
        <f t="shared" si="4"/>
        <v>27</v>
      </c>
      <c r="J58" s="571">
        <v>1</v>
      </c>
      <c r="K58" s="571">
        <v>5</v>
      </c>
      <c r="L58" s="571">
        <v>7</v>
      </c>
      <c r="M58" s="571">
        <v>8</v>
      </c>
      <c r="N58" s="571">
        <v>2</v>
      </c>
      <c r="O58" s="571">
        <v>1</v>
      </c>
      <c r="P58" s="571">
        <f t="shared" si="5"/>
        <v>24</v>
      </c>
      <c r="Q58" s="572">
        <f t="shared" si="2"/>
        <v>51</v>
      </c>
    </row>
    <row r="59" spans="1:17" s="226" customFormat="1" x14ac:dyDescent="0.15">
      <c r="A59" s="226">
        <v>53</v>
      </c>
      <c r="B59" s="573" t="s">
        <v>593</v>
      </c>
      <c r="C59" s="571"/>
      <c r="D59" s="571">
        <v>2</v>
      </c>
      <c r="E59" s="571">
        <v>7</v>
      </c>
      <c r="F59" s="571">
        <v>26</v>
      </c>
      <c r="G59" s="571">
        <v>16</v>
      </c>
      <c r="H59" s="571">
        <v>8</v>
      </c>
      <c r="I59" s="571">
        <f t="shared" si="4"/>
        <v>59</v>
      </c>
      <c r="J59" s="571">
        <v>1</v>
      </c>
      <c r="K59" s="571">
        <v>8</v>
      </c>
      <c r="L59" s="571">
        <v>9</v>
      </c>
      <c r="M59" s="571">
        <v>16</v>
      </c>
      <c r="N59" s="571">
        <v>9</v>
      </c>
      <c r="O59" s="571">
        <v>1</v>
      </c>
      <c r="P59" s="571">
        <f t="shared" si="5"/>
        <v>44</v>
      </c>
      <c r="Q59" s="572">
        <f t="shared" si="2"/>
        <v>103</v>
      </c>
    </row>
    <row r="60" spans="1:17" s="226" customFormat="1" x14ac:dyDescent="0.15">
      <c r="A60" s="226">
        <v>54</v>
      </c>
      <c r="B60" s="573" t="s">
        <v>594</v>
      </c>
      <c r="C60" s="571">
        <v>3</v>
      </c>
      <c r="D60" s="571">
        <v>3</v>
      </c>
      <c r="E60" s="571">
        <v>13</v>
      </c>
      <c r="F60" s="571">
        <v>48</v>
      </c>
      <c r="G60" s="571">
        <v>29</v>
      </c>
      <c r="H60" s="571">
        <v>10</v>
      </c>
      <c r="I60" s="571">
        <f t="shared" si="4"/>
        <v>106</v>
      </c>
      <c r="J60" s="571">
        <v>4</v>
      </c>
      <c r="K60" s="571">
        <v>13</v>
      </c>
      <c r="L60" s="571">
        <v>18</v>
      </c>
      <c r="M60" s="571">
        <v>25</v>
      </c>
      <c r="N60" s="571">
        <v>12</v>
      </c>
      <c r="O60" s="571">
        <v>3</v>
      </c>
      <c r="P60" s="571">
        <f t="shared" si="5"/>
        <v>75</v>
      </c>
      <c r="Q60" s="572">
        <f t="shared" si="2"/>
        <v>181</v>
      </c>
    </row>
    <row r="61" spans="1:17" s="226" customFormat="1" x14ac:dyDescent="0.15">
      <c r="A61" s="226">
        <v>55</v>
      </c>
      <c r="B61" s="573" t="s">
        <v>595</v>
      </c>
      <c r="C61" s="571">
        <v>1</v>
      </c>
      <c r="D61" s="571">
        <v>10</v>
      </c>
      <c r="E61" s="571">
        <v>16</v>
      </c>
      <c r="F61" s="571">
        <v>57</v>
      </c>
      <c r="G61" s="571">
        <v>34</v>
      </c>
      <c r="H61" s="571">
        <v>10</v>
      </c>
      <c r="I61" s="571">
        <f t="shared" si="4"/>
        <v>128</v>
      </c>
      <c r="J61" s="571">
        <v>7</v>
      </c>
      <c r="K61" s="571">
        <v>13</v>
      </c>
      <c r="L61" s="571">
        <v>27</v>
      </c>
      <c r="M61" s="571">
        <v>36</v>
      </c>
      <c r="N61" s="571">
        <v>19</v>
      </c>
      <c r="O61" s="571">
        <v>2</v>
      </c>
      <c r="P61" s="571">
        <f t="shared" si="5"/>
        <v>104</v>
      </c>
      <c r="Q61" s="572">
        <f t="shared" si="2"/>
        <v>232</v>
      </c>
    </row>
    <row r="62" spans="1:17" s="226" customFormat="1" x14ac:dyDescent="0.15">
      <c r="A62" s="226">
        <v>56</v>
      </c>
      <c r="B62" s="573" t="s">
        <v>596</v>
      </c>
      <c r="C62" s="571">
        <v>1</v>
      </c>
      <c r="D62" s="571">
        <v>4</v>
      </c>
      <c r="E62" s="571">
        <v>7</v>
      </c>
      <c r="F62" s="571">
        <v>20</v>
      </c>
      <c r="G62" s="571">
        <v>11</v>
      </c>
      <c r="H62" s="571"/>
      <c r="I62" s="571">
        <f t="shared" si="4"/>
        <v>43</v>
      </c>
      <c r="J62" s="571">
        <v>3</v>
      </c>
      <c r="K62" s="571">
        <v>5</v>
      </c>
      <c r="L62" s="571">
        <v>7</v>
      </c>
      <c r="M62" s="571">
        <v>9</v>
      </c>
      <c r="N62" s="571">
        <v>5</v>
      </c>
      <c r="O62" s="571"/>
      <c r="P62" s="571">
        <f t="shared" si="5"/>
        <v>29</v>
      </c>
      <c r="Q62" s="572">
        <f t="shared" si="2"/>
        <v>72</v>
      </c>
    </row>
    <row r="63" spans="1:17" s="226" customFormat="1" x14ac:dyDescent="0.15">
      <c r="A63" s="226">
        <v>57</v>
      </c>
      <c r="B63" s="573" t="s">
        <v>597</v>
      </c>
      <c r="C63" s="571">
        <v>1</v>
      </c>
      <c r="D63" s="571">
        <v>12</v>
      </c>
      <c r="E63" s="571">
        <v>11</v>
      </c>
      <c r="F63" s="571">
        <v>44</v>
      </c>
      <c r="G63" s="571">
        <v>14</v>
      </c>
      <c r="H63" s="571">
        <v>5</v>
      </c>
      <c r="I63" s="571">
        <f t="shared" si="4"/>
        <v>87</v>
      </c>
      <c r="J63" s="571">
        <v>2</v>
      </c>
      <c r="K63" s="571">
        <v>19</v>
      </c>
      <c r="L63" s="571">
        <v>32</v>
      </c>
      <c r="M63" s="571">
        <v>33</v>
      </c>
      <c r="N63" s="571">
        <v>14</v>
      </c>
      <c r="O63" s="571"/>
      <c r="P63" s="571">
        <f t="shared" si="5"/>
        <v>100</v>
      </c>
      <c r="Q63" s="572">
        <f t="shared" si="2"/>
        <v>187</v>
      </c>
    </row>
    <row r="64" spans="1:17" s="226" customFormat="1" x14ac:dyDescent="0.15">
      <c r="A64" s="226">
        <v>58</v>
      </c>
      <c r="B64" s="573" t="s">
        <v>598</v>
      </c>
      <c r="C64" s="571">
        <v>1</v>
      </c>
      <c r="D64" s="571">
        <v>4</v>
      </c>
      <c r="E64" s="571">
        <v>12</v>
      </c>
      <c r="F64" s="571">
        <v>32</v>
      </c>
      <c r="G64" s="571">
        <v>12</v>
      </c>
      <c r="H64" s="571">
        <v>4</v>
      </c>
      <c r="I64" s="571">
        <f t="shared" si="4"/>
        <v>65</v>
      </c>
      <c r="J64" s="571">
        <v>3</v>
      </c>
      <c r="K64" s="571">
        <v>10</v>
      </c>
      <c r="L64" s="571">
        <v>16</v>
      </c>
      <c r="M64" s="571">
        <v>13</v>
      </c>
      <c r="N64" s="571">
        <v>8</v>
      </c>
      <c r="O64" s="571">
        <v>1</v>
      </c>
      <c r="P64" s="571">
        <f t="shared" si="5"/>
        <v>51</v>
      </c>
      <c r="Q64" s="572">
        <f t="shared" si="2"/>
        <v>116</v>
      </c>
    </row>
    <row r="65" spans="1:17" s="226" customFormat="1" x14ac:dyDescent="0.15">
      <c r="A65" s="226">
        <v>59</v>
      </c>
      <c r="B65" s="573" t="s">
        <v>599</v>
      </c>
      <c r="C65" s="571">
        <v>1</v>
      </c>
      <c r="D65" s="571">
        <v>4</v>
      </c>
      <c r="E65" s="571">
        <v>20</v>
      </c>
      <c r="F65" s="571">
        <v>38</v>
      </c>
      <c r="G65" s="571">
        <v>27</v>
      </c>
      <c r="H65" s="571">
        <v>6</v>
      </c>
      <c r="I65" s="571">
        <f t="shared" si="4"/>
        <v>96</v>
      </c>
      <c r="J65" s="571">
        <v>4</v>
      </c>
      <c r="K65" s="571">
        <v>7</v>
      </c>
      <c r="L65" s="571">
        <v>13</v>
      </c>
      <c r="M65" s="571">
        <v>20</v>
      </c>
      <c r="N65" s="571">
        <v>3</v>
      </c>
      <c r="O65" s="571">
        <v>2</v>
      </c>
      <c r="P65" s="571">
        <f t="shared" si="5"/>
        <v>49</v>
      </c>
      <c r="Q65" s="572">
        <f t="shared" si="2"/>
        <v>145</v>
      </c>
    </row>
    <row r="66" spans="1:17" s="226" customFormat="1" x14ac:dyDescent="0.15">
      <c r="A66" s="226">
        <v>60</v>
      </c>
      <c r="B66" s="573" t="s">
        <v>600</v>
      </c>
      <c r="C66" s="571"/>
      <c r="D66" s="571">
        <v>3</v>
      </c>
      <c r="E66" s="571">
        <v>7</v>
      </c>
      <c r="F66" s="571">
        <v>26</v>
      </c>
      <c r="G66" s="571">
        <v>7</v>
      </c>
      <c r="H66" s="571">
        <v>1</v>
      </c>
      <c r="I66" s="571">
        <f t="shared" si="4"/>
        <v>44</v>
      </c>
      <c r="J66" s="571">
        <v>1</v>
      </c>
      <c r="K66" s="571">
        <v>9</v>
      </c>
      <c r="L66" s="571">
        <v>13</v>
      </c>
      <c r="M66" s="571">
        <v>14</v>
      </c>
      <c r="N66" s="571">
        <v>5</v>
      </c>
      <c r="O66" s="571"/>
      <c r="P66" s="571">
        <f t="shared" si="5"/>
        <v>42</v>
      </c>
      <c r="Q66" s="572">
        <f t="shared" si="2"/>
        <v>86</v>
      </c>
    </row>
    <row r="67" spans="1:17" s="226" customFormat="1" x14ac:dyDescent="0.15">
      <c r="A67" s="226">
        <v>61</v>
      </c>
      <c r="B67" s="573" t="s">
        <v>601</v>
      </c>
      <c r="C67" s="571"/>
      <c r="D67" s="571">
        <v>1</v>
      </c>
      <c r="E67" s="571">
        <v>11</v>
      </c>
      <c r="F67" s="571">
        <v>33</v>
      </c>
      <c r="G67" s="571">
        <v>19</v>
      </c>
      <c r="H67" s="571">
        <v>3</v>
      </c>
      <c r="I67" s="571">
        <f t="shared" si="4"/>
        <v>67</v>
      </c>
      <c r="J67" s="571">
        <v>2</v>
      </c>
      <c r="K67" s="571">
        <v>11</v>
      </c>
      <c r="L67" s="571">
        <v>13</v>
      </c>
      <c r="M67" s="571">
        <v>21</v>
      </c>
      <c r="N67" s="571">
        <v>13</v>
      </c>
      <c r="O67" s="571">
        <v>1</v>
      </c>
      <c r="P67" s="571">
        <f t="shared" si="5"/>
        <v>61</v>
      </c>
      <c r="Q67" s="572">
        <f t="shared" si="2"/>
        <v>128</v>
      </c>
    </row>
    <row r="68" spans="1:17" s="226" customFormat="1" x14ac:dyDescent="0.15">
      <c r="A68" s="226">
        <v>62</v>
      </c>
      <c r="B68" s="573" t="s">
        <v>602</v>
      </c>
      <c r="C68" s="571">
        <v>1</v>
      </c>
      <c r="D68" s="571">
        <v>6</v>
      </c>
      <c r="E68" s="571">
        <v>16</v>
      </c>
      <c r="F68" s="571">
        <v>37</v>
      </c>
      <c r="G68" s="571">
        <v>31</v>
      </c>
      <c r="H68" s="571">
        <v>3</v>
      </c>
      <c r="I68" s="571">
        <f t="shared" si="4"/>
        <v>94</v>
      </c>
      <c r="J68" s="571">
        <v>7</v>
      </c>
      <c r="K68" s="571">
        <v>7</v>
      </c>
      <c r="L68" s="571">
        <v>17</v>
      </c>
      <c r="M68" s="571">
        <v>28</v>
      </c>
      <c r="N68" s="571">
        <v>13</v>
      </c>
      <c r="O68" s="571"/>
      <c r="P68" s="571">
        <f t="shared" si="5"/>
        <v>72</v>
      </c>
      <c r="Q68" s="572">
        <f t="shared" si="2"/>
        <v>166</v>
      </c>
    </row>
    <row r="69" spans="1:17" s="226" customFormat="1" x14ac:dyDescent="0.15">
      <c r="A69" s="226">
        <v>63</v>
      </c>
      <c r="B69" s="573" t="s">
        <v>603</v>
      </c>
      <c r="C69" s="571">
        <v>1</v>
      </c>
      <c r="D69" s="571">
        <v>4</v>
      </c>
      <c r="E69" s="571">
        <v>18</v>
      </c>
      <c r="F69" s="571">
        <v>52</v>
      </c>
      <c r="G69" s="571">
        <v>30</v>
      </c>
      <c r="H69" s="571">
        <v>4</v>
      </c>
      <c r="I69" s="571">
        <f t="shared" si="4"/>
        <v>109</v>
      </c>
      <c r="J69" s="571">
        <v>7</v>
      </c>
      <c r="K69" s="571">
        <v>17</v>
      </c>
      <c r="L69" s="571">
        <v>40</v>
      </c>
      <c r="M69" s="571">
        <v>43</v>
      </c>
      <c r="N69" s="571">
        <v>11</v>
      </c>
      <c r="O69" s="571">
        <v>5</v>
      </c>
      <c r="P69" s="571">
        <f t="shared" si="5"/>
        <v>123</v>
      </c>
      <c r="Q69" s="572">
        <f t="shared" si="2"/>
        <v>232</v>
      </c>
    </row>
    <row r="70" spans="1:17" s="226" customFormat="1" x14ac:dyDescent="0.15">
      <c r="A70" s="226">
        <v>64</v>
      </c>
      <c r="B70" s="573" t="s">
        <v>604</v>
      </c>
      <c r="C70" s="571">
        <v>2</v>
      </c>
      <c r="D70" s="571">
        <v>8</v>
      </c>
      <c r="E70" s="571">
        <v>17</v>
      </c>
      <c r="F70" s="571">
        <v>54</v>
      </c>
      <c r="G70" s="571">
        <v>28</v>
      </c>
      <c r="H70" s="571">
        <v>8</v>
      </c>
      <c r="I70" s="571">
        <f t="shared" si="4"/>
        <v>117</v>
      </c>
      <c r="J70" s="571">
        <v>5</v>
      </c>
      <c r="K70" s="571">
        <v>13</v>
      </c>
      <c r="L70" s="571">
        <v>33</v>
      </c>
      <c r="M70" s="571">
        <v>24</v>
      </c>
      <c r="N70" s="571">
        <v>18</v>
      </c>
      <c r="O70" s="571">
        <v>2</v>
      </c>
      <c r="P70" s="571">
        <f t="shared" si="5"/>
        <v>95</v>
      </c>
      <c r="Q70" s="572">
        <f t="shared" si="2"/>
        <v>212</v>
      </c>
    </row>
    <row r="71" spans="1:17" s="226" customFormat="1" x14ac:dyDescent="0.15">
      <c r="A71" s="226">
        <v>65</v>
      </c>
      <c r="B71" s="573" t="s">
        <v>605</v>
      </c>
      <c r="C71" s="571">
        <v>2</v>
      </c>
      <c r="D71" s="571">
        <v>12</v>
      </c>
      <c r="E71" s="571">
        <v>35</v>
      </c>
      <c r="F71" s="571">
        <v>71</v>
      </c>
      <c r="G71" s="571">
        <v>40</v>
      </c>
      <c r="H71" s="571">
        <v>9</v>
      </c>
      <c r="I71" s="571">
        <f t="shared" si="4"/>
        <v>169</v>
      </c>
      <c r="J71" s="571">
        <v>15</v>
      </c>
      <c r="K71" s="571">
        <v>28</v>
      </c>
      <c r="L71" s="571">
        <v>35</v>
      </c>
      <c r="M71" s="571">
        <v>49</v>
      </c>
      <c r="N71" s="571">
        <v>26</v>
      </c>
      <c r="O71" s="571">
        <v>2</v>
      </c>
      <c r="P71" s="571">
        <f t="shared" si="5"/>
        <v>155</v>
      </c>
      <c r="Q71" s="572">
        <f t="shared" si="2"/>
        <v>324</v>
      </c>
    </row>
    <row r="72" spans="1:17" s="226" customFormat="1" x14ac:dyDescent="0.15">
      <c r="A72" s="226">
        <v>66</v>
      </c>
      <c r="B72" s="573" t="s">
        <v>606</v>
      </c>
      <c r="C72" s="571">
        <v>2</v>
      </c>
      <c r="D72" s="571">
        <v>6</v>
      </c>
      <c r="E72" s="571">
        <v>21</v>
      </c>
      <c r="F72" s="571">
        <v>87</v>
      </c>
      <c r="G72" s="571">
        <v>57</v>
      </c>
      <c r="H72" s="571">
        <v>7</v>
      </c>
      <c r="I72" s="571">
        <f t="shared" si="4"/>
        <v>180</v>
      </c>
      <c r="J72" s="571">
        <v>10</v>
      </c>
      <c r="K72" s="571">
        <v>24</v>
      </c>
      <c r="L72" s="571">
        <v>48</v>
      </c>
      <c r="M72" s="571">
        <v>51</v>
      </c>
      <c r="N72" s="571">
        <v>36</v>
      </c>
      <c r="O72" s="571">
        <v>3</v>
      </c>
      <c r="P72" s="571">
        <f t="shared" si="5"/>
        <v>172</v>
      </c>
      <c r="Q72" s="572">
        <f t="shared" ref="Q72:Q88" si="6">SUM(I72,P72)</f>
        <v>352</v>
      </c>
    </row>
    <row r="73" spans="1:17" s="226" customFormat="1" x14ac:dyDescent="0.15">
      <c r="A73" s="226">
        <v>30</v>
      </c>
      <c r="B73" s="249" t="s">
        <v>389</v>
      </c>
      <c r="C73" s="572">
        <f t="shared" ref="C73:H73" si="7">SUM(C74:C80)</f>
        <v>8</v>
      </c>
      <c r="D73" s="572">
        <f t="shared" si="7"/>
        <v>53</v>
      </c>
      <c r="E73" s="572">
        <f t="shared" si="7"/>
        <v>168</v>
      </c>
      <c r="F73" s="572">
        <f t="shared" si="7"/>
        <v>394</v>
      </c>
      <c r="G73" s="572">
        <f t="shared" si="7"/>
        <v>235</v>
      </c>
      <c r="H73" s="572">
        <f t="shared" si="7"/>
        <v>36</v>
      </c>
      <c r="I73" s="572">
        <f>SUM(C73:H73)</f>
        <v>894</v>
      </c>
      <c r="J73" s="572">
        <f>SUM(J74:J80)</f>
        <v>27</v>
      </c>
      <c r="K73" s="572">
        <f t="shared" ref="K73:O73" si="8">SUM(K74:K80)</f>
        <v>97</v>
      </c>
      <c r="L73" s="572">
        <f t="shared" si="8"/>
        <v>165</v>
      </c>
      <c r="M73" s="572">
        <f t="shared" si="8"/>
        <v>216</v>
      </c>
      <c r="N73" s="572">
        <f t="shared" si="8"/>
        <v>113</v>
      </c>
      <c r="O73" s="572">
        <f t="shared" si="8"/>
        <v>19</v>
      </c>
      <c r="P73" s="572">
        <f>SUM(J73:O73)</f>
        <v>637</v>
      </c>
      <c r="Q73" s="572">
        <f t="shared" si="6"/>
        <v>1531</v>
      </c>
    </row>
    <row r="74" spans="1:17" s="226" customFormat="1" x14ac:dyDescent="0.15">
      <c r="A74" s="226">
        <v>70</v>
      </c>
      <c r="B74" s="249" t="s">
        <v>607</v>
      </c>
      <c r="C74" s="571">
        <v>3</v>
      </c>
      <c r="D74" s="571">
        <v>11</v>
      </c>
      <c r="E74" s="571">
        <v>74</v>
      </c>
      <c r="F74" s="571">
        <v>128</v>
      </c>
      <c r="G74" s="571">
        <v>53</v>
      </c>
      <c r="H74" s="571">
        <v>12</v>
      </c>
      <c r="I74" s="571">
        <f t="shared" si="4"/>
        <v>281</v>
      </c>
      <c r="J74" s="571">
        <v>10</v>
      </c>
      <c r="K74" s="571">
        <v>24</v>
      </c>
      <c r="L74" s="571">
        <v>39</v>
      </c>
      <c r="M74" s="571">
        <v>47</v>
      </c>
      <c r="N74" s="571">
        <v>34</v>
      </c>
      <c r="O74" s="571">
        <v>5</v>
      </c>
      <c r="P74" s="571">
        <f t="shared" ref="P74:P80" si="9">SUM(J74:O74)</f>
        <v>159</v>
      </c>
      <c r="Q74" s="572">
        <f t="shared" si="6"/>
        <v>440</v>
      </c>
    </row>
    <row r="75" spans="1:17" s="226" customFormat="1" x14ac:dyDescent="0.15">
      <c r="A75" s="226">
        <v>71</v>
      </c>
      <c r="B75" s="249" t="s">
        <v>608</v>
      </c>
      <c r="C75" s="571"/>
      <c r="D75" s="571">
        <v>4</v>
      </c>
      <c r="E75" s="571">
        <v>20</v>
      </c>
      <c r="F75" s="571">
        <v>49</v>
      </c>
      <c r="G75" s="571">
        <v>41</v>
      </c>
      <c r="H75" s="571">
        <v>4</v>
      </c>
      <c r="I75" s="571">
        <f t="shared" si="4"/>
        <v>118</v>
      </c>
      <c r="J75" s="571">
        <v>5</v>
      </c>
      <c r="K75" s="571">
        <v>12</v>
      </c>
      <c r="L75" s="571">
        <v>26</v>
      </c>
      <c r="M75" s="571">
        <v>25</v>
      </c>
      <c r="N75" s="571">
        <v>17</v>
      </c>
      <c r="O75" s="571">
        <v>7</v>
      </c>
      <c r="P75" s="571">
        <f t="shared" si="9"/>
        <v>92</v>
      </c>
      <c r="Q75" s="572">
        <f t="shared" si="6"/>
        <v>210</v>
      </c>
    </row>
    <row r="76" spans="1:17" s="226" customFormat="1" x14ac:dyDescent="0.15">
      <c r="A76" s="226">
        <v>72</v>
      </c>
      <c r="B76" s="249" t="s">
        <v>609</v>
      </c>
      <c r="C76" s="571">
        <v>2</v>
      </c>
      <c r="D76" s="571">
        <v>8</v>
      </c>
      <c r="E76" s="571">
        <v>15</v>
      </c>
      <c r="F76" s="571">
        <v>43</v>
      </c>
      <c r="G76" s="571">
        <v>25</v>
      </c>
      <c r="H76" s="571">
        <v>6</v>
      </c>
      <c r="I76" s="571">
        <f t="shared" si="4"/>
        <v>99</v>
      </c>
      <c r="J76" s="571">
        <v>3</v>
      </c>
      <c r="K76" s="571">
        <v>13</v>
      </c>
      <c r="L76" s="571">
        <v>29</v>
      </c>
      <c r="M76" s="571">
        <v>30</v>
      </c>
      <c r="N76" s="571">
        <v>16</v>
      </c>
      <c r="O76" s="571">
        <v>3</v>
      </c>
      <c r="P76" s="571">
        <f t="shared" si="9"/>
        <v>94</v>
      </c>
      <c r="Q76" s="572">
        <f t="shared" si="6"/>
        <v>193</v>
      </c>
    </row>
    <row r="77" spans="1:17" s="226" customFormat="1" x14ac:dyDescent="0.15">
      <c r="A77" s="226">
        <v>73</v>
      </c>
      <c r="B77" s="249" t="s">
        <v>610</v>
      </c>
      <c r="C77" s="571">
        <v>1</v>
      </c>
      <c r="D77" s="571">
        <v>13</v>
      </c>
      <c r="E77" s="571">
        <v>15</v>
      </c>
      <c r="F77" s="571">
        <v>48</v>
      </c>
      <c r="G77" s="571">
        <v>20</v>
      </c>
      <c r="H77" s="571">
        <v>6</v>
      </c>
      <c r="I77" s="571">
        <f t="shared" si="4"/>
        <v>103</v>
      </c>
      <c r="J77" s="571">
        <v>2</v>
      </c>
      <c r="K77" s="571">
        <v>21</v>
      </c>
      <c r="L77" s="571">
        <v>32</v>
      </c>
      <c r="M77" s="571">
        <v>35</v>
      </c>
      <c r="N77" s="571">
        <v>13</v>
      </c>
      <c r="O77" s="571"/>
      <c r="P77" s="571">
        <f t="shared" si="9"/>
        <v>103</v>
      </c>
      <c r="Q77" s="572">
        <f t="shared" si="6"/>
        <v>206</v>
      </c>
    </row>
    <row r="78" spans="1:17" s="226" customFormat="1" x14ac:dyDescent="0.15">
      <c r="A78" s="226">
        <v>74</v>
      </c>
      <c r="B78" s="249" t="s">
        <v>611</v>
      </c>
      <c r="C78" s="571"/>
      <c r="D78" s="571">
        <v>8</v>
      </c>
      <c r="E78" s="571">
        <v>19</v>
      </c>
      <c r="F78" s="571">
        <v>69</v>
      </c>
      <c r="G78" s="571">
        <v>61</v>
      </c>
      <c r="H78" s="571">
        <v>6</v>
      </c>
      <c r="I78" s="571">
        <f t="shared" si="4"/>
        <v>163</v>
      </c>
      <c r="J78" s="571">
        <v>4</v>
      </c>
      <c r="K78" s="571">
        <v>12</v>
      </c>
      <c r="L78" s="571">
        <v>23</v>
      </c>
      <c r="M78" s="571">
        <v>39</v>
      </c>
      <c r="N78" s="571">
        <v>15</v>
      </c>
      <c r="O78" s="571">
        <v>1</v>
      </c>
      <c r="P78" s="571">
        <f t="shared" si="9"/>
        <v>94</v>
      </c>
      <c r="Q78" s="572">
        <f t="shared" si="6"/>
        <v>257</v>
      </c>
    </row>
    <row r="79" spans="1:17" s="226" customFormat="1" x14ac:dyDescent="0.15">
      <c r="A79" s="226">
        <v>75</v>
      </c>
      <c r="B79" s="249" t="s">
        <v>612</v>
      </c>
      <c r="C79" s="571">
        <v>2</v>
      </c>
      <c r="D79" s="571">
        <v>5</v>
      </c>
      <c r="E79" s="571">
        <v>16</v>
      </c>
      <c r="F79" s="571">
        <v>24</v>
      </c>
      <c r="G79" s="571">
        <v>17</v>
      </c>
      <c r="H79" s="571">
        <v>2</v>
      </c>
      <c r="I79" s="571">
        <f t="shared" si="4"/>
        <v>66</v>
      </c>
      <c r="J79" s="571">
        <v>3</v>
      </c>
      <c r="K79" s="571">
        <v>10</v>
      </c>
      <c r="L79" s="571">
        <v>10</v>
      </c>
      <c r="M79" s="571">
        <v>26</v>
      </c>
      <c r="N79" s="571">
        <v>10</v>
      </c>
      <c r="O79" s="571">
        <v>2</v>
      </c>
      <c r="P79" s="571">
        <f t="shared" si="9"/>
        <v>61</v>
      </c>
      <c r="Q79" s="572">
        <f t="shared" si="6"/>
        <v>127</v>
      </c>
    </row>
    <row r="80" spans="1:17" s="226" customFormat="1" x14ac:dyDescent="0.15">
      <c r="A80" s="226">
        <v>76</v>
      </c>
      <c r="B80" s="249" t="s">
        <v>613</v>
      </c>
      <c r="C80" s="571"/>
      <c r="D80" s="571">
        <v>4</v>
      </c>
      <c r="E80" s="571">
        <v>9</v>
      </c>
      <c r="F80" s="571">
        <v>33</v>
      </c>
      <c r="G80" s="571">
        <v>18</v>
      </c>
      <c r="H80" s="571"/>
      <c r="I80" s="571">
        <f t="shared" si="4"/>
        <v>64</v>
      </c>
      <c r="J80" s="571"/>
      <c r="K80" s="571">
        <v>5</v>
      </c>
      <c r="L80" s="571">
        <v>6</v>
      </c>
      <c r="M80" s="571">
        <v>14</v>
      </c>
      <c r="N80" s="571">
        <v>8</v>
      </c>
      <c r="O80" s="571">
        <v>1</v>
      </c>
      <c r="P80" s="571">
        <f t="shared" si="9"/>
        <v>34</v>
      </c>
      <c r="Q80" s="572">
        <f t="shared" si="6"/>
        <v>98</v>
      </c>
    </row>
    <row r="81" spans="1:17" s="226" customFormat="1" x14ac:dyDescent="0.15">
      <c r="B81" s="240" t="s">
        <v>614</v>
      </c>
      <c r="C81" s="572">
        <f t="shared" ref="C81:O81" si="10">SUM(C82:C87)</f>
        <v>6</v>
      </c>
      <c r="D81" s="572">
        <f t="shared" si="10"/>
        <v>49</v>
      </c>
      <c r="E81" s="572">
        <f t="shared" si="10"/>
        <v>123</v>
      </c>
      <c r="F81" s="572">
        <f t="shared" si="10"/>
        <v>325</v>
      </c>
      <c r="G81" s="572">
        <f t="shared" si="10"/>
        <v>228</v>
      </c>
      <c r="H81" s="572">
        <f t="shared" si="10"/>
        <v>63</v>
      </c>
      <c r="I81" s="572">
        <f t="shared" si="10"/>
        <v>794</v>
      </c>
      <c r="J81" s="572">
        <f t="shared" si="10"/>
        <v>16</v>
      </c>
      <c r="K81" s="572">
        <f t="shared" si="10"/>
        <v>61</v>
      </c>
      <c r="L81" s="572">
        <f t="shared" si="10"/>
        <v>95</v>
      </c>
      <c r="M81" s="572">
        <f t="shared" si="10"/>
        <v>141</v>
      </c>
      <c r="N81" s="572">
        <f t="shared" si="10"/>
        <v>92</v>
      </c>
      <c r="O81" s="572">
        <f t="shared" si="10"/>
        <v>21</v>
      </c>
      <c r="P81" s="572">
        <f>SUM(P82:P87)</f>
        <v>426</v>
      </c>
      <c r="Q81" s="572">
        <f t="shared" si="6"/>
        <v>1220</v>
      </c>
    </row>
    <row r="82" spans="1:17" s="226" customFormat="1" x14ac:dyDescent="0.15">
      <c r="A82" s="226">
        <v>80</v>
      </c>
      <c r="B82" s="573" t="s">
        <v>615</v>
      </c>
      <c r="C82" s="571"/>
      <c r="D82" s="571"/>
      <c r="E82" s="571">
        <v>3</v>
      </c>
      <c r="F82" s="571">
        <v>5</v>
      </c>
      <c r="G82" s="571">
        <v>3</v>
      </c>
      <c r="H82" s="571">
        <v>1</v>
      </c>
      <c r="I82" s="571">
        <f t="shared" si="4"/>
        <v>12</v>
      </c>
      <c r="J82" s="571"/>
      <c r="K82" s="571"/>
      <c r="L82" s="571">
        <v>1</v>
      </c>
      <c r="M82" s="571">
        <v>2</v>
      </c>
      <c r="N82" s="571"/>
      <c r="O82" s="571"/>
      <c r="P82" s="571">
        <f t="shared" ref="P82:P88" si="11">SUM(J82:O82)</f>
        <v>3</v>
      </c>
      <c r="Q82" s="572">
        <f t="shared" si="6"/>
        <v>15</v>
      </c>
    </row>
    <row r="83" spans="1:17" s="226" customFormat="1" x14ac:dyDescent="0.15">
      <c r="A83" s="226">
        <v>81</v>
      </c>
      <c r="B83" s="573" t="s">
        <v>616</v>
      </c>
      <c r="C83" s="571"/>
      <c r="D83" s="571">
        <v>6</v>
      </c>
      <c r="E83" s="571">
        <v>16</v>
      </c>
      <c r="F83" s="571">
        <v>44</v>
      </c>
      <c r="G83" s="571">
        <v>25</v>
      </c>
      <c r="H83" s="571">
        <v>3</v>
      </c>
      <c r="I83" s="571">
        <f t="shared" si="4"/>
        <v>94</v>
      </c>
      <c r="J83" s="571">
        <v>1</v>
      </c>
      <c r="K83" s="571">
        <v>8</v>
      </c>
      <c r="L83" s="571">
        <v>14</v>
      </c>
      <c r="M83" s="571">
        <v>21</v>
      </c>
      <c r="N83" s="571">
        <v>20</v>
      </c>
      <c r="O83" s="571">
        <v>3</v>
      </c>
      <c r="P83" s="571">
        <f t="shared" si="11"/>
        <v>67</v>
      </c>
      <c r="Q83" s="572">
        <f t="shared" si="6"/>
        <v>161</v>
      </c>
    </row>
    <row r="84" spans="1:17" s="226" customFormat="1" x14ac:dyDescent="0.15">
      <c r="A84" s="226">
        <v>82</v>
      </c>
      <c r="B84" s="573" t="s">
        <v>617</v>
      </c>
      <c r="C84" s="571">
        <v>2</v>
      </c>
      <c r="D84" s="571">
        <v>9</v>
      </c>
      <c r="E84" s="571">
        <v>22</v>
      </c>
      <c r="F84" s="571">
        <v>42</v>
      </c>
      <c r="G84" s="571">
        <v>30</v>
      </c>
      <c r="H84" s="571">
        <v>9</v>
      </c>
      <c r="I84" s="571">
        <f t="shared" si="4"/>
        <v>114</v>
      </c>
      <c r="J84" s="571">
        <v>4</v>
      </c>
      <c r="K84" s="571">
        <v>11</v>
      </c>
      <c r="L84" s="571">
        <v>19</v>
      </c>
      <c r="M84" s="571">
        <v>17</v>
      </c>
      <c r="N84" s="571">
        <v>23</v>
      </c>
      <c r="O84" s="571">
        <v>3</v>
      </c>
      <c r="P84" s="571">
        <f t="shared" si="11"/>
        <v>77</v>
      </c>
      <c r="Q84" s="572">
        <f t="shared" si="6"/>
        <v>191</v>
      </c>
    </row>
    <row r="85" spans="1:17" s="226" customFormat="1" x14ac:dyDescent="0.15">
      <c r="A85" s="226">
        <v>83</v>
      </c>
      <c r="B85" s="573" t="s">
        <v>618</v>
      </c>
      <c r="C85" s="571">
        <v>2</v>
      </c>
      <c r="D85" s="571">
        <v>23</v>
      </c>
      <c r="E85" s="571">
        <v>51</v>
      </c>
      <c r="F85" s="571">
        <v>127</v>
      </c>
      <c r="G85" s="571">
        <v>97</v>
      </c>
      <c r="H85" s="571">
        <v>28</v>
      </c>
      <c r="I85" s="571">
        <f t="shared" si="4"/>
        <v>328</v>
      </c>
      <c r="J85" s="571">
        <v>3</v>
      </c>
      <c r="K85" s="571">
        <v>18</v>
      </c>
      <c r="L85" s="571">
        <v>42</v>
      </c>
      <c r="M85" s="571">
        <v>74</v>
      </c>
      <c r="N85" s="571">
        <v>34</v>
      </c>
      <c r="O85" s="571">
        <v>12</v>
      </c>
      <c r="P85" s="571">
        <f t="shared" si="11"/>
        <v>183</v>
      </c>
      <c r="Q85" s="572">
        <f t="shared" si="6"/>
        <v>511</v>
      </c>
    </row>
    <row r="86" spans="1:17" s="226" customFormat="1" x14ac:dyDescent="0.15">
      <c r="A86" s="226">
        <v>84</v>
      </c>
      <c r="B86" s="573" t="s">
        <v>619</v>
      </c>
      <c r="C86" s="571"/>
      <c r="D86" s="571">
        <v>7</v>
      </c>
      <c r="E86" s="571">
        <v>21</v>
      </c>
      <c r="F86" s="571">
        <v>71</v>
      </c>
      <c r="G86" s="571">
        <v>51</v>
      </c>
      <c r="H86" s="571">
        <v>14</v>
      </c>
      <c r="I86" s="571">
        <f t="shared" si="4"/>
        <v>164</v>
      </c>
      <c r="J86" s="571">
        <v>5</v>
      </c>
      <c r="K86" s="571">
        <v>18</v>
      </c>
      <c r="L86" s="571">
        <v>12</v>
      </c>
      <c r="M86" s="571">
        <v>14</v>
      </c>
      <c r="N86" s="571">
        <v>10</v>
      </c>
      <c r="O86" s="571">
        <v>1</v>
      </c>
      <c r="P86" s="571">
        <f t="shared" si="11"/>
        <v>60</v>
      </c>
      <c r="Q86" s="572">
        <f t="shared" si="6"/>
        <v>224</v>
      </c>
    </row>
    <row r="87" spans="1:17" s="226" customFormat="1" x14ac:dyDescent="0.15">
      <c r="A87" s="226">
        <v>85</v>
      </c>
      <c r="B87" s="573" t="s">
        <v>432</v>
      </c>
      <c r="C87" s="571">
        <v>2</v>
      </c>
      <c r="D87" s="571">
        <v>4</v>
      </c>
      <c r="E87" s="571">
        <v>10</v>
      </c>
      <c r="F87" s="571">
        <v>36</v>
      </c>
      <c r="G87" s="571">
        <v>22</v>
      </c>
      <c r="H87" s="571">
        <v>8</v>
      </c>
      <c r="I87" s="571">
        <f t="shared" si="4"/>
        <v>82</v>
      </c>
      <c r="J87" s="571">
        <v>3</v>
      </c>
      <c r="K87" s="571">
        <v>6</v>
      </c>
      <c r="L87" s="571">
        <v>7</v>
      </c>
      <c r="M87" s="571">
        <v>13</v>
      </c>
      <c r="N87" s="571">
        <v>5</v>
      </c>
      <c r="O87" s="571">
        <v>2</v>
      </c>
      <c r="P87" s="571">
        <f t="shared" si="11"/>
        <v>36</v>
      </c>
      <c r="Q87" s="572">
        <f t="shared" si="6"/>
        <v>118</v>
      </c>
    </row>
    <row r="88" spans="1:17" s="226" customFormat="1" x14ac:dyDescent="0.15">
      <c r="A88" s="226">
        <v>99</v>
      </c>
      <c r="B88" s="249" t="s">
        <v>620</v>
      </c>
      <c r="C88" s="571">
        <v>1</v>
      </c>
      <c r="D88" s="571">
        <v>1</v>
      </c>
      <c r="E88" s="571">
        <v>22</v>
      </c>
      <c r="F88" s="571">
        <v>57</v>
      </c>
      <c r="G88" s="571">
        <v>28</v>
      </c>
      <c r="H88" s="571">
        <v>5</v>
      </c>
      <c r="I88" s="571">
        <f t="shared" si="4"/>
        <v>114</v>
      </c>
      <c r="J88" s="571">
        <v>7</v>
      </c>
      <c r="K88" s="571">
        <v>6</v>
      </c>
      <c r="L88" s="571">
        <v>5</v>
      </c>
      <c r="M88" s="571">
        <v>14</v>
      </c>
      <c r="N88" s="571">
        <v>11</v>
      </c>
      <c r="O88" s="571">
        <v>2</v>
      </c>
      <c r="P88" s="571">
        <f t="shared" si="11"/>
        <v>45</v>
      </c>
      <c r="Q88" s="572">
        <f t="shared" si="6"/>
        <v>159</v>
      </c>
    </row>
    <row r="89" spans="1:17" s="226" customFormat="1" x14ac:dyDescent="0.15">
      <c r="B89" s="574" t="s">
        <v>11</v>
      </c>
      <c r="C89" s="575">
        <f>SUM(C5:C45,C49:C72,C74:C80,C82:C87,C88)</f>
        <v>87</v>
      </c>
      <c r="D89" s="575">
        <f t="shared" ref="D89:P89" si="12">SUM(D5:D45,D49:D72,D74:D80,D82:D87,D88)</f>
        <v>486</v>
      </c>
      <c r="E89" s="575">
        <f t="shared" si="12"/>
        <v>1482</v>
      </c>
      <c r="F89" s="575">
        <f t="shared" si="12"/>
        <v>3910</v>
      </c>
      <c r="G89" s="575">
        <f t="shared" si="12"/>
        <v>2633</v>
      </c>
      <c r="H89" s="575">
        <f>SUM(H5:H45,H49:H72,H74:H80,H82:H87,H88)</f>
        <v>544</v>
      </c>
      <c r="I89" s="575">
        <f>SUM(I5:I45,I49:I72,I74:I80,I82:I87,I88)</f>
        <v>9142</v>
      </c>
      <c r="J89" s="575">
        <f t="shared" si="12"/>
        <v>274</v>
      </c>
      <c r="K89" s="575">
        <f t="shared" si="12"/>
        <v>831</v>
      </c>
      <c r="L89" s="575">
        <f t="shared" si="12"/>
        <v>1581</v>
      </c>
      <c r="M89" s="575">
        <f t="shared" si="12"/>
        <v>2247</v>
      </c>
      <c r="N89" s="575">
        <f t="shared" si="12"/>
        <v>1315</v>
      </c>
      <c r="O89" s="575">
        <f t="shared" si="12"/>
        <v>265</v>
      </c>
      <c r="P89" s="575">
        <f t="shared" si="12"/>
        <v>6513</v>
      </c>
      <c r="Q89" s="575">
        <f>SUM(Q5:Q45,Q49:Q72,Q74:Q80,Q82:Q87,Q88)</f>
        <v>15655</v>
      </c>
    </row>
  </sheetData>
  <mergeCells count="6">
    <mergeCell ref="C3:I3"/>
    <mergeCell ref="J3:P3"/>
    <mergeCell ref="Q3:Q4"/>
    <mergeCell ref="C46:I46"/>
    <mergeCell ref="J46:P46"/>
    <mergeCell ref="Q46:Q47"/>
  </mergeCells>
  <phoneticPr fontId="2"/>
  <printOptions horizontalCentered="1"/>
  <pageMargins left="0.70866141732283472" right="0.70866141732283472" top="0.74803149606299213" bottom="0.74803149606299213" header="0.31496062992125984" footer="0.31496062992125984"/>
  <pageSetup paperSize="9" scale="93" fitToWidth="0" fitToHeight="0" orientation="portrait" r:id="rId1"/>
  <rowBreaks count="1" manualBreakCount="1">
    <brk id="47" min="1" max="16" man="1"/>
  </row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theme="6" tint="-0.249977111117893"/>
    <pageSetUpPr fitToPage="1"/>
  </sheetPr>
  <dimension ref="A1:U61"/>
  <sheetViews>
    <sheetView showGridLines="0" view="pageBreakPreview" zoomScale="80" zoomScaleNormal="100" zoomScaleSheetLayoutView="80" workbookViewId="0">
      <selection activeCell="C21" sqref="A21:XFD61"/>
    </sheetView>
  </sheetViews>
  <sheetFormatPr defaultRowHeight="18.75" customHeight="1" x14ac:dyDescent="0.15"/>
  <cols>
    <col min="1" max="1" width="3.125" style="1" customWidth="1"/>
    <col min="2" max="2" width="52.5" style="1" customWidth="1"/>
    <col min="3" max="4" width="9.375" style="1" customWidth="1"/>
    <col min="5" max="5" width="4.125" style="1" customWidth="1"/>
    <col min="6" max="6" width="8.75" style="1" customWidth="1"/>
    <col min="7" max="7" width="43.75" style="1" customWidth="1"/>
    <col min="8" max="10" width="9.375" style="1" customWidth="1"/>
    <col min="11" max="11" width="10.25" style="1" customWidth="1"/>
    <col min="12" max="12" width="5" style="1" customWidth="1"/>
    <col min="13" max="13" width="71" style="1" hidden="1" customWidth="1"/>
    <col min="14" max="14" width="7.375" style="1" hidden="1" customWidth="1"/>
    <col min="15" max="15" width="17.25" style="1" hidden="1" customWidth="1"/>
    <col min="16" max="16" width="15.625" style="1" hidden="1" customWidth="1"/>
    <col min="17" max="17" width="7.375" style="1" customWidth="1"/>
    <col min="18" max="20" width="9" style="1"/>
    <col min="21" max="21" width="11.875" style="1" customWidth="1"/>
    <col min="22" max="16384" width="9" style="1"/>
  </cols>
  <sheetData>
    <row r="1" spans="1:21" s="3" customFormat="1" ht="18.75" customHeight="1" x14ac:dyDescent="0.15">
      <c r="A1" s="2" t="s">
        <v>120</v>
      </c>
      <c r="B1" s="2"/>
    </row>
    <row r="2" spans="1:21" ht="18.75" customHeight="1" x14ac:dyDescent="0.15">
      <c r="A2" s="4"/>
      <c r="B2" s="4"/>
      <c r="M2" s="158"/>
      <c r="N2" s="33"/>
      <c r="O2" s="33"/>
      <c r="P2" s="33"/>
      <c r="R2" s="158"/>
      <c r="S2" s="33"/>
      <c r="T2" s="33"/>
      <c r="U2" s="33"/>
    </row>
    <row r="3" spans="1:21" s="3" customFormat="1" ht="18.75" customHeight="1" x14ac:dyDescent="0.15">
      <c r="A3" s="4" t="s">
        <v>13</v>
      </c>
      <c r="B3" s="4"/>
      <c r="F3" s="4" t="s">
        <v>114</v>
      </c>
      <c r="G3" s="4"/>
      <c r="M3" s="187"/>
      <c r="N3" s="38"/>
      <c r="O3" s="39"/>
      <c r="P3" s="36"/>
      <c r="Q3" s="1"/>
      <c r="R3" s="187"/>
      <c r="S3" s="38"/>
      <c r="T3" s="39"/>
      <c r="U3" s="36"/>
    </row>
    <row r="4" spans="1:21" ht="18.75" customHeight="1" x14ac:dyDescent="0.15">
      <c r="A4" s="250"/>
      <c r="B4" s="251"/>
      <c r="C4" s="258" t="s">
        <v>0</v>
      </c>
      <c r="D4" s="258" t="s">
        <v>1</v>
      </c>
      <c r="F4" s="270"/>
      <c r="G4" s="271"/>
      <c r="H4" s="258" t="s">
        <v>115</v>
      </c>
      <c r="I4" s="258" t="s">
        <v>117</v>
      </c>
      <c r="J4" s="258" t="s">
        <v>12</v>
      </c>
      <c r="K4" s="258" t="s">
        <v>1</v>
      </c>
      <c r="M4" s="55" t="s">
        <v>296</v>
      </c>
      <c r="N4" s="412" t="s">
        <v>326</v>
      </c>
      <c r="O4" s="16" t="s">
        <v>367</v>
      </c>
      <c r="P4" s="36"/>
      <c r="R4" s="187"/>
      <c r="S4" s="38"/>
      <c r="T4" s="39"/>
      <c r="U4" s="36"/>
    </row>
    <row r="5" spans="1:21" ht="18.75" customHeight="1" x14ac:dyDescent="0.15">
      <c r="A5" s="609" t="s">
        <v>121</v>
      </c>
      <c r="B5" s="610"/>
      <c r="C5" s="259">
        <f>SUM(C6:C8)</f>
        <v>4284</v>
      </c>
      <c r="D5" s="260">
        <f>SUM(D6:D8)</f>
        <v>0.27365059086553817</v>
      </c>
      <c r="F5" s="606" t="s">
        <v>121</v>
      </c>
      <c r="G5" s="607"/>
      <c r="H5" s="261">
        <f t="shared" ref="H5:I5" si="0">SUM(H6:H8)</f>
        <v>33</v>
      </c>
      <c r="I5" s="259">
        <f t="shared" si="0"/>
        <v>204</v>
      </c>
      <c r="J5" s="259">
        <f>SUM(H5:I5)</f>
        <v>237</v>
      </c>
      <c r="K5" s="301">
        <f>IFERROR(J5/J$20,"-")</f>
        <v>0.14123957091775924</v>
      </c>
      <c r="M5" s="55" t="s">
        <v>285</v>
      </c>
      <c r="N5" s="412" t="s">
        <v>315</v>
      </c>
      <c r="O5" s="16" t="s">
        <v>368</v>
      </c>
      <c r="P5" s="36"/>
      <c r="R5" s="187"/>
      <c r="S5" s="38"/>
      <c r="T5" s="39"/>
      <c r="U5" s="36"/>
    </row>
    <row r="6" spans="1:21" ht="18.75" customHeight="1" x14ac:dyDescent="0.15">
      <c r="A6" s="252"/>
      <c r="B6" s="255" t="s">
        <v>122</v>
      </c>
      <c r="C6" s="264">
        <f>IFERROR(VLOOKUP($M4,疾患別[#All],2,FALSE),0)</f>
        <v>2020</v>
      </c>
      <c r="D6" s="265">
        <f>IFERROR(C6/C$20,"-")</f>
        <v>0.12903225806451613</v>
      </c>
      <c r="F6" s="252"/>
      <c r="G6" s="274" t="s">
        <v>122</v>
      </c>
      <c r="H6" s="264">
        <f>IFERROR(VLOOKUP($M4,疾患別＿寛解[#All],2,FALSE),0)</f>
        <v>13</v>
      </c>
      <c r="I6" s="264">
        <f>IFERROR(VLOOKUP($M4,疾患別＿院内寛解[#All],2,FALSE),0)</f>
        <v>72</v>
      </c>
      <c r="J6" s="277">
        <f t="shared" ref="J6:J19" si="1">SUM(H6:I6)</f>
        <v>85</v>
      </c>
      <c r="K6" s="278">
        <f t="shared" ref="K6:K19" si="2">IFERROR(J6/J$20,"-")</f>
        <v>5.0655542312276522E-2</v>
      </c>
      <c r="M6" s="55" t="s">
        <v>286</v>
      </c>
      <c r="N6" s="412" t="s">
        <v>316</v>
      </c>
      <c r="O6" s="39"/>
      <c r="P6" s="36"/>
      <c r="R6" s="187"/>
      <c r="S6" s="38"/>
      <c r="T6" s="39"/>
      <c r="U6" s="36"/>
    </row>
    <row r="7" spans="1:21" ht="18.75" customHeight="1" x14ac:dyDescent="0.15">
      <c r="A7" s="252"/>
      <c r="B7" s="256" t="s">
        <v>123</v>
      </c>
      <c r="C7" s="264">
        <f>IFERROR(VLOOKUP($M5,疾患別[#All],2,FALSE),0)</f>
        <v>332</v>
      </c>
      <c r="D7" s="267">
        <f t="shared" ref="D7:D19" si="3">IFERROR(C7/C$20,"-")</f>
        <v>2.1207282018524433E-2</v>
      </c>
      <c r="F7" s="252"/>
      <c r="G7" s="256" t="s">
        <v>107</v>
      </c>
      <c r="H7" s="279">
        <f>IFERROR(VLOOKUP($M5,疾患別＿寛解[#All],2,FALSE),0)</f>
        <v>3</v>
      </c>
      <c r="I7" s="279">
        <f>IFERROR(VLOOKUP($M5,疾患別＿院内寛解[#All],2,FALSE),0)</f>
        <v>5</v>
      </c>
      <c r="J7" s="280">
        <f t="shared" si="1"/>
        <v>8</v>
      </c>
      <c r="K7" s="281">
        <f t="shared" si="2"/>
        <v>4.7675804529201428E-3</v>
      </c>
      <c r="M7" s="55" t="s">
        <v>287</v>
      </c>
      <c r="N7" s="412" t="s">
        <v>317</v>
      </c>
      <c r="O7" s="39"/>
      <c r="P7" s="36"/>
      <c r="R7" s="187"/>
      <c r="S7" s="38"/>
      <c r="T7" s="39"/>
      <c r="U7" s="36"/>
    </row>
    <row r="8" spans="1:21" ht="37.5" customHeight="1" x14ac:dyDescent="0.15">
      <c r="A8" s="253"/>
      <c r="B8" s="257" t="s">
        <v>19</v>
      </c>
      <c r="C8" s="264">
        <f>IFERROR(VLOOKUP($M6,疾患別[#All],2,FALSE),0)</f>
        <v>1932</v>
      </c>
      <c r="D8" s="269">
        <f t="shared" si="3"/>
        <v>0.1234110507824976</v>
      </c>
      <c r="F8" s="285"/>
      <c r="G8" s="275" t="s">
        <v>19</v>
      </c>
      <c r="H8" s="282">
        <f>IFERROR(VLOOKUP($M6,疾患別＿寛解[#All],2,FALSE),0)</f>
        <v>17</v>
      </c>
      <c r="I8" s="282">
        <f>IFERROR(VLOOKUP($M6,疾患別＿院内寛解[#All],2,FALSE),0)</f>
        <v>127</v>
      </c>
      <c r="J8" s="283">
        <f t="shared" si="1"/>
        <v>144</v>
      </c>
      <c r="K8" s="284">
        <f t="shared" si="2"/>
        <v>8.5816448152562577E-2</v>
      </c>
      <c r="M8" s="55" t="s">
        <v>313</v>
      </c>
      <c r="N8" s="412" t="s">
        <v>318</v>
      </c>
      <c r="O8" s="39"/>
      <c r="P8" s="36"/>
      <c r="R8" s="187"/>
      <c r="S8" s="38"/>
      <c r="T8" s="39"/>
      <c r="U8" s="36"/>
    </row>
    <row r="9" spans="1:21" ht="18.75" customHeight="1" x14ac:dyDescent="0.15">
      <c r="A9" s="604" t="s">
        <v>20</v>
      </c>
      <c r="B9" s="605"/>
      <c r="C9" s="261">
        <f>IFERROR(VLOOKUP($M7,疾患別[#All],2,FALSE),0)+IFERROR(VLOOKUP($M8,疾患別[#All],2,FALSE),0)+IFERROR(VLOOKUP($M9,疾患別[#All],2,FALSE),0)</f>
        <v>876</v>
      </c>
      <c r="D9" s="473">
        <f t="shared" si="3"/>
        <v>5.5956563398275309E-2</v>
      </c>
      <c r="F9" s="608" t="s">
        <v>20</v>
      </c>
      <c r="G9" s="607"/>
      <c r="H9" s="261">
        <f>IFERROR(VLOOKUP($M7,疾患別＿寛解[#All],2,FALSE),0)+IFERROR(VLOOKUP($M8,疾患別＿寛解[#All],2,FALSE),0)+IFERROR(VLOOKUP($M9,疾患別＿寛解[#All],2,FALSE),0)</f>
        <v>33</v>
      </c>
      <c r="I9" s="261">
        <f>IFERROR(VLOOKUP($M7,疾患別＿院内寛解[#All],2,FALSE),0)+IFERROR(VLOOKUP($M8,疾患別＿院内寛解[#All],2,FALSE),0)+IFERROR(VLOOKUP($M9,疾患別＿院内寛解[#All],2,FALSE),0)</f>
        <v>169</v>
      </c>
      <c r="J9" s="259">
        <f t="shared" si="1"/>
        <v>202</v>
      </c>
      <c r="K9" s="472">
        <f t="shared" si="2"/>
        <v>0.12038140643623362</v>
      </c>
      <c r="M9" s="55" t="s">
        <v>314</v>
      </c>
      <c r="N9" s="412" t="s">
        <v>319</v>
      </c>
      <c r="O9" s="39"/>
      <c r="P9" s="36"/>
      <c r="R9" s="187"/>
      <c r="S9" s="38"/>
      <c r="T9" s="39"/>
      <c r="U9" s="36"/>
    </row>
    <row r="10" spans="1:21" ht="18.75" customHeight="1" x14ac:dyDescent="0.15">
      <c r="A10" s="604" t="s">
        <v>273</v>
      </c>
      <c r="B10" s="605"/>
      <c r="C10" s="261">
        <f>IFERROR(VLOOKUP($M10,疾患別[#All],2,FALSE),0)</f>
        <v>7949</v>
      </c>
      <c r="D10" s="473">
        <f t="shared" si="3"/>
        <v>0.50776109869051422</v>
      </c>
      <c r="F10" s="608" t="s">
        <v>273</v>
      </c>
      <c r="G10" s="607"/>
      <c r="H10" s="261">
        <f>IFERROR(VLOOKUP($M10,疾患別＿寛解[#All],2,FALSE),0)</f>
        <v>153</v>
      </c>
      <c r="I10" s="261">
        <f>IFERROR(VLOOKUP($M10,疾患別＿院内寛解[#All],2,FALSE),0)</f>
        <v>581</v>
      </c>
      <c r="J10" s="259">
        <f t="shared" si="1"/>
        <v>734</v>
      </c>
      <c r="K10" s="472">
        <f t="shared" si="2"/>
        <v>0.43742550655542312</v>
      </c>
      <c r="M10" s="55" t="s">
        <v>288</v>
      </c>
      <c r="N10" s="412" t="s">
        <v>320</v>
      </c>
      <c r="O10" s="39"/>
      <c r="P10" s="36"/>
      <c r="R10" s="187"/>
      <c r="S10" s="38"/>
      <c r="T10" s="39"/>
      <c r="U10" s="36"/>
    </row>
    <row r="11" spans="1:21" ht="18.75" customHeight="1" x14ac:dyDescent="0.15">
      <c r="A11" s="604" t="s">
        <v>22</v>
      </c>
      <c r="B11" s="605"/>
      <c r="C11" s="261">
        <f>IFERROR(VLOOKUP($M11,疾患別[#All],2,FALSE),0)+IFERROR(VLOOKUP($M12,疾患別[#All],2,FALSE),0)</f>
        <v>1534</v>
      </c>
      <c r="D11" s="473">
        <f t="shared" si="3"/>
        <v>9.7987863302459274E-2</v>
      </c>
      <c r="F11" s="608" t="s">
        <v>22</v>
      </c>
      <c r="G11" s="607"/>
      <c r="H11" s="261">
        <f>IFERROR(VLOOKUP($M11,疾患別＿寛解[#All],2,FALSE),0)+IFERROR(VLOOKUP($M12,疾患別＿寛解[#All],2,FALSE),0)</f>
        <v>95</v>
      </c>
      <c r="I11" s="261">
        <f>IFERROR(VLOOKUP($M11,疾患別＿院内寛解[#All],2,FALSE),0)+IFERROR(VLOOKUP($M12,疾患別＿院内寛解[#All],2,FALSE),0)</f>
        <v>233</v>
      </c>
      <c r="J11" s="259">
        <f t="shared" si="1"/>
        <v>328</v>
      </c>
      <c r="K11" s="472">
        <f t="shared" si="2"/>
        <v>0.19547079856972585</v>
      </c>
      <c r="M11" s="55" t="s">
        <v>289</v>
      </c>
      <c r="N11" s="412" t="s">
        <v>321</v>
      </c>
      <c r="O11" s="39"/>
      <c r="P11" s="36"/>
      <c r="R11" s="187"/>
      <c r="S11" s="38"/>
      <c r="T11" s="39"/>
      <c r="U11" s="36"/>
    </row>
    <row r="12" spans="1:21" ht="18.75" customHeight="1" x14ac:dyDescent="0.15">
      <c r="A12" s="604" t="s">
        <v>108</v>
      </c>
      <c r="B12" s="605"/>
      <c r="C12" s="261">
        <f>IFERROR(VLOOKUP($M13,疾患別[#All],2,FALSE),0)</f>
        <v>286</v>
      </c>
      <c r="D12" s="473">
        <f t="shared" si="3"/>
        <v>1.8268923666560206E-2</v>
      </c>
      <c r="F12" s="608" t="s">
        <v>24</v>
      </c>
      <c r="G12" s="607"/>
      <c r="H12" s="261">
        <f>IFERROR(VLOOKUP($M13,疾患別＿寛解[#All],2,FALSE),0)</f>
        <v>18</v>
      </c>
      <c r="I12" s="261">
        <f>IFERROR(VLOOKUP($M13,疾患別＿院内寛解[#All],2,FALSE),0)</f>
        <v>47</v>
      </c>
      <c r="J12" s="259">
        <f t="shared" si="1"/>
        <v>65</v>
      </c>
      <c r="K12" s="472">
        <f t="shared" si="2"/>
        <v>3.873659117997616E-2</v>
      </c>
      <c r="M12" s="55" t="s">
        <v>290</v>
      </c>
      <c r="N12" s="412" t="s">
        <v>322</v>
      </c>
      <c r="O12" s="39"/>
      <c r="P12" s="36"/>
      <c r="R12" s="188"/>
      <c r="S12" s="38"/>
      <c r="T12" s="39"/>
      <c r="U12" s="36"/>
    </row>
    <row r="13" spans="1:21" ht="18.75" customHeight="1" x14ac:dyDescent="0.15">
      <c r="A13" s="604" t="s">
        <v>109</v>
      </c>
      <c r="B13" s="605"/>
      <c r="C13" s="261">
        <f>IFERROR(VLOOKUP($M14,疾患別[#All],2,FALSE),0)</f>
        <v>43</v>
      </c>
      <c r="D13" s="473">
        <f t="shared" si="3"/>
        <v>2.7467262855317789E-3</v>
      </c>
      <c r="F13" s="608" t="s">
        <v>25</v>
      </c>
      <c r="G13" s="607"/>
      <c r="H13" s="261">
        <f>IFERROR(VLOOKUP($M14,疾患別＿寛解[#All],2,FALSE),0)</f>
        <v>7</v>
      </c>
      <c r="I13" s="261">
        <f>IFERROR(VLOOKUP($M14,疾患別＿院内寛解[#All],2,FALSE),0)</f>
        <v>3</v>
      </c>
      <c r="J13" s="259">
        <f t="shared" si="1"/>
        <v>10</v>
      </c>
      <c r="K13" s="472">
        <f t="shared" si="2"/>
        <v>5.9594755661501785E-3</v>
      </c>
      <c r="M13" s="55" t="s">
        <v>291</v>
      </c>
      <c r="N13" s="412" t="s">
        <v>323</v>
      </c>
      <c r="O13" s="39"/>
      <c r="P13" s="36"/>
      <c r="R13" s="188"/>
      <c r="S13" s="38"/>
      <c r="T13" s="39"/>
      <c r="U13" s="36"/>
    </row>
    <row r="14" spans="1:21" ht="18.75" customHeight="1" x14ac:dyDescent="0.15">
      <c r="A14" s="604" t="s">
        <v>257</v>
      </c>
      <c r="B14" s="605"/>
      <c r="C14" s="261">
        <f>IFERROR(VLOOKUP($M15,疾患別[#All],2,FALSE),0)</f>
        <v>40</v>
      </c>
      <c r="D14" s="473">
        <f t="shared" si="3"/>
        <v>2.5550942190993293E-3</v>
      </c>
      <c r="F14" s="608" t="s">
        <v>257</v>
      </c>
      <c r="G14" s="607"/>
      <c r="H14" s="261">
        <f>IFERROR(VLOOKUP($M15,疾患別＿寛解[#All],2,FALSE),0)</f>
        <v>2</v>
      </c>
      <c r="I14" s="261">
        <f>IFERROR(VLOOKUP($M15,疾患別＿院内寛解[#All],2,FALSE),0)</f>
        <v>9</v>
      </c>
      <c r="J14" s="259">
        <f t="shared" si="1"/>
        <v>11</v>
      </c>
      <c r="K14" s="472">
        <f t="shared" si="2"/>
        <v>6.5554231227651968E-3</v>
      </c>
      <c r="M14" s="55" t="s">
        <v>292</v>
      </c>
      <c r="N14" s="412" t="s">
        <v>324</v>
      </c>
      <c r="O14" s="39"/>
      <c r="P14" s="36"/>
      <c r="R14" s="188"/>
      <c r="S14" s="38"/>
      <c r="T14" s="39"/>
      <c r="U14" s="36"/>
    </row>
    <row r="15" spans="1:21" ht="18.75" customHeight="1" x14ac:dyDescent="0.15">
      <c r="A15" s="604" t="s">
        <v>258</v>
      </c>
      <c r="B15" s="605"/>
      <c r="C15" s="261">
        <f>IFERROR(VLOOKUP($M16,疾患別[#All],2,FALSE),0)</f>
        <v>299</v>
      </c>
      <c r="D15" s="473">
        <f t="shared" si="3"/>
        <v>1.9099329287767485E-2</v>
      </c>
      <c r="F15" s="608" t="s">
        <v>258</v>
      </c>
      <c r="G15" s="607"/>
      <c r="H15" s="261">
        <f>IFERROR(VLOOKUP($M16,疾患別＿寛解[#All],2,FALSE),0)</f>
        <v>4</v>
      </c>
      <c r="I15" s="261">
        <f>IFERROR(VLOOKUP($M16,疾患別＿院内寛解[#All],2,FALSE),0)</f>
        <v>29</v>
      </c>
      <c r="J15" s="259">
        <f t="shared" si="1"/>
        <v>33</v>
      </c>
      <c r="K15" s="472">
        <f t="shared" si="2"/>
        <v>1.9666269368295589E-2</v>
      </c>
      <c r="M15" s="55" t="s">
        <v>297</v>
      </c>
      <c r="N15" s="412" t="s">
        <v>325</v>
      </c>
      <c r="O15" s="39"/>
      <c r="P15" s="36"/>
      <c r="R15" s="187"/>
      <c r="S15" s="38"/>
      <c r="T15" s="39"/>
      <c r="U15" s="36"/>
    </row>
    <row r="16" spans="1:21" ht="18.75" customHeight="1" x14ac:dyDescent="0.15">
      <c r="A16" s="604" t="s">
        <v>23</v>
      </c>
      <c r="B16" s="605"/>
      <c r="C16" s="261">
        <f>IFERROR(VLOOKUP($M17,疾患別[#All],2,FALSE),0)</f>
        <v>119</v>
      </c>
      <c r="D16" s="473">
        <f t="shared" si="3"/>
        <v>7.6014053018205047E-3</v>
      </c>
      <c r="E16" s="142"/>
      <c r="F16" s="608" t="s">
        <v>23</v>
      </c>
      <c r="G16" s="607"/>
      <c r="H16" s="261">
        <f>IFERROR(VLOOKUP($M17,疾患別＿寛解[#All],2,FALSE),0)</f>
        <v>7</v>
      </c>
      <c r="I16" s="261">
        <f>IFERROR(VLOOKUP($M17,疾患別＿院内寛解[#All],2,FALSE),0)</f>
        <v>17</v>
      </c>
      <c r="J16" s="259">
        <f t="shared" si="1"/>
        <v>24</v>
      </c>
      <c r="K16" s="472">
        <f t="shared" si="2"/>
        <v>1.4302741358760428E-2</v>
      </c>
      <c r="M16" s="55" t="s">
        <v>293</v>
      </c>
      <c r="N16" s="38"/>
      <c r="O16" s="39"/>
      <c r="P16" s="36"/>
      <c r="R16" s="189"/>
      <c r="S16" s="38"/>
      <c r="T16" s="39"/>
      <c r="U16" s="36"/>
    </row>
    <row r="17" spans="1:21" ht="18.75" customHeight="1" x14ac:dyDescent="0.15">
      <c r="A17" s="604" t="s">
        <v>259</v>
      </c>
      <c r="B17" s="616"/>
      <c r="C17" s="261">
        <f>IFERROR(VLOOKUP($M18,疾患別[#All],2,FALSE),0)</f>
        <v>39</v>
      </c>
      <c r="D17" s="473">
        <f t="shared" si="3"/>
        <v>2.491216863621846E-3</v>
      </c>
      <c r="E17" s="39"/>
      <c r="F17" s="608" t="s">
        <v>259</v>
      </c>
      <c r="G17" s="615"/>
      <c r="H17" s="261">
        <f>IFERROR(VLOOKUP($M18,疾患別＿寛解[#All],2,FALSE),0)</f>
        <v>2</v>
      </c>
      <c r="I17" s="261">
        <f>IFERROR(VLOOKUP($M18,疾患別＿院内寛解[#All],2,FALSE),0)</f>
        <v>10</v>
      </c>
      <c r="J17" s="259">
        <f t="shared" si="1"/>
        <v>12</v>
      </c>
      <c r="K17" s="472">
        <f t="shared" si="2"/>
        <v>7.1513706793802142E-3</v>
      </c>
      <c r="M17" s="55" t="s">
        <v>294</v>
      </c>
      <c r="N17" s="38"/>
      <c r="O17" s="39"/>
      <c r="P17" s="36"/>
      <c r="R17" s="158"/>
      <c r="S17" s="38"/>
      <c r="T17" s="39"/>
      <c r="U17" s="36"/>
    </row>
    <row r="18" spans="1:21" ht="18.75" customHeight="1" x14ac:dyDescent="0.15">
      <c r="A18" s="604" t="s">
        <v>124</v>
      </c>
      <c r="B18" s="605"/>
      <c r="C18" s="261">
        <f>IFERROR(VLOOKUP($M19,疾患別[#All],2,FALSE),0)</f>
        <v>48</v>
      </c>
      <c r="D18" s="473">
        <f t="shared" si="3"/>
        <v>3.0661130629191951E-3</v>
      </c>
      <c r="E18" s="142"/>
      <c r="F18" s="608" t="s">
        <v>124</v>
      </c>
      <c r="G18" s="607"/>
      <c r="H18" s="261">
        <f>IFERROR(VLOOKUP($M19,疾患別＿寛解[#All],2,FALSE),0)</f>
        <v>2</v>
      </c>
      <c r="I18" s="261">
        <f>IFERROR(VLOOKUP($M19,疾患別＿院内寛解[#All],2,FALSE),0)</f>
        <v>3</v>
      </c>
      <c r="J18" s="259">
        <f>SUM(H18:I18)</f>
        <v>5</v>
      </c>
      <c r="K18" s="472">
        <f t="shared" si="2"/>
        <v>2.9797377830750892E-3</v>
      </c>
      <c r="M18" s="55" t="s">
        <v>298</v>
      </c>
    </row>
    <row r="19" spans="1:21" ht="18.75" customHeight="1" x14ac:dyDescent="0.15">
      <c r="A19" s="613" t="s">
        <v>18</v>
      </c>
      <c r="B19" s="614"/>
      <c r="C19" s="261">
        <f>IFERROR(VLOOKUP($M20,疾患別[#All],2,FALSE),0)</f>
        <v>138</v>
      </c>
      <c r="D19" s="473">
        <f t="shared" si="3"/>
        <v>8.8150750558926867E-3</v>
      </c>
      <c r="E19" s="39"/>
      <c r="F19" s="611" t="s">
        <v>18</v>
      </c>
      <c r="G19" s="612"/>
      <c r="H19" s="261">
        <f>IFERROR(VLOOKUP($M20,疾患別＿寛解[#All],2,FALSE),0)</f>
        <v>5</v>
      </c>
      <c r="I19" s="261">
        <f>IFERROR(VLOOKUP($M20,疾患別＿院内寛解[#All],2,FALSE),0)</f>
        <v>12</v>
      </c>
      <c r="J19" s="259">
        <f t="shared" si="1"/>
        <v>17</v>
      </c>
      <c r="K19" s="472">
        <f t="shared" si="2"/>
        <v>1.0131108462455305E-2</v>
      </c>
      <c r="M19" s="55" t="s">
        <v>295</v>
      </c>
    </row>
    <row r="20" spans="1:21" ht="18.75" customHeight="1" x14ac:dyDescent="0.15">
      <c r="A20" s="254" t="s">
        <v>11</v>
      </c>
      <c r="B20" s="18"/>
      <c r="C20" s="262">
        <f>SUM(C6:C19)</f>
        <v>15655</v>
      </c>
      <c r="D20" s="263">
        <f>SUM(D6:D19)</f>
        <v>0.99999999999999989</v>
      </c>
      <c r="F20" s="272" t="s">
        <v>11</v>
      </c>
      <c r="G20" s="273"/>
      <c r="H20" s="262">
        <f>SUM(H6:H19)</f>
        <v>361</v>
      </c>
      <c r="I20" s="262">
        <f t="shared" ref="I20:J20" si="4">SUM(I6:I19)</f>
        <v>1317</v>
      </c>
      <c r="J20" s="262">
        <f t="shared" si="4"/>
        <v>1678</v>
      </c>
      <c r="K20" s="263">
        <f>SUM(K6:K19)</f>
        <v>1</v>
      </c>
      <c r="M20" s="55" t="s">
        <v>18</v>
      </c>
    </row>
    <row r="21" spans="1:21" ht="18.75" hidden="1" customHeight="1" x14ac:dyDescent="0.15">
      <c r="A21" s="38"/>
      <c r="B21" s="56" t="s">
        <v>63</v>
      </c>
      <c r="C21" s="45"/>
      <c r="G21" s="56" t="s">
        <v>63</v>
      </c>
      <c r="M21" s="158"/>
      <c r="N21" s="33"/>
      <c r="O21" s="33"/>
      <c r="P21" s="33"/>
    </row>
    <row r="22" spans="1:21" ht="18.75" hidden="1" customHeight="1" thickBot="1" x14ac:dyDescent="0.2">
      <c r="B22" s="499" t="s">
        <v>284</v>
      </c>
      <c r="C22" s="495" t="s">
        <v>0</v>
      </c>
      <c r="G22" s="499" t="s">
        <v>284</v>
      </c>
      <c r="H22" s="495" t="s">
        <v>28</v>
      </c>
      <c r="M22" s="187"/>
      <c r="N22" s="38"/>
      <c r="O22" s="39"/>
      <c r="P22" s="36"/>
    </row>
    <row r="23" spans="1:21" s="3" customFormat="1" ht="18.75" hidden="1" customHeight="1" thickTop="1" thickBot="1" x14ac:dyDescent="0.2">
      <c r="B23" s="420" t="s">
        <v>371</v>
      </c>
      <c r="C23" s="35" t="s">
        <v>378</v>
      </c>
      <c r="F23" s="396"/>
      <c r="G23" s="420" t="s">
        <v>371</v>
      </c>
      <c r="H23" s="35" t="s">
        <v>378</v>
      </c>
      <c r="L23" s="399"/>
      <c r="M23" s="399"/>
      <c r="O23" s="39"/>
      <c r="P23" s="36"/>
    </row>
    <row r="24" spans="1:21" ht="18.75" hidden="1" customHeight="1" thickTop="1" x14ac:dyDescent="0.15">
      <c r="A24" s="43"/>
      <c r="B24" s="43" t="s">
        <v>296</v>
      </c>
      <c r="C24" s="161">
        <v>2020</v>
      </c>
      <c r="F24" s="397"/>
      <c r="G24" s="43" t="s">
        <v>296</v>
      </c>
      <c r="H24" s="161">
        <v>13</v>
      </c>
      <c r="M24" s="187"/>
      <c r="O24" s="39"/>
      <c r="P24" s="36"/>
    </row>
    <row r="25" spans="1:21" ht="18.75" hidden="1" customHeight="1" x14ac:dyDescent="0.15">
      <c r="A25" s="43"/>
      <c r="B25" s="43" t="s">
        <v>285</v>
      </c>
      <c r="C25" s="161">
        <v>332</v>
      </c>
      <c r="F25" s="398"/>
      <c r="G25" s="393" t="s">
        <v>285</v>
      </c>
      <c r="H25" s="394">
        <v>3</v>
      </c>
      <c r="M25" s="187"/>
      <c r="O25" s="39"/>
      <c r="P25" s="36"/>
    </row>
    <row r="26" spans="1:21" ht="18.75" hidden="1" customHeight="1" x14ac:dyDescent="0.15">
      <c r="A26" s="43"/>
      <c r="B26" s="43" t="s">
        <v>286</v>
      </c>
      <c r="C26" s="161">
        <v>1932</v>
      </c>
      <c r="F26" s="397"/>
      <c r="G26" s="391" t="s">
        <v>286</v>
      </c>
      <c r="H26" s="392">
        <v>17</v>
      </c>
      <c r="M26" s="187"/>
      <c r="O26" s="39"/>
      <c r="P26" s="36"/>
    </row>
    <row r="27" spans="1:21" ht="18.75" hidden="1" customHeight="1" x14ac:dyDescent="0.15">
      <c r="A27" s="43"/>
      <c r="B27" s="43" t="s">
        <v>287</v>
      </c>
      <c r="C27" s="161">
        <v>739</v>
      </c>
      <c r="F27" s="398"/>
      <c r="G27" s="393" t="s">
        <v>287</v>
      </c>
      <c r="H27" s="394">
        <v>26</v>
      </c>
      <c r="M27" s="187"/>
      <c r="O27" s="39"/>
      <c r="P27" s="36"/>
    </row>
    <row r="28" spans="1:21" ht="18.75" hidden="1" customHeight="1" x14ac:dyDescent="0.15">
      <c r="A28" s="55"/>
      <c r="B28" s="87" t="s">
        <v>201</v>
      </c>
      <c r="C28" s="161">
        <v>37</v>
      </c>
      <c r="F28" s="397"/>
      <c r="G28" s="391" t="s">
        <v>201</v>
      </c>
      <c r="H28" s="392">
        <v>1</v>
      </c>
      <c r="M28" s="187"/>
      <c r="O28" s="39"/>
      <c r="P28" s="36"/>
    </row>
    <row r="29" spans="1:21" ht="18.75" hidden="1" customHeight="1" x14ac:dyDescent="0.15">
      <c r="A29" s="43"/>
      <c r="B29" s="43" t="s">
        <v>202</v>
      </c>
      <c r="C29" s="161">
        <v>100</v>
      </c>
      <c r="F29" s="398"/>
      <c r="G29" s="393" t="s">
        <v>202</v>
      </c>
      <c r="H29" s="394">
        <v>6</v>
      </c>
      <c r="M29" s="187"/>
      <c r="O29" s="39"/>
      <c r="P29" s="36"/>
    </row>
    <row r="30" spans="1:21" ht="18.75" hidden="1" customHeight="1" x14ac:dyDescent="0.15">
      <c r="A30" s="43"/>
      <c r="B30" s="43" t="s">
        <v>288</v>
      </c>
      <c r="C30" s="161">
        <v>7949</v>
      </c>
      <c r="F30" s="397"/>
      <c r="G30" s="391" t="s">
        <v>288</v>
      </c>
      <c r="H30" s="392">
        <v>153</v>
      </c>
      <c r="O30" s="39"/>
      <c r="P30" s="36"/>
    </row>
    <row r="31" spans="1:21" ht="18.75" hidden="1" customHeight="1" x14ac:dyDescent="0.15">
      <c r="A31" s="43"/>
      <c r="B31" s="43" t="s">
        <v>289</v>
      </c>
      <c r="C31" s="161">
        <v>764</v>
      </c>
      <c r="F31" s="398"/>
      <c r="G31" s="393" t="s">
        <v>289</v>
      </c>
      <c r="H31" s="394">
        <v>36</v>
      </c>
      <c r="O31" s="39"/>
      <c r="P31" s="36"/>
    </row>
    <row r="32" spans="1:21" ht="18.75" hidden="1" customHeight="1" x14ac:dyDescent="0.15">
      <c r="A32" s="43"/>
      <c r="B32" s="43" t="s">
        <v>290</v>
      </c>
      <c r="C32" s="161">
        <v>770</v>
      </c>
      <c r="F32" s="397"/>
      <c r="G32" s="391" t="s">
        <v>290</v>
      </c>
      <c r="H32" s="392">
        <v>59</v>
      </c>
      <c r="O32" s="39"/>
      <c r="P32" s="36"/>
    </row>
    <row r="33" spans="1:16" ht="18.75" hidden="1" customHeight="1" x14ac:dyDescent="0.15">
      <c r="A33" s="43"/>
      <c r="B33" s="43" t="s">
        <v>291</v>
      </c>
      <c r="C33" s="161">
        <v>286</v>
      </c>
      <c r="F33" s="398"/>
      <c r="G33" s="393" t="s">
        <v>291</v>
      </c>
      <c r="H33" s="394">
        <v>18</v>
      </c>
      <c r="O33" s="39"/>
      <c r="P33" s="36"/>
    </row>
    <row r="34" spans="1:16" ht="18.75" hidden="1" customHeight="1" x14ac:dyDescent="0.15">
      <c r="A34" s="43"/>
      <c r="B34" s="43" t="s">
        <v>292</v>
      </c>
      <c r="C34" s="161">
        <v>43</v>
      </c>
      <c r="F34" s="397"/>
      <c r="G34" s="391" t="s">
        <v>292</v>
      </c>
      <c r="H34" s="392">
        <v>7</v>
      </c>
      <c r="O34" s="39"/>
      <c r="P34" s="36"/>
    </row>
    <row r="35" spans="1:16" ht="18.75" hidden="1" customHeight="1" x14ac:dyDescent="0.15">
      <c r="A35" s="43"/>
      <c r="B35" s="43" t="s">
        <v>297</v>
      </c>
      <c r="C35" s="161">
        <v>40</v>
      </c>
      <c r="F35" s="398"/>
      <c r="G35" s="393" t="s">
        <v>297</v>
      </c>
      <c r="H35" s="394">
        <v>2</v>
      </c>
      <c r="O35" s="39"/>
      <c r="P35" s="36"/>
    </row>
    <row r="36" spans="1:16" ht="18.75" hidden="1" customHeight="1" x14ac:dyDescent="0.15">
      <c r="A36" s="43"/>
      <c r="B36" s="43" t="s">
        <v>293</v>
      </c>
      <c r="C36" s="161">
        <v>299</v>
      </c>
      <c r="F36" s="397"/>
      <c r="G36" s="391" t="s">
        <v>293</v>
      </c>
      <c r="H36" s="392">
        <v>4</v>
      </c>
      <c r="O36" s="39"/>
      <c r="P36" s="36"/>
    </row>
    <row r="37" spans="1:16" ht="18.75" hidden="1" customHeight="1" x14ac:dyDescent="0.15">
      <c r="A37" s="43"/>
      <c r="B37" s="43" t="s">
        <v>294</v>
      </c>
      <c r="C37" s="161">
        <v>119</v>
      </c>
      <c r="F37" s="398"/>
      <c r="G37" s="393" t="s">
        <v>294</v>
      </c>
      <c r="H37" s="394">
        <v>7</v>
      </c>
    </row>
    <row r="38" spans="1:16" ht="18.75" hidden="1" customHeight="1" x14ac:dyDescent="0.15">
      <c r="A38" s="55"/>
      <c r="B38" s="87" t="s">
        <v>298</v>
      </c>
      <c r="C38" s="161">
        <v>39</v>
      </c>
      <c r="F38" s="397"/>
      <c r="G38" s="391" t="s">
        <v>298</v>
      </c>
      <c r="H38" s="392">
        <v>2</v>
      </c>
    </row>
    <row r="39" spans="1:16" ht="18.75" hidden="1" customHeight="1" x14ac:dyDescent="0.15">
      <c r="A39" s="43"/>
      <c r="B39" s="43" t="s">
        <v>295</v>
      </c>
      <c r="C39" s="161">
        <v>48</v>
      </c>
      <c r="F39" s="398"/>
      <c r="G39" s="395" t="s">
        <v>295</v>
      </c>
      <c r="H39" s="394">
        <v>2</v>
      </c>
    </row>
    <row r="40" spans="1:16" ht="18.75" hidden="1" customHeight="1" x14ac:dyDescent="0.15">
      <c r="A40" s="43"/>
      <c r="B40" s="43" t="s">
        <v>18</v>
      </c>
      <c r="C40" s="161">
        <v>138</v>
      </c>
      <c r="F40" s="397"/>
      <c r="G40" s="390" t="s">
        <v>18</v>
      </c>
      <c r="H40" s="389">
        <v>5</v>
      </c>
    </row>
    <row r="41" spans="1:16" ht="18.75" hidden="1" customHeight="1" x14ac:dyDescent="0.15"/>
    <row r="42" spans="1:16" ht="18.75" hidden="1" customHeight="1" thickBot="1" x14ac:dyDescent="0.2">
      <c r="G42" s="396" t="s">
        <v>284</v>
      </c>
      <c r="H42" s="495" t="s">
        <v>29</v>
      </c>
    </row>
    <row r="43" spans="1:16" ht="18.75" hidden="1" customHeight="1" thickTop="1" thickBot="1" x14ac:dyDescent="0.2">
      <c r="G43" s="420" t="s">
        <v>371</v>
      </c>
      <c r="H43" s="35" t="s">
        <v>378</v>
      </c>
    </row>
    <row r="44" spans="1:16" ht="18.75" hidden="1" customHeight="1" thickTop="1" x14ac:dyDescent="0.15">
      <c r="G44" s="43" t="s">
        <v>296</v>
      </c>
      <c r="H44" s="161">
        <v>72</v>
      </c>
    </row>
    <row r="45" spans="1:16" ht="18.75" hidden="1" customHeight="1" x14ac:dyDescent="0.15">
      <c r="G45" s="43" t="s">
        <v>285</v>
      </c>
      <c r="H45" s="463">
        <v>5</v>
      </c>
    </row>
    <row r="46" spans="1:16" ht="18.75" hidden="1" customHeight="1" x14ac:dyDescent="0.15">
      <c r="G46" s="43" t="s">
        <v>286</v>
      </c>
      <c r="H46" s="463">
        <v>127</v>
      </c>
    </row>
    <row r="47" spans="1:16" ht="18.75" hidden="1" customHeight="1" x14ac:dyDescent="0.15">
      <c r="G47" s="43" t="s">
        <v>287</v>
      </c>
      <c r="H47" s="463">
        <v>151</v>
      </c>
    </row>
    <row r="48" spans="1:16" ht="18.75" hidden="1" customHeight="1" x14ac:dyDescent="0.15">
      <c r="G48" s="43" t="s">
        <v>201</v>
      </c>
      <c r="H48" s="463">
        <v>5</v>
      </c>
    </row>
    <row r="49" spans="1:8" ht="18.75" hidden="1" customHeight="1" x14ac:dyDescent="0.15">
      <c r="G49" s="43" t="s">
        <v>202</v>
      </c>
      <c r="H49" s="463">
        <v>13</v>
      </c>
    </row>
    <row r="50" spans="1:8" ht="18.75" hidden="1" customHeight="1" x14ac:dyDescent="0.15">
      <c r="G50" s="43" t="s">
        <v>288</v>
      </c>
      <c r="H50" s="463">
        <v>581</v>
      </c>
    </row>
    <row r="51" spans="1:8" ht="18.75" hidden="1" customHeight="1" x14ac:dyDescent="0.15">
      <c r="G51" s="43" t="s">
        <v>289</v>
      </c>
      <c r="H51" s="463">
        <v>103</v>
      </c>
    </row>
    <row r="52" spans="1:8" ht="18.75" hidden="1" customHeight="1" x14ac:dyDescent="0.15">
      <c r="G52" s="43" t="s">
        <v>290</v>
      </c>
      <c r="H52" s="463">
        <v>130</v>
      </c>
    </row>
    <row r="53" spans="1:8" ht="18.75" hidden="1" customHeight="1" x14ac:dyDescent="0.15">
      <c r="G53" s="43" t="s">
        <v>291</v>
      </c>
      <c r="H53" s="463">
        <v>47</v>
      </c>
    </row>
    <row r="54" spans="1:8" ht="18.75" hidden="1" customHeight="1" x14ac:dyDescent="0.15">
      <c r="G54" s="43" t="s">
        <v>292</v>
      </c>
      <c r="H54" s="463">
        <v>3</v>
      </c>
    </row>
    <row r="55" spans="1:8" ht="18.75" hidden="1" customHeight="1" x14ac:dyDescent="0.15">
      <c r="A55" s="43"/>
      <c r="B55" s="43"/>
      <c r="G55" s="43" t="s">
        <v>297</v>
      </c>
      <c r="H55" s="463">
        <v>9</v>
      </c>
    </row>
    <row r="56" spans="1:8" ht="18.75" hidden="1" customHeight="1" x14ac:dyDescent="0.15">
      <c r="G56" s="43" t="s">
        <v>293</v>
      </c>
      <c r="H56" s="463">
        <v>29</v>
      </c>
    </row>
    <row r="57" spans="1:8" ht="18.75" hidden="1" customHeight="1" x14ac:dyDescent="0.15">
      <c r="G57" s="43" t="s">
        <v>294</v>
      </c>
      <c r="H57" s="463">
        <v>17</v>
      </c>
    </row>
    <row r="58" spans="1:8" ht="18.75" hidden="1" customHeight="1" x14ac:dyDescent="0.15">
      <c r="G58" s="43" t="s">
        <v>298</v>
      </c>
      <c r="H58" s="463">
        <v>10</v>
      </c>
    </row>
    <row r="59" spans="1:8" ht="18.75" hidden="1" customHeight="1" x14ac:dyDescent="0.15">
      <c r="G59" s="43" t="s">
        <v>295</v>
      </c>
      <c r="H59" s="463">
        <v>3</v>
      </c>
    </row>
    <row r="60" spans="1:8" ht="18.75" hidden="1" customHeight="1" x14ac:dyDescent="0.15">
      <c r="G60" s="43" t="s">
        <v>18</v>
      </c>
      <c r="H60" s="463">
        <v>12</v>
      </c>
    </row>
    <row r="61" spans="1:8" ht="18.75" hidden="1" customHeight="1" x14ac:dyDescent="0.15"/>
  </sheetData>
  <mergeCells count="24">
    <mergeCell ref="A15:B15"/>
    <mergeCell ref="A16:B16"/>
    <mergeCell ref="A11:B11"/>
    <mergeCell ref="A12:B12"/>
    <mergeCell ref="F19:G19"/>
    <mergeCell ref="A18:B18"/>
    <mergeCell ref="A19:B19"/>
    <mergeCell ref="F11:G11"/>
    <mergeCell ref="F12:G12"/>
    <mergeCell ref="F16:G16"/>
    <mergeCell ref="F17:G17"/>
    <mergeCell ref="F18:G18"/>
    <mergeCell ref="F13:G13"/>
    <mergeCell ref="F14:G14"/>
    <mergeCell ref="F15:G15"/>
    <mergeCell ref="A17:B17"/>
    <mergeCell ref="A13:B13"/>
    <mergeCell ref="A14:B14"/>
    <mergeCell ref="F5:G5"/>
    <mergeCell ref="F9:G9"/>
    <mergeCell ref="F10:G10"/>
    <mergeCell ref="A5:B5"/>
    <mergeCell ref="A9:B9"/>
    <mergeCell ref="A10:B10"/>
  </mergeCells>
  <phoneticPr fontId="2"/>
  <pageMargins left="0.70866141732283472" right="0.70866141732283472" top="0.74803149606299213" bottom="0.74803149606299213" header="0.31496062992125984" footer="0.31496062992125984"/>
  <pageSetup paperSize="9" scale="79"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8193" r:id="rId4" name="Button 1">
              <controlPr defaultSize="0" print="0" autoFill="0" autoPict="0" macro="[0]!データ削除3">
                <anchor moveWithCells="1" sizeWithCells="1">
                  <from>
                    <xdr:col>9</xdr:col>
                    <xdr:colOff>133350</xdr:colOff>
                    <xdr:row>22</xdr:row>
                    <xdr:rowOff>28575</xdr:rowOff>
                  </from>
                  <to>
                    <xdr:col>11</xdr:col>
                    <xdr:colOff>85725</xdr:colOff>
                    <xdr:row>24</xdr:row>
                    <xdr:rowOff>76200</xdr:rowOff>
                  </to>
                </anchor>
              </controlPr>
            </control>
          </mc:Choice>
        </mc:AlternateContent>
      </controls>
    </mc:Choice>
  </mc:AlternateContent>
  <tableParts count="3">
    <tablePart r:id="rId5"/>
    <tablePart r:id="rId6"/>
    <tablePart r:id="rId7"/>
  </tableParts>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7" tint="-0.249977111117893"/>
  </sheetPr>
  <dimension ref="M4:R51"/>
  <sheetViews>
    <sheetView view="pageLayout" zoomScale="110" zoomScaleNormal="100" zoomScaleSheetLayoutView="100" zoomScalePageLayoutView="110" workbookViewId="0">
      <selection activeCell="G2" sqref="G2"/>
    </sheetView>
  </sheetViews>
  <sheetFormatPr defaultRowHeight="13.5" customHeight="1" x14ac:dyDescent="0.15"/>
  <cols>
    <col min="10" max="10" width="6.5" customWidth="1"/>
    <col min="11" max="11" width="7.25" customWidth="1"/>
    <col min="13" max="13" width="18.25" customWidth="1"/>
    <col min="14" max="14" width="9.5" customWidth="1"/>
    <col min="15" max="17" width="9.125" customWidth="1"/>
    <col min="18" max="18" width="9" customWidth="1"/>
  </cols>
  <sheetData>
    <row r="4" spans="13:18" ht="13.5" customHeight="1" x14ac:dyDescent="0.15">
      <c r="M4" s="454"/>
      <c r="N4" s="454" t="s">
        <v>350</v>
      </c>
      <c r="O4" s="454" t="s">
        <v>115</v>
      </c>
      <c r="P4" s="454" t="s">
        <v>117</v>
      </c>
      <c r="Q4" s="454" t="s">
        <v>12</v>
      </c>
      <c r="R4" s="455"/>
    </row>
    <row r="5" spans="13:18" ht="13.5" customHeight="1" x14ac:dyDescent="0.15">
      <c r="M5" s="456" t="s">
        <v>2</v>
      </c>
      <c r="N5" s="576">
        <f>IFERROR(VLOOKUP($M5,年齢区分[#All],2,FALSE),0)</f>
        <v>125</v>
      </c>
      <c r="O5" s="576">
        <f>IFERROR(VLOOKUP($M5,年齢区分＿寛解[#All],2,FALSE),0)</f>
        <v>10</v>
      </c>
      <c r="P5" s="576">
        <f>IFERROR(VLOOKUP($M5,年齢区分＿院内寛解[#All],2,FALSE),0)</f>
        <v>23</v>
      </c>
      <c r="Q5" s="577">
        <f>SUM(O5:P5)</f>
        <v>33</v>
      </c>
      <c r="R5" s="455"/>
    </row>
    <row r="6" spans="13:18" ht="13.5" customHeight="1" x14ac:dyDescent="0.15">
      <c r="M6" s="456" t="s">
        <v>3</v>
      </c>
      <c r="N6" s="576">
        <f>IFERROR(VLOOKUP($M6,年齢区分[#All],2,FALSE),0)</f>
        <v>318</v>
      </c>
      <c r="O6" s="576">
        <f>IFERROR(VLOOKUP($M6,年齢区分＿寛解[#All],2,FALSE),0)</f>
        <v>11</v>
      </c>
      <c r="P6" s="576">
        <f>IFERROR(VLOOKUP($M6,年齢区分＿院内寛解[#All],2,FALSE),0)</f>
        <v>50</v>
      </c>
      <c r="Q6" s="577">
        <f t="shared" ref="Q6:Q13" si="0">SUM(O6:P6)</f>
        <v>61</v>
      </c>
      <c r="R6" s="455"/>
    </row>
    <row r="7" spans="13:18" ht="13.5" customHeight="1" x14ac:dyDescent="0.15">
      <c r="M7" s="456" t="s">
        <v>4</v>
      </c>
      <c r="N7" s="576">
        <f>IFERROR(VLOOKUP($M7,年齢区分[#All],2,FALSE),0)</f>
        <v>669</v>
      </c>
      <c r="O7" s="576">
        <f>IFERROR(VLOOKUP($M7,年齢区分＿寛解[#All],2,FALSE),0)</f>
        <v>42</v>
      </c>
      <c r="P7" s="576">
        <f>IFERROR(VLOOKUP($M7,年齢区分＿院内寛解[#All],2,FALSE),0)</f>
        <v>75</v>
      </c>
      <c r="Q7" s="577">
        <f t="shared" si="0"/>
        <v>117</v>
      </c>
      <c r="R7" s="455"/>
    </row>
    <row r="8" spans="13:18" ht="13.5" customHeight="1" x14ac:dyDescent="0.15">
      <c r="M8" s="456" t="s">
        <v>5</v>
      </c>
      <c r="N8" s="576">
        <f>IFERROR(VLOOKUP($M8,年齢区分[#All],2,FALSE),0)</f>
        <v>1516</v>
      </c>
      <c r="O8" s="576">
        <f>IFERROR(VLOOKUP($M8,年齢区分＿寛解[#All],2,FALSE),0)</f>
        <v>53</v>
      </c>
      <c r="P8" s="576">
        <f>IFERROR(VLOOKUP($M8,年齢区分＿院内寛解[#All],2,FALSE),0)</f>
        <v>174</v>
      </c>
      <c r="Q8" s="577">
        <f t="shared" si="0"/>
        <v>227</v>
      </c>
      <c r="R8" s="455"/>
    </row>
    <row r="9" spans="13:18" ht="13.5" customHeight="1" x14ac:dyDescent="0.15">
      <c r="M9" s="456" t="s">
        <v>6</v>
      </c>
      <c r="N9" s="576">
        <f>IFERROR(VLOOKUP($M9,年齢区分[#All],2,FALSE),0)</f>
        <v>2456</v>
      </c>
      <c r="O9" s="576">
        <f>IFERROR(VLOOKUP($M9,年齢区分＿寛解[#All],2,FALSE),0)</f>
        <v>67</v>
      </c>
      <c r="P9" s="576">
        <f>IFERROR(VLOOKUP($M9,年齢区分＿院内寛解[#All],2,FALSE),0)</f>
        <v>252</v>
      </c>
      <c r="Q9" s="577">
        <f t="shared" si="0"/>
        <v>319</v>
      </c>
      <c r="R9" s="455"/>
    </row>
    <row r="10" spans="13:18" ht="13.5" customHeight="1" x14ac:dyDescent="0.15">
      <c r="M10" s="456" t="s">
        <v>7</v>
      </c>
      <c r="N10" s="576">
        <f>IFERROR(VLOOKUP($M10,年齢区分[#All],2,FALSE),0)</f>
        <v>2806</v>
      </c>
      <c r="O10" s="576">
        <f>IFERROR(VLOOKUP($M10,年齢区分＿寛解[#All],2,FALSE),0)</f>
        <v>64</v>
      </c>
      <c r="P10" s="576">
        <f>IFERROR(VLOOKUP($M10,年齢区分＿院内寛解[#All],2,FALSE),0)</f>
        <v>254</v>
      </c>
      <c r="Q10" s="577">
        <f t="shared" si="0"/>
        <v>318</v>
      </c>
      <c r="R10" s="455"/>
    </row>
    <row r="11" spans="13:18" ht="13.5" customHeight="1" x14ac:dyDescent="0.15">
      <c r="M11" s="456" t="s">
        <v>8</v>
      </c>
      <c r="N11" s="576">
        <f>IFERROR(VLOOKUP($M11,年齢区分[#All],2,FALSE),0)</f>
        <v>4025</v>
      </c>
      <c r="O11" s="576">
        <f>IFERROR(VLOOKUP($M11,年齢区分＿寛解[#All],2,FALSE),0)</f>
        <v>70</v>
      </c>
      <c r="P11" s="576">
        <f>IFERROR(VLOOKUP($M11,年齢区分＿院内寛解[#All],2,FALSE),0)</f>
        <v>287</v>
      </c>
      <c r="Q11" s="577">
        <f t="shared" si="0"/>
        <v>357</v>
      </c>
      <c r="R11" s="455"/>
    </row>
    <row r="12" spans="13:18" ht="13.5" customHeight="1" x14ac:dyDescent="0.15">
      <c r="M12" s="456" t="s">
        <v>9</v>
      </c>
      <c r="N12" s="576">
        <f>IFERROR(VLOOKUP($M12,年齢区分[#All],2,FALSE),0)</f>
        <v>3075</v>
      </c>
      <c r="O12" s="576">
        <f>IFERROR(VLOOKUP($M12,年齢区分＿寛解[#All],2,FALSE),0)</f>
        <v>36</v>
      </c>
      <c r="P12" s="576">
        <f>IFERROR(VLOOKUP($M12,年齢区分＿院内寛解[#All],2,FALSE),0)</f>
        <v>181</v>
      </c>
      <c r="Q12" s="577">
        <f t="shared" si="0"/>
        <v>217</v>
      </c>
      <c r="R12" s="455"/>
    </row>
    <row r="13" spans="13:18" ht="13.5" customHeight="1" x14ac:dyDescent="0.15">
      <c r="M13" s="456" t="s">
        <v>10</v>
      </c>
      <c r="N13" s="576">
        <f>IFERROR(VLOOKUP($M13,年齢区分[#All],2,FALSE),0)</f>
        <v>665</v>
      </c>
      <c r="O13" s="576">
        <f>IFERROR(VLOOKUP($M13,年齢区分＿寛解[#All],2,FALSE),0)</f>
        <v>8</v>
      </c>
      <c r="P13" s="576">
        <f>IFERROR(VLOOKUP($M13,年齢区分＿院内寛解[#All],2,FALSE),0)</f>
        <v>21</v>
      </c>
      <c r="Q13" s="577">
        <f t="shared" si="0"/>
        <v>29</v>
      </c>
      <c r="R13" s="455"/>
    </row>
    <row r="14" spans="13:18" ht="13.5" customHeight="1" x14ac:dyDescent="0.15">
      <c r="M14" s="455"/>
      <c r="N14" s="455"/>
      <c r="O14" s="455"/>
      <c r="P14" s="455"/>
      <c r="Q14" s="455"/>
      <c r="R14" s="455"/>
    </row>
    <row r="15" spans="13:18" ht="13.5" customHeight="1" x14ac:dyDescent="0.15">
      <c r="M15" s="455"/>
      <c r="N15" s="455"/>
      <c r="O15" s="455"/>
      <c r="P15" s="455"/>
      <c r="Q15" s="455"/>
      <c r="R15" s="455"/>
    </row>
    <row r="16" spans="13:18" ht="13.5" customHeight="1" x14ac:dyDescent="0.15">
      <c r="M16" s="455"/>
      <c r="N16" s="455"/>
      <c r="O16" s="455"/>
      <c r="P16" s="455"/>
      <c r="Q16" s="455"/>
      <c r="R16" s="455"/>
    </row>
    <row r="17" spans="13:18" ht="13.5" customHeight="1" x14ac:dyDescent="0.15">
      <c r="M17" s="455"/>
      <c r="N17" s="455"/>
      <c r="O17" s="455"/>
      <c r="P17" s="455"/>
      <c r="Q17" s="455"/>
      <c r="R17" s="455"/>
    </row>
    <row r="18" spans="13:18" ht="13.5" customHeight="1" x14ac:dyDescent="0.15">
      <c r="M18" s="455"/>
      <c r="N18" s="455"/>
      <c r="O18" s="455"/>
      <c r="P18" s="455"/>
      <c r="Q18" s="455"/>
      <c r="R18" s="455"/>
    </row>
    <row r="19" spans="13:18" ht="13.5" customHeight="1" x14ac:dyDescent="0.15">
      <c r="M19" s="455"/>
      <c r="N19" s="455"/>
      <c r="O19" s="455"/>
      <c r="P19" s="455"/>
      <c r="Q19" s="455"/>
      <c r="R19" s="455"/>
    </row>
    <row r="20" spans="13:18" ht="13.5" customHeight="1" x14ac:dyDescent="0.15">
      <c r="M20" s="455"/>
      <c r="N20" s="455"/>
      <c r="O20" s="455"/>
      <c r="P20" s="455"/>
      <c r="Q20" s="455"/>
      <c r="R20" s="455"/>
    </row>
    <row r="21" spans="13:18" ht="13.5" customHeight="1" x14ac:dyDescent="0.15">
      <c r="M21" s="455"/>
      <c r="N21" s="455"/>
      <c r="O21" s="455"/>
      <c r="P21" s="455"/>
      <c r="Q21" s="455"/>
      <c r="R21" s="455"/>
    </row>
    <row r="22" spans="13:18" ht="13.5" customHeight="1" x14ac:dyDescent="0.15">
      <c r="M22" s="455"/>
      <c r="N22" s="455"/>
      <c r="O22" s="455"/>
      <c r="P22" s="455"/>
      <c r="Q22" s="455"/>
      <c r="R22" s="455"/>
    </row>
    <row r="23" spans="13:18" ht="13.5" customHeight="1" x14ac:dyDescent="0.15">
      <c r="M23" s="455"/>
      <c r="N23" s="455"/>
      <c r="O23" s="455"/>
      <c r="P23" s="455"/>
      <c r="Q23" s="455"/>
      <c r="R23" s="455"/>
    </row>
    <row r="24" spans="13:18" ht="13.5" customHeight="1" x14ac:dyDescent="0.15">
      <c r="M24" s="457"/>
      <c r="N24" s="458" t="s">
        <v>350</v>
      </c>
      <c r="O24" s="458" t="s">
        <v>115</v>
      </c>
      <c r="P24" s="458" t="s">
        <v>117</v>
      </c>
      <c r="Q24" s="458" t="s">
        <v>352</v>
      </c>
      <c r="R24" s="455"/>
    </row>
    <row r="25" spans="13:18" ht="13.5" customHeight="1" x14ac:dyDescent="0.15">
      <c r="M25" s="456" t="s">
        <v>2</v>
      </c>
      <c r="N25" s="578">
        <f>IFERROR(VLOOKUP($M25,年齢区分＿1年以上[#All],2,FALSE),0)</f>
        <v>4</v>
      </c>
      <c r="O25" s="578">
        <f>IFERROR(VLOOKUP($M25,年齢区分＿1年以上＿寛解[#All],2,FALSE),0)</f>
        <v>0</v>
      </c>
      <c r="P25" s="578">
        <f>IFERROR(VLOOKUP($M25,年齢区分＿1年以上＿院内寛解[#All],2,FALSE),0)</f>
        <v>0</v>
      </c>
      <c r="Q25" s="577">
        <f>SUM(O25:P25)</f>
        <v>0</v>
      </c>
      <c r="R25" s="455"/>
    </row>
    <row r="26" spans="13:18" ht="13.5" customHeight="1" x14ac:dyDescent="0.15">
      <c r="M26" s="456" t="s">
        <v>3</v>
      </c>
      <c r="N26" s="578">
        <f>IFERROR(VLOOKUP($M26,年齢区分＿1年以上[#All],2,FALSE),0)</f>
        <v>79</v>
      </c>
      <c r="O26" s="578">
        <f>IFERROR(VLOOKUP($M26,年齢区分＿1年以上＿寛解[#All],2,FALSE),0)</f>
        <v>1</v>
      </c>
      <c r="P26" s="578">
        <f>IFERROR(VLOOKUP($M26,年齢区分＿1年以上＿院内寛解[#All],2,FALSE),0)</f>
        <v>3</v>
      </c>
      <c r="Q26" s="577">
        <f t="shared" ref="Q26:Q33" si="1">SUM(O26:P26)</f>
        <v>4</v>
      </c>
      <c r="R26" s="455"/>
    </row>
    <row r="27" spans="13:18" ht="13.5" customHeight="1" x14ac:dyDescent="0.15">
      <c r="M27" s="456" t="s">
        <v>4</v>
      </c>
      <c r="N27" s="578">
        <f>IFERROR(VLOOKUP($M27,年齢区分＿1年以上[#All],2,FALSE),0)</f>
        <v>269</v>
      </c>
      <c r="O27" s="578">
        <f>IFERROR(VLOOKUP($M27,年齢区分＿1年以上＿寛解[#All],2,FALSE),0)</f>
        <v>7</v>
      </c>
      <c r="P27" s="578">
        <f>IFERROR(VLOOKUP($M27,年齢区分＿1年以上＿院内寛解[#All],2,FALSE),0)</f>
        <v>14</v>
      </c>
      <c r="Q27" s="577">
        <f t="shared" si="1"/>
        <v>21</v>
      </c>
      <c r="R27" s="455"/>
    </row>
    <row r="28" spans="13:18" ht="13.5" customHeight="1" x14ac:dyDescent="0.15">
      <c r="M28" s="456" t="s">
        <v>5</v>
      </c>
      <c r="N28" s="578">
        <f>IFERROR(VLOOKUP($M28,年齢区分＿1年以上[#All],2,FALSE),0)</f>
        <v>827</v>
      </c>
      <c r="O28" s="578">
        <f>IFERROR(VLOOKUP($M28,年齢区分＿1年以上＿寛解[#All],2,FALSE),0)</f>
        <v>7</v>
      </c>
      <c r="P28" s="578">
        <f>IFERROR(VLOOKUP($M28,年齢区分＿1年以上＿院内寛解[#All],2,FALSE),0)</f>
        <v>57</v>
      </c>
      <c r="Q28" s="577">
        <f t="shared" si="1"/>
        <v>64</v>
      </c>
      <c r="R28" s="455"/>
    </row>
    <row r="29" spans="13:18" ht="13.5" customHeight="1" x14ac:dyDescent="0.15">
      <c r="M29" s="456" t="s">
        <v>6</v>
      </c>
      <c r="N29" s="578">
        <f>IFERROR(VLOOKUP($M29,年齢区分＿1年以上[#All],2,FALSE),0)</f>
        <v>1506</v>
      </c>
      <c r="O29" s="578">
        <f>IFERROR(VLOOKUP($M29,年齢区分＿1年以上＿寛解[#All],2,FALSE),0)</f>
        <v>12</v>
      </c>
      <c r="P29" s="578">
        <f>IFERROR(VLOOKUP($M29,年齢区分＿1年以上＿院内寛解[#All],2,FALSE),0)</f>
        <v>89</v>
      </c>
      <c r="Q29" s="577">
        <f t="shared" si="1"/>
        <v>101</v>
      </c>
      <c r="R29" s="455"/>
    </row>
    <row r="30" spans="13:18" ht="13.5" customHeight="1" x14ac:dyDescent="0.15">
      <c r="M30" s="456" t="s">
        <v>7</v>
      </c>
      <c r="N30" s="578">
        <f>IFERROR(VLOOKUP($M30,年齢区分＿1年以上[#All],2,FALSE),0)</f>
        <v>1846</v>
      </c>
      <c r="O30" s="578">
        <f>IFERROR(VLOOKUP($M30,年齢区分＿1年以上＿寛解[#All],2,FALSE),0)</f>
        <v>17</v>
      </c>
      <c r="P30" s="578">
        <f>IFERROR(VLOOKUP($M30,年齢区分＿1年以上＿院内寛解[#All],2,FALSE),0)</f>
        <v>112</v>
      </c>
      <c r="Q30" s="577">
        <f t="shared" si="1"/>
        <v>129</v>
      </c>
      <c r="R30" s="455"/>
    </row>
    <row r="31" spans="13:18" ht="13.5" customHeight="1" x14ac:dyDescent="0.15">
      <c r="M31" s="456" t="s">
        <v>8</v>
      </c>
      <c r="N31" s="578">
        <f>IFERROR(VLOOKUP($M31,年齢区分＿1年以上[#All],2,FALSE),0)</f>
        <v>2510</v>
      </c>
      <c r="O31" s="578">
        <f>IFERROR(VLOOKUP($M31,年齢区分＿1年以上＿寛解[#All],2,FALSE),0)</f>
        <v>30</v>
      </c>
      <c r="P31" s="578">
        <f>IFERROR(VLOOKUP($M31,年齢区分＿1年以上＿院内寛解[#All],2,FALSE),0)</f>
        <v>134</v>
      </c>
      <c r="Q31" s="577">
        <f t="shared" si="1"/>
        <v>164</v>
      </c>
      <c r="R31" s="455"/>
    </row>
    <row r="32" spans="13:18" ht="13.5" customHeight="1" x14ac:dyDescent="0.15">
      <c r="M32" s="456" t="s">
        <v>9</v>
      </c>
      <c r="N32" s="578">
        <f>IFERROR(VLOOKUP($M32,年齢区分＿1年以上[#All],2,FALSE),0)</f>
        <v>1692</v>
      </c>
      <c r="O32" s="578">
        <f>IFERROR(VLOOKUP($M32,年齢区分＿1年以上＿寛解[#All],2,FALSE),0)</f>
        <v>10</v>
      </c>
      <c r="P32" s="578">
        <f>IFERROR(VLOOKUP($M32,年齢区分＿1年以上＿院内寛解[#All],2,FALSE),0)</f>
        <v>70</v>
      </c>
      <c r="Q32" s="577">
        <f t="shared" si="1"/>
        <v>80</v>
      </c>
      <c r="R32" s="455"/>
    </row>
    <row r="33" spans="13:18" ht="13.5" customHeight="1" x14ac:dyDescent="0.15">
      <c r="M33" s="456" t="s">
        <v>10</v>
      </c>
      <c r="N33" s="578">
        <f>IFERROR(VLOOKUP($M33,年齢区分＿1年以上[#All],2,FALSE),0)</f>
        <v>409</v>
      </c>
      <c r="O33" s="578">
        <f>IFERROR(VLOOKUP($M33,年齢区分＿1年以上＿寛解[#All],2,FALSE),0)</f>
        <v>3</v>
      </c>
      <c r="P33" s="578">
        <f>IFERROR(VLOOKUP($M33,年齢区分＿1年以上＿院内寛解[#All],2,FALSE),0)</f>
        <v>7</v>
      </c>
      <c r="Q33" s="577">
        <f t="shared" si="1"/>
        <v>10</v>
      </c>
      <c r="R33" s="455"/>
    </row>
    <row r="34" spans="13:18" ht="13.5" customHeight="1" x14ac:dyDescent="0.15">
      <c r="M34" s="455"/>
      <c r="N34" s="455"/>
      <c r="O34" s="455"/>
      <c r="P34" s="455"/>
      <c r="Q34" s="455"/>
      <c r="R34" s="455"/>
    </row>
    <row r="35" spans="13:18" ht="13.5" customHeight="1" x14ac:dyDescent="0.15">
      <c r="M35" s="455"/>
      <c r="N35" s="455"/>
      <c r="O35" s="455"/>
      <c r="P35" s="455"/>
      <c r="Q35" s="455"/>
      <c r="R35" s="455"/>
    </row>
    <row r="36" spans="13:18" ht="13.5" customHeight="1" x14ac:dyDescent="0.15">
      <c r="M36" s="455"/>
      <c r="N36" s="455"/>
      <c r="O36" s="455"/>
      <c r="P36" s="455"/>
      <c r="Q36" s="455"/>
      <c r="R36" s="455"/>
    </row>
    <row r="37" spans="13:18" ht="13.5" customHeight="1" x14ac:dyDescent="0.15">
      <c r="M37" s="455"/>
      <c r="N37" s="455"/>
      <c r="O37" s="455"/>
      <c r="P37" s="455"/>
      <c r="Q37" s="455"/>
      <c r="R37" s="455"/>
    </row>
    <row r="38" spans="13:18" ht="13.5" customHeight="1" x14ac:dyDescent="0.15">
      <c r="M38" s="455"/>
      <c r="N38" s="455"/>
      <c r="O38" s="455"/>
      <c r="P38" s="455"/>
      <c r="Q38" s="455"/>
      <c r="R38" s="455"/>
    </row>
    <row r="39" spans="13:18" ht="13.5" customHeight="1" x14ac:dyDescent="0.15">
      <c r="M39" s="455"/>
      <c r="N39" s="455"/>
      <c r="O39" s="455"/>
      <c r="P39" s="455"/>
      <c r="Q39" s="455"/>
      <c r="R39" s="455"/>
    </row>
    <row r="40" spans="13:18" ht="13.5" customHeight="1" x14ac:dyDescent="0.15">
      <c r="M40" s="455"/>
      <c r="N40" s="455"/>
      <c r="O40" s="455"/>
      <c r="P40" s="455"/>
      <c r="Q40" s="455"/>
      <c r="R40" s="455"/>
    </row>
    <row r="41" spans="13:18" ht="13.5" customHeight="1" x14ac:dyDescent="0.15">
      <c r="M41" s="455"/>
      <c r="N41" s="455"/>
      <c r="O41" s="455"/>
      <c r="P41" s="455"/>
      <c r="Q41" s="455"/>
      <c r="R41" s="455"/>
    </row>
    <row r="42" spans="13:18" ht="13.5" customHeight="1" x14ac:dyDescent="0.15">
      <c r="M42" s="455"/>
      <c r="N42" s="455"/>
      <c r="O42" s="455"/>
      <c r="P42" s="455"/>
      <c r="Q42" s="455"/>
      <c r="R42" s="455"/>
    </row>
    <row r="43" spans="13:18" ht="13.5" customHeight="1" x14ac:dyDescent="0.15">
      <c r="M43" s="455"/>
      <c r="N43" s="455"/>
      <c r="O43" s="455"/>
      <c r="P43" s="455"/>
      <c r="Q43" s="455"/>
      <c r="R43" s="455"/>
    </row>
    <row r="44" spans="13:18" ht="13.5" customHeight="1" x14ac:dyDescent="0.15">
      <c r="M44" s="455"/>
      <c r="N44" s="455"/>
      <c r="O44" s="455"/>
      <c r="P44" s="455"/>
      <c r="Q44" s="455"/>
      <c r="R44" s="455"/>
    </row>
    <row r="45" spans="13:18" ht="13.5" customHeight="1" x14ac:dyDescent="0.15">
      <c r="M45" s="460"/>
      <c r="N45" s="461" t="s">
        <v>350</v>
      </c>
      <c r="O45" s="461" t="s">
        <v>351</v>
      </c>
      <c r="P45" s="455"/>
      <c r="Q45" s="455"/>
      <c r="R45" s="455"/>
    </row>
    <row r="46" spans="13:18" ht="13.5" customHeight="1" x14ac:dyDescent="0.15">
      <c r="M46" s="462" t="s">
        <v>301</v>
      </c>
      <c r="N46" s="459">
        <f>IFERROR(VLOOKUP($M46,年齢区分＿65歳以上[#All],2,FALSE),0)</f>
        <v>1560</v>
      </c>
      <c r="O46" s="459">
        <f>IFERROR(VLOOKUP($M46,年齢区分＿65歳以上＿寛解・院内寛解[#All],2,FALSE),0)</f>
        <v>157</v>
      </c>
      <c r="P46" s="455"/>
      <c r="Q46" s="455"/>
      <c r="R46" s="455"/>
    </row>
    <row r="47" spans="13:18" ht="13.5" customHeight="1" x14ac:dyDescent="0.15">
      <c r="M47" s="462" t="s">
        <v>302</v>
      </c>
      <c r="N47" s="459">
        <f>IFERROR(VLOOKUP($M47,年齢区分＿65歳以上[#All],2,FALSE),0)</f>
        <v>2041</v>
      </c>
      <c r="O47" s="459">
        <f>IFERROR(VLOOKUP($M47,年齢区分＿65歳以上＿寛解・院内寛解[#All],2,FALSE),0)</f>
        <v>179</v>
      </c>
      <c r="P47" s="455"/>
      <c r="Q47" s="455"/>
      <c r="R47" s="455"/>
    </row>
    <row r="48" spans="13:18" ht="13.5" customHeight="1" x14ac:dyDescent="0.15">
      <c r="M48" s="462" t="s">
        <v>303</v>
      </c>
      <c r="N48" s="459">
        <f>IFERROR(VLOOKUP($M48,年齢区分＿65歳以上[#All],2,FALSE),0)</f>
        <v>1984</v>
      </c>
      <c r="O48" s="459">
        <f>IFERROR(VLOOKUP($M48,年齢区分＿65歳以上＿寛解・院内寛解[#All],2,FALSE),0)</f>
        <v>178</v>
      </c>
      <c r="P48" s="455"/>
      <c r="Q48" s="455"/>
      <c r="R48" s="455"/>
    </row>
    <row r="49" spans="13:18" ht="13.5" customHeight="1" x14ac:dyDescent="0.15">
      <c r="M49" s="462" t="s">
        <v>304</v>
      </c>
      <c r="N49" s="459">
        <f>IFERROR(VLOOKUP($M49,年齢区分＿65歳以上[#All],2,FALSE),0)</f>
        <v>1802</v>
      </c>
      <c r="O49" s="459">
        <f>IFERROR(VLOOKUP($M49,年齢区分＿65歳以上＿寛解・院内寛解[#All],2,FALSE),0)</f>
        <v>143</v>
      </c>
      <c r="P49" s="455"/>
      <c r="Q49" s="455"/>
      <c r="R49" s="455"/>
    </row>
    <row r="50" spans="13:18" ht="13.5" customHeight="1" x14ac:dyDescent="0.15">
      <c r="M50" s="462" t="s">
        <v>305</v>
      </c>
      <c r="N50" s="459">
        <f>IFERROR(VLOOKUP($M50,年齢区分＿65歳以上[#All],2,FALSE),0)</f>
        <v>1273</v>
      </c>
      <c r="O50" s="459">
        <f>IFERROR(VLOOKUP($M50,年齢区分＿65歳以上＿寛解・院内寛解[#All],2,FALSE),0)</f>
        <v>74</v>
      </c>
      <c r="P50" s="455"/>
      <c r="Q50" s="455"/>
      <c r="R50" s="455"/>
    </row>
    <row r="51" spans="13:18" ht="13.5" customHeight="1" x14ac:dyDescent="0.15">
      <c r="M51" s="462" t="s">
        <v>10</v>
      </c>
      <c r="N51" s="459">
        <f>IFERROR(VLOOKUP($M51,年齢区分＿65歳以上[#All],2,FALSE),0)</f>
        <v>665</v>
      </c>
      <c r="O51" s="459">
        <f>IFERROR(VLOOKUP($M51,年齢区分＿65歳以上＿寛解・院内寛解[#All],2,FALSE),0)</f>
        <v>29</v>
      </c>
      <c r="P51" s="455"/>
      <c r="Q51" s="455"/>
      <c r="R51" s="455"/>
    </row>
  </sheetData>
  <phoneticPr fontId="2"/>
  <pageMargins left="0.44270833333333331" right="0.41666666666666669" top="0.60606060606060608" bottom="0.51136363636363635" header="0.3" footer="0.3"/>
  <pageSetup paperSize="9" orientation="portrait" r:id="rId1"/>
  <headerFooter>
    <oddHeader>&amp;C&amp;"游ゴシック,太字"&amp;14R2年度　大阪府の在院患者の状況　&amp;R&amp;"游ゴシック,標準"&amp;10R2.6.30時点</oddHeader>
  </headerFooter>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7" tint="-0.249977111117893"/>
  </sheetPr>
  <dimension ref="M4:AB57"/>
  <sheetViews>
    <sheetView view="pageBreakPreview" topLeftCell="A31" zoomScale="80" zoomScaleNormal="100" zoomScaleSheetLayoutView="80" workbookViewId="0">
      <selection activeCell="L28" sqref="L28"/>
    </sheetView>
  </sheetViews>
  <sheetFormatPr defaultRowHeight="13.5" customHeight="1" x14ac:dyDescent="0.15"/>
  <cols>
    <col min="10" max="10" width="6.5" customWidth="1"/>
    <col min="11" max="11" width="7.25" customWidth="1"/>
    <col min="13" max="13" width="4.125" customWidth="1"/>
    <col min="14" max="14" width="35.875" customWidth="1"/>
    <col min="15" max="15" width="9.5" bestFit="1" customWidth="1"/>
    <col min="16" max="18" width="9.125" bestFit="1" customWidth="1"/>
    <col min="20" max="22" width="9" customWidth="1"/>
  </cols>
  <sheetData>
    <row r="4" spans="13:28" ht="13.5" customHeight="1" x14ac:dyDescent="0.15">
      <c r="M4" s="579"/>
      <c r="N4" s="580"/>
      <c r="O4" s="454" t="s">
        <v>0</v>
      </c>
      <c r="P4" s="454" t="s">
        <v>115</v>
      </c>
      <c r="Q4" s="454" t="s">
        <v>117</v>
      </c>
      <c r="R4" s="454" t="s">
        <v>12</v>
      </c>
      <c r="S4" s="455"/>
      <c r="T4" s="455"/>
      <c r="U4" s="455"/>
      <c r="V4" s="455"/>
      <c r="W4" s="455"/>
      <c r="X4" s="455"/>
      <c r="Y4" s="455"/>
      <c r="Z4" s="455"/>
      <c r="AA4" s="455"/>
      <c r="AB4" s="455"/>
    </row>
    <row r="5" spans="13:28" ht="13.5" customHeight="1" x14ac:dyDescent="0.15">
      <c r="M5" s="739" t="s">
        <v>121</v>
      </c>
      <c r="N5" s="740"/>
      <c r="O5" s="577">
        <f>'２-Ⅲ'!C5</f>
        <v>4284</v>
      </c>
      <c r="P5" s="578">
        <f>'２-Ⅲ'!H5</f>
        <v>33</v>
      </c>
      <c r="Q5" s="577">
        <f>'２-Ⅲ'!I5</f>
        <v>204</v>
      </c>
      <c r="R5" s="577">
        <f t="shared" ref="R5:R16" si="0">SUM(P5:Q5)</f>
        <v>237</v>
      </c>
      <c r="S5" s="455"/>
      <c r="T5" s="581" t="s">
        <v>353</v>
      </c>
      <c r="U5" s="581" t="s">
        <v>296</v>
      </c>
      <c r="V5" s="455"/>
      <c r="W5" s="455"/>
      <c r="X5" s="455"/>
      <c r="Y5" s="455"/>
      <c r="Z5" s="455"/>
      <c r="AA5" s="455"/>
      <c r="AB5" s="455"/>
    </row>
    <row r="6" spans="13:28" ht="13.5" customHeight="1" x14ac:dyDescent="0.15">
      <c r="M6" s="741" t="s">
        <v>20</v>
      </c>
      <c r="N6" s="742"/>
      <c r="O6" s="578">
        <f>'２-Ⅲ'!C9</f>
        <v>876</v>
      </c>
      <c r="P6" s="578">
        <f>'２-Ⅲ'!H9</f>
        <v>33</v>
      </c>
      <c r="Q6" s="578">
        <f>'２-Ⅲ'!I9</f>
        <v>169</v>
      </c>
      <c r="R6" s="577">
        <f t="shared" si="0"/>
        <v>202</v>
      </c>
      <c r="S6" s="455"/>
      <c r="T6" s="581" t="s">
        <v>354</v>
      </c>
      <c r="U6" s="581" t="s">
        <v>285</v>
      </c>
      <c r="V6" s="455"/>
      <c r="W6" s="455"/>
      <c r="X6" s="455"/>
      <c r="Y6" s="455"/>
      <c r="Z6" s="455"/>
      <c r="AA6" s="455"/>
      <c r="AB6" s="455"/>
    </row>
    <row r="7" spans="13:28" ht="13.5" customHeight="1" x14ac:dyDescent="0.15">
      <c r="M7" s="741" t="s">
        <v>73</v>
      </c>
      <c r="N7" s="742"/>
      <c r="O7" s="578">
        <f>'２-Ⅲ'!C10</f>
        <v>7949</v>
      </c>
      <c r="P7" s="578">
        <f>'２-Ⅲ'!H10</f>
        <v>153</v>
      </c>
      <c r="Q7" s="578">
        <f>'２-Ⅲ'!I10</f>
        <v>581</v>
      </c>
      <c r="R7" s="577">
        <f t="shared" si="0"/>
        <v>734</v>
      </c>
      <c r="S7" s="455"/>
      <c r="T7" s="581" t="s">
        <v>316</v>
      </c>
      <c r="U7" s="581" t="s">
        <v>286</v>
      </c>
      <c r="V7" s="455"/>
      <c r="W7" s="455"/>
      <c r="X7" s="455"/>
      <c r="Y7" s="455"/>
      <c r="Z7" s="455"/>
      <c r="AA7" s="455"/>
      <c r="AB7" s="455"/>
    </row>
    <row r="8" spans="13:28" ht="13.5" customHeight="1" x14ac:dyDescent="0.15">
      <c r="M8" s="741" t="s">
        <v>22</v>
      </c>
      <c r="N8" s="742"/>
      <c r="O8" s="578">
        <f>'２-Ⅲ'!C11</f>
        <v>1534</v>
      </c>
      <c r="P8" s="578">
        <f>'２-Ⅲ'!H11</f>
        <v>95</v>
      </c>
      <c r="Q8" s="578">
        <f>'２-Ⅲ'!I11</f>
        <v>233</v>
      </c>
      <c r="R8" s="577">
        <f t="shared" si="0"/>
        <v>328</v>
      </c>
      <c r="S8" s="455"/>
      <c r="T8" s="581" t="s">
        <v>317</v>
      </c>
      <c r="U8" s="581" t="s">
        <v>287</v>
      </c>
      <c r="V8" s="455"/>
      <c r="W8" s="455"/>
      <c r="X8" s="455"/>
      <c r="Y8" s="455"/>
      <c r="Z8" s="455"/>
      <c r="AA8" s="455"/>
      <c r="AB8" s="455"/>
    </row>
    <row r="9" spans="13:28" ht="13.5" customHeight="1" x14ac:dyDescent="0.15">
      <c r="M9" s="741" t="s">
        <v>24</v>
      </c>
      <c r="N9" s="742"/>
      <c r="O9" s="578">
        <f>'２-Ⅲ'!C12</f>
        <v>286</v>
      </c>
      <c r="P9" s="578">
        <f>'２-Ⅲ'!H12</f>
        <v>18</v>
      </c>
      <c r="Q9" s="578">
        <f>'２-Ⅲ'!I12</f>
        <v>47</v>
      </c>
      <c r="R9" s="577">
        <f t="shared" si="0"/>
        <v>65</v>
      </c>
      <c r="S9" s="455"/>
      <c r="T9" s="581" t="s">
        <v>318</v>
      </c>
      <c r="U9" s="581" t="s">
        <v>313</v>
      </c>
      <c r="V9" s="455"/>
      <c r="W9" s="455"/>
      <c r="X9" s="455"/>
      <c r="Y9" s="455"/>
      <c r="Z9" s="455"/>
      <c r="AA9" s="455"/>
      <c r="AB9" s="455"/>
    </row>
    <row r="10" spans="13:28" ht="13.5" customHeight="1" x14ac:dyDescent="0.15">
      <c r="M10" s="741" t="s">
        <v>25</v>
      </c>
      <c r="N10" s="742"/>
      <c r="O10" s="578">
        <f>'２-Ⅲ'!C13</f>
        <v>43</v>
      </c>
      <c r="P10" s="578">
        <f>'２-Ⅲ'!H13</f>
        <v>7</v>
      </c>
      <c r="Q10" s="578">
        <f>'２-Ⅲ'!I13</f>
        <v>3</v>
      </c>
      <c r="R10" s="577">
        <f t="shared" si="0"/>
        <v>10</v>
      </c>
      <c r="S10" s="455"/>
      <c r="T10" s="581" t="s">
        <v>319</v>
      </c>
      <c r="U10" s="581" t="s">
        <v>314</v>
      </c>
      <c r="V10" s="455"/>
      <c r="W10" s="455"/>
      <c r="X10" s="455"/>
      <c r="Y10" s="455"/>
      <c r="Z10" s="455"/>
      <c r="AA10" s="455"/>
      <c r="AB10" s="455"/>
    </row>
    <row r="11" spans="13:28" ht="13.5" customHeight="1" x14ac:dyDescent="0.15">
      <c r="M11" s="741" t="s">
        <v>257</v>
      </c>
      <c r="N11" s="742"/>
      <c r="O11" s="578">
        <f>'２-Ⅲ'!C14</f>
        <v>40</v>
      </c>
      <c r="P11" s="578">
        <f>'２-Ⅲ'!H14</f>
        <v>2</v>
      </c>
      <c r="Q11" s="578">
        <f>'２-Ⅲ'!I14</f>
        <v>9</v>
      </c>
      <c r="R11" s="577">
        <f t="shared" si="0"/>
        <v>11</v>
      </c>
      <c r="S11" s="455"/>
      <c r="T11" s="581" t="s">
        <v>320</v>
      </c>
      <c r="U11" s="581" t="s">
        <v>288</v>
      </c>
      <c r="V11" s="455"/>
      <c r="W11" s="455"/>
      <c r="X11" s="455"/>
      <c r="Y11" s="455"/>
      <c r="Z11" s="455"/>
      <c r="AA11" s="455"/>
      <c r="AB11" s="455"/>
    </row>
    <row r="12" spans="13:28" ht="13.5" customHeight="1" x14ac:dyDescent="0.15">
      <c r="M12" s="741" t="s">
        <v>258</v>
      </c>
      <c r="N12" s="742"/>
      <c r="O12" s="578">
        <f>'２-Ⅲ'!C15</f>
        <v>299</v>
      </c>
      <c r="P12" s="578">
        <f>'２-Ⅲ'!H15</f>
        <v>4</v>
      </c>
      <c r="Q12" s="578">
        <f>'２-Ⅲ'!I15</f>
        <v>29</v>
      </c>
      <c r="R12" s="577">
        <f t="shared" si="0"/>
        <v>33</v>
      </c>
      <c r="S12" s="455"/>
      <c r="T12" s="581" t="s">
        <v>321</v>
      </c>
      <c r="U12" s="581" t="s">
        <v>289</v>
      </c>
      <c r="V12" s="455"/>
      <c r="W12" s="455"/>
      <c r="X12" s="455"/>
      <c r="Y12" s="455"/>
      <c r="Z12" s="455"/>
      <c r="AA12" s="455"/>
      <c r="AB12" s="455"/>
    </row>
    <row r="13" spans="13:28" ht="13.5" customHeight="1" x14ac:dyDescent="0.15">
      <c r="M13" s="741" t="s">
        <v>23</v>
      </c>
      <c r="N13" s="742"/>
      <c r="O13" s="578">
        <f>'２-Ⅲ'!C16</f>
        <v>119</v>
      </c>
      <c r="P13" s="578">
        <f>'２-Ⅲ'!H16</f>
        <v>7</v>
      </c>
      <c r="Q13" s="578">
        <f>'２-Ⅲ'!I16</f>
        <v>17</v>
      </c>
      <c r="R13" s="577">
        <f t="shared" si="0"/>
        <v>24</v>
      </c>
      <c r="S13" s="455"/>
      <c r="T13" s="581" t="s">
        <v>322</v>
      </c>
      <c r="U13" s="581" t="s">
        <v>290</v>
      </c>
      <c r="V13" s="455"/>
      <c r="W13" s="455"/>
      <c r="X13" s="455"/>
      <c r="Y13" s="455"/>
      <c r="Z13" s="455"/>
      <c r="AA13" s="455"/>
      <c r="AB13" s="455"/>
    </row>
    <row r="14" spans="13:28" ht="13.5" customHeight="1" x14ac:dyDescent="0.15">
      <c r="M14" s="741" t="s">
        <v>259</v>
      </c>
      <c r="N14" s="743"/>
      <c r="O14" s="578">
        <f>'２-Ⅲ'!C17</f>
        <v>39</v>
      </c>
      <c r="P14" s="578">
        <f>'２-Ⅲ'!H17</f>
        <v>2</v>
      </c>
      <c r="Q14" s="578">
        <f>'２-Ⅲ'!I17</f>
        <v>10</v>
      </c>
      <c r="R14" s="577">
        <f t="shared" si="0"/>
        <v>12</v>
      </c>
      <c r="S14" s="455"/>
      <c r="T14" s="581" t="s">
        <v>323</v>
      </c>
      <c r="U14" s="581" t="s">
        <v>291</v>
      </c>
      <c r="V14" s="455"/>
      <c r="W14" s="455"/>
      <c r="X14" s="455"/>
      <c r="Y14" s="455"/>
      <c r="Z14" s="455"/>
      <c r="AA14" s="455"/>
      <c r="AB14" s="455"/>
    </row>
    <row r="15" spans="13:28" ht="13.5" customHeight="1" x14ac:dyDescent="0.15">
      <c r="M15" s="741" t="s">
        <v>124</v>
      </c>
      <c r="N15" s="744"/>
      <c r="O15" s="578">
        <f>'２-Ⅲ'!C18</f>
        <v>48</v>
      </c>
      <c r="P15" s="578">
        <f>'２-Ⅲ'!H18</f>
        <v>2</v>
      </c>
      <c r="Q15" s="578">
        <f>'２-Ⅲ'!I18</f>
        <v>3</v>
      </c>
      <c r="R15" s="577">
        <f t="shared" si="0"/>
        <v>5</v>
      </c>
      <c r="S15" s="455"/>
      <c r="T15" s="581" t="s">
        <v>355</v>
      </c>
      <c r="U15" s="581" t="s">
        <v>292</v>
      </c>
      <c r="V15" s="455"/>
      <c r="W15" s="455"/>
      <c r="X15" s="455"/>
      <c r="Y15" s="455"/>
      <c r="Z15" s="455"/>
      <c r="AA15" s="455"/>
      <c r="AB15" s="455"/>
    </row>
    <row r="16" spans="13:28" ht="13.5" customHeight="1" x14ac:dyDescent="0.15">
      <c r="M16" s="745" t="s">
        <v>18</v>
      </c>
      <c r="N16" s="746"/>
      <c r="O16" s="578">
        <f>'２-Ⅲ'!C19</f>
        <v>138</v>
      </c>
      <c r="P16" s="578">
        <f>'２-Ⅲ'!H19</f>
        <v>5</v>
      </c>
      <c r="Q16" s="578">
        <f>'２-Ⅲ'!I19</f>
        <v>12</v>
      </c>
      <c r="R16" s="577">
        <f t="shared" si="0"/>
        <v>17</v>
      </c>
      <c r="S16" s="455"/>
      <c r="T16" s="581" t="s">
        <v>103</v>
      </c>
      <c r="U16" s="581" t="s">
        <v>297</v>
      </c>
      <c r="V16" s="455"/>
      <c r="W16" s="455"/>
      <c r="X16" s="455"/>
      <c r="Y16" s="455"/>
      <c r="Z16" s="455"/>
      <c r="AA16" s="455"/>
      <c r="AB16" s="455"/>
    </row>
    <row r="17" spans="13:28" ht="13.5" customHeight="1" x14ac:dyDescent="0.15">
      <c r="M17" s="455"/>
      <c r="N17" s="455"/>
      <c r="O17" s="455"/>
      <c r="P17" s="455"/>
      <c r="Q17" s="455"/>
      <c r="R17" s="455"/>
      <c r="S17" s="455"/>
      <c r="T17" s="455"/>
      <c r="U17" s="581" t="s">
        <v>293</v>
      </c>
      <c r="V17" s="455"/>
      <c r="W17" s="455"/>
      <c r="X17" s="455"/>
      <c r="Y17" s="455"/>
      <c r="Z17" s="455"/>
      <c r="AA17" s="455"/>
      <c r="AB17" s="455"/>
    </row>
    <row r="18" spans="13:28" ht="13.5" customHeight="1" x14ac:dyDescent="0.15">
      <c r="M18" s="455"/>
      <c r="N18" s="455"/>
      <c r="O18" s="455"/>
      <c r="P18" s="455"/>
      <c r="Q18" s="455"/>
      <c r="R18" s="455"/>
      <c r="S18" s="455"/>
      <c r="T18" s="455"/>
      <c r="U18" s="581" t="s">
        <v>294</v>
      </c>
      <c r="V18" s="455"/>
      <c r="W18" s="455"/>
      <c r="X18" s="455"/>
      <c r="Y18" s="455"/>
      <c r="Z18" s="455"/>
      <c r="AA18" s="455"/>
      <c r="AB18" s="455"/>
    </row>
    <row r="19" spans="13:28" ht="13.5" customHeight="1" x14ac:dyDescent="0.15">
      <c r="M19" s="455"/>
      <c r="N19" s="455"/>
      <c r="O19" s="455"/>
      <c r="P19" s="455"/>
      <c r="Q19" s="455"/>
      <c r="R19" s="455"/>
      <c r="S19" s="455"/>
      <c r="T19" s="455"/>
      <c r="U19" s="581" t="s">
        <v>298</v>
      </c>
      <c r="V19" s="455"/>
      <c r="W19" s="455"/>
      <c r="X19" s="455"/>
      <c r="Y19" s="455"/>
      <c r="Z19" s="455"/>
      <c r="AA19" s="455"/>
      <c r="AB19" s="455"/>
    </row>
    <row r="20" spans="13:28" ht="13.5" customHeight="1" x14ac:dyDescent="0.15">
      <c r="M20" s="455"/>
      <c r="N20" s="455"/>
      <c r="O20" s="455"/>
      <c r="P20" s="455"/>
      <c r="Q20" s="455"/>
      <c r="R20" s="455"/>
      <c r="S20" s="455"/>
      <c r="T20" s="455"/>
      <c r="U20" s="581" t="s">
        <v>295</v>
      </c>
      <c r="V20" s="455"/>
      <c r="W20" s="455"/>
      <c r="X20" s="455"/>
      <c r="Y20" s="455"/>
      <c r="Z20" s="455"/>
      <c r="AA20" s="455"/>
      <c r="AB20" s="455"/>
    </row>
    <row r="21" spans="13:28" ht="13.5" customHeight="1" x14ac:dyDescent="0.15">
      <c r="M21" s="455"/>
      <c r="N21" s="455"/>
      <c r="O21" s="455"/>
      <c r="P21" s="455"/>
      <c r="Q21" s="455"/>
      <c r="R21" s="455"/>
      <c r="S21" s="455"/>
      <c r="T21" s="455"/>
      <c r="U21" s="581" t="s">
        <v>18</v>
      </c>
      <c r="V21" s="455"/>
      <c r="W21" s="455"/>
      <c r="X21" s="455"/>
      <c r="Y21" s="455"/>
      <c r="Z21" s="455"/>
      <c r="AA21" s="455"/>
      <c r="AB21" s="455"/>
    </row>
    <row r="22" spans="13:28" ht="13.5" customHeight="1" x14ac:dyDescent="0.15">
      <c r="M22" s="455"/>
      <c r="N22" s="455"/>
      <c r="O22" s="455"/>
      <c r="P22" s="455"/>
      <c r="Q22" s="455"/>
      <c r="R22" s="455"/>
      <c r="S22" s="455"/>
      <c r="T22" s="455"/>
      <c r="U22" s="455"/>
      <c r="V22" s="455"/>
      <c r="W22" s="455"/>
      <c r="X22" s="455"/>
      <c r="Y22" s="455"/>
      <c r="Z22" s="455"/>
      <c r="AA22" s="455"/>
      <c r="AB22" s="455"/>
    </row>
    <row r="23" spans="13:28" ht="13.5" customHeight="1" x14ac:dyDescent="0.15">
      <c r="M23" s="582"/>
      <c r="N23" s="583"/>
      <c r="O23" s="584" t="s">
        <v>0</v>
      </c>
      <c r="P23" s="584" t="s">
        <v>115</v>
      </c>
      <c r="Q23" s="584" t="s">
        <v>117</v>
      </c>
      <c r="R23" s="584" t="s">
        <v>12</v>
      </c>
      <c r="S23" s="455"/>
      <c r="T23" s="455"/>
      <c r="U23" s="455"/>
      <c r="V23" s="455"/>
      <c r="W23" s="455"/>
      <c r="X23" s="455"/>
      <c r="Y23" s="455"/>
      <c r="Z23" s="455"/>
      <c r="AA23" s="455"/>
      <c r="AB23" s="455"/>
    </row>
    <row r="24" spans="13:28" ht="13.5" customHeight="1" x14ac:dyDescent="0.15">
      <c r="M24" s="739" t="s">
        <v>121</v>
      </c>
      <c r="N24" s="740"/>
      <c r="O24" s="577">
        <f>'３-Ⅲ'!C5</f>
        <v>2175</v>
      </c>
      <c r="P24" s="578">
        <f>'３-Ⅲ'!H5</f>
        <v>9</v>
      </c>
      <c r="Q24" s="577">
        <f>'３-Ⅲ'!I5</f>
        <v>68</v>
      </c>
      <c r="R24" s="577">
        <f t="shared" ref="R24:R35" si="1">SUM(P24:Q24)</f>
        <v>77</v>
      </c>
      <c r="S24" s="455"/>
      <c r="T24" s="455"/>
      <c r="U24" s="455"/>
      <c r="V24" s="455"/>
      <c r="W24" s="455"/>
      <c r="X24" s="455"/>
      <c r="Y24" s="455"/>
      <c r="Z24" s="455"/>
      <c r="AA24" s="455"/>
      <c r="AB24" s="455"/>
    </row>
    <row r="25" spans="13:28" ht="13.5" customHeight="1" x14ac:dyDescent="0.15">
      <c r="M25" s="741" t="s">
        <v>20</v>
      </c>
      <c r="N25" s="742"/>
      <c r="O25" s="578">
        <f>'３-Ⅲ'!C9</f>
        <v>334</v>
      </c>
      <c r="P25" s="578">
        <f>'３-Ⅲ'!H9</f>
        <v>6</v>
      </c>
      <c r="Q25" s="577">
        <f>'３-Ⅲ'!I9</f>
        <v>23</v>
      </c>
      <c r="R25" s="577">
        <f t="shared" si="1"/>
        <v>29</v>
      </c>
      <c r="S25" s="455"/>
      <c r="T25" s="455"/>
      <c r="U25" s="455"/>
      <c r="V25" s="455"/>
      <c r="W25" s="455"/>
      <c r="X25" s="455"/>
      <c r="Y25" s="455"/>
      <c r="Z25" s="455"/>
      <c r="AA25" s="455"/>
      <c r="AB25" s="455"/>
    </row>
    <row r="26" spans="13:28" ht="13.5" customHeight="1" x14ac:dyDescent="0.15">
      <c r="M26" s="741" t="s">
        <v>73</v>
      </c>
      <c r="N26" s="742"/>
      <c r="O26" s="578">
        <f>'３-Ⅲ'!C10</f>
        <v>5584</v>
      </c>
      <c r="P26" s="578">
        <f>'３-Ⅲ'!H10</f>
        <v>47</v>
      </c>
      <c r="Q26" s="577">
        <f>'３-Ⅲ'!I10</f>
        <v>303</v>
      </c>
      <c r="R26" s="577">
        <f t="shared" si="1"/>
        <v>350</v>
      </c>
      <c r="S26" s="455"/>
      <c r="T26" s="455"/>
      <c r="U26" s="455"/>
      <c r="V26" s="455"/>
      <c r="W26" s="455"/>
      <c r="X26" s="455"/>
      <c r="Y26" s="455"/>
      <c r="Z26" s="455"/>
      <c r="AA26" s="455"/>
      <c r="AB26" s="455"/>
    </row>
    <row r="27" spans="13:28" ht="13.5" customHeight="1" x14ac:dyDescent="0.15">
      <c r="M27" s="741" t="s">
        <v>22</v>
      </c>
      <c r="N27" s="742"/>
      <c r="O27" s="578">
        <f>'３-Ⅲ'!C11</f>
        <v>605</v>
      </c>
      <c r="P27" s="578">
        <f>'３-Ⅲ'!H11</f>
        <v>16</v>
      </c>
      <c r="Q27" s="577">
        <f>'３-Ⅲ'!I11</f>
        <v>62</v>
      </c>
      <c r="R27" s="577">
        <f t="shared" si="1"/>
        <v>78</v>
      </c>
      <c r="S27" s="455"/>
      <c r="T27" s="455"/>
      <c r="U27" s="455"/>
      <c r="V27" s="455"/>
      <c r="W27" s="455"/>
      <c r="X27" s="455"/>
      <c r="Y27" s="455"/>
      <c r="Z27" s="455"/>
      <c r="AA27" s="455"/>
      <c r="AB27" s="455"/>
    </row>
    <row r="28" spans="13:28" ht="13.5" customHeight="1" x14ac:dyDescent="0.15">
      <c r="M28" s="741" t="s">
        <v>24</v>
      </c>
      <c r="N28" s="742"/>
      <c r="O28" s="578">
        <f>'３-Ⅲ'!C12</f>
        <v>94</v>
      </c>
      <c r="P28" s="578">
        <f>'３-Ⅲ'!H12</f>
        <v>3</v>
      </c>
      <c r="Q28" s="577">
        <f>'３-Ⅲ'!I12</f>
        <v>6</v>
      </c>
      <c r="R28" s="577">
        <f t="shared" si="1"/>
        <v>9</v>
      </c>
      <c r="S28" s="455"/>
      <c r="T28" s="455"/>
      <c r="U28" s="455"/>
      <c r="V28" s="455"/>
      <c r="W28" s="455"/>
      <c r="X28" s="455"/>
      <c r="Y28" s="455"/>
      <c r="Z28" s="455"/>
      <c r="AA28" s="455"/>
      <c r="AB28" s="455"/>
    </row>
    <row r="29" spans="13:28" ht="13.5" customHeight="1" x14ac:dyDescent="0.15">
      <c r="M29" s="741" t="s">
        <v>25</v>
      </c>
      <c r="N29" s="742"/>
      <c r="O29" s="578">
        <f>'３-Ⅲ'!C13</f>
        <v>10</v>
      </c>
      <c r="P29" s="578">
        <f>'３-Ⅲ'!H13</f>
        <v>2</v>
      </c>
      <c r="Q29" s="577">
        <f>'３-Ⅲ'!I13</f>
        <v>0</v>
      </c>
      <c r="R29" s="577">
        <f t="shared" si="1"/>
        <v>2</v>
      </c>
      <c r="S29" s="455"/>
      <c r="T29" s="455"/>
      <c r="U29" s="455"/>
      <c r="V29" s="455"/>
      <c r="W29" s="455"/>
      <c r="X29" s="455"/>
      <c r="Y29" s="455"/>
      <c r="Z29" s="455"/>
      <c r="AA29" s="455"/>
      <c r="AB29" s="455"/>
    </row>
    <row r="30" spans="13:28" ht="13.5" customHeight="1" x14ac:dyDescent="0.15">
      <c r="M30" s="741" t="s">
        <v>257</v>
      </c>
      <c r="N30" s="742"/>
      <c r="O30" s="578">
        <f>'３-Ⅲ'!C14</f>
        <v>16</v>
      </c>
      <c r="P30" s="578">
        <f>'３-Ⅲ'!H14</f>
        <v>0</v>
      </c>
      <c r="Q30" s="577">
        <f>'３-Ⅲ'!I14</f>
        <v>1</v>
      </c>
      <c r="R30" s="577">
        <f t="shared" si="1"/>
        <v>1</v>
      </c>
      <c r="S30" s="455"/>
      <c r="T30" s="455"/>
      <c r="U30" s="455"/>
      <c r="V30" s="455"/>
      <c r="W30" s="455"/>
      <c r="X30" s="455"/>
      <c r="Y30" s="455"/>
      <c r="Z30" s="455"/>
      <c r="AA30" s="455"/>
      <c r="AB30" s="455"/>
    </row>
    <row r="31" spans="13:28" ht="13.5" customHeight="1" x14ac:dyDescent="0.15">
      <c r="M31" s="741" t="s">
        <v>258</v>
      </c>
      <c r="N31" s="742"/>
      <c r="O31" s="578">
        <f>'３-Ⅲ'!C15</f>
        <v>172</v>
      </c>
      <c r="P31" s="578">
        <f>'３-Ⅲ'!H15</f>
        <v>0</v>
      </c>
      <c r="Q31" s="577">
        <f>'３-Ⅲ'!I15</f>
        <v>12</v>
      </c>
      <c r="R31" s="577">
        <f t="shared" si="1"/>
        <v>12</v>
      </c>
      <c r="S31" s="455"/>
      <c r="T31" s="455"/>
      <c r="U31" s="455"/>
      <c r="V31" s="455"/>
      <c r="W31" s="455"/>
      <c r="X31" s="455"/>
      <c r="Y31" s="455"/>
      <c r="Z31" s="455"/>
      <c r="AA31" s="455"/>
      <c r="AB31" s="455"/>
    </row>
    <row r="32" spans="13:28" ht="13.5" customHeight="1" x14ac:dyDescent="0.15">
      <c r="M32" s="741" t="s">
        <v>23</v>
      </c>
      <c r="N32" s="742"/>
      <c r="O32" s="578">
        <f>'３-Ⅲ'!C16</f>
        <v>37</v>
      </c>
      <c r="P32" s="578">
        <f>'３-Ⅲ'!H16</f>
        <v>1</v>
      </c>
      <c r="Q32" s="577">
        <f>'３-Ⅲ'!I16</f>
        <v>1</v>
      </c>
      <c r="R32" s="577">
        <f t="shared" si="1"/>
        <v>2</v>
      </c>
      <c r="S32" s="455"/>
      <c r="T32" s="455"/>
      <c r="U32" s="455"/>
      <c r="V32" s="455"/>
      <c r="W32" s="455"/>
      <c r="X32" s="455"/>
      <c r="Y32" s="455"/>
      <c r="Z32" s="455"/>
      <c r="AA32" s="455"/>
      <c r="AB32" s="455"/>
    </row>
    <row r="33" spans="13:28" ht="13.5" customHeight="1" x14ac:dyDescent="0.15">
      <c r="M33" s="741" t="s">
        <v>259</v>
      </c>
      <c r="N33" s="743"/>
      <c r="O33" s="578">
        <f>'３-Ⅲ'!C17</f>
        <v>12</v>
      </c>
      <c r="P33" s="578">
        <f>'３-Ⅲ'!H17</f>
        <v>2</v>
      </c>
      <c r="Q33" s="577">
        <f>'３-Ⅲ'!I17</f>
        <v>3</v>
      </c>
      <c r="R33" s="577">
        <f t="shared" si="1"/>
        <v>5</v>
      </c>
      <c r="S33" s="455"/>
      <c r="T33" s="455"/>
      <c r="U33" s="455"/>
      <c r="V33" s="455"/>
      <c r="W33" s="455"/>
      <c r="X33" s="455"/>
      <c r="Y33" s="455"/>
      <c r="Z33" s="455"/>
      <c r="AA33" s="455"/>
      <c r="AB33" s="455"/>
    </row>
    <row r="34" spans="13:28" ht="13.5" customHeight="1" x14ac:dyDescent="0.15">
      <c r="M34" s="741" t="s">
        <v>124</v>
      </c>
      <c r="N34" s="744"/>
      <c r="O34" s="578">
        <f>'３-Ⅲ'!C18</f>
        <v>33</v>
      </c>
      <c r="P34" s="578">
        <f>'３-Ⅲ'!H18</f>
        <v>0</v>
      </c>
      <c r="Q34" s="577">
        <f>'３-Ⅲ'!I18</f>
        <v>2</v>
      </c>
      <c r="R34" s="577">
        <f t="shared" si="1"/>
        <v>2</v>
      </c>
      <c r="S34" s="455"/>
      <c r="T34" s="455"/>
      <c r="U34" s="455"/>
      <c r="V34" s="455"/>
      <c r="W34" s="455"/>
      <c r="X34" s="455"/>
      <c r="Y34" s="455"/>
      <c r="Z34" s="455"/>
      <c r="AA34" s="455"/>
      <c r="AB34" s="455"/>
    </row>
    <row r="35" spans="13:28" ht="13.5" customHeight="1" x14ac:dyDescent="0.15">
      <c r="M35" s="745" t="s">
        <v>18</v>
      </c>
      <c r="N35" s="746"/>
      <c r="O35" s="578">
        <f>'３-Ⅲ'!C19</f>
        <v>70</v>
      </c>
      <c r="P35" s="578">
        <f>'３-Ⅲ'!H19</f>
        <v>1</v>
      </c>
      <c r="Q35" s="577">
        <f>'３-Ⅲ'!I19</f>
        <v>5</v>
      </c>
      <c r="R35" s="577">
        <f t="shared" si="1"/>
        <v>6</v>
      </c>
      <c r="S35" s="455"/>
      <c r="T35" s="455"/>
      <c r="U35" s="455"/>
      <c r="V35" s="455"/>
      <c r="W35" s="455"/>
      <c r="X35" s="455"/>
      <c r="Y35" s="455"/>
      <c r="Z35" s="455"/>
      <c r="AA35" s="455"/>
      <c r="AB35" s="455"/>
    </row>
    <row r="45" spans="13:28" ht="13.5" customHeight="1" x14ac:dyDescent="0.15">
      <c r="M45" s="464"/>
      <c r="N45" s="465"/>
      <c r="O45" s="466" t="s">
        <v>0</v>
      </c>
      <c r="P45" s="470" t="s">
        <v>351</v>
      </c>
      <c r="Q45" s="467"/>
      <c r="R45" s="468"/>
    </row>
    <row r="46" spans="13:28" ht="13.5" customHeight="1" x14ac:dyDescent="0.15">
      <c r="M46" s="749" t="s">
        <v>121</v>
      </c>
      <c r="N46" s="750"/>
      <c r="O46" s="452">
        <f>'４-Ⅲ'!D6</f>
        <v>3929</v>
      </c>
      <c r="P46" s="453">
        <f>'４-Ⅲ'!D26</f>
        <v>214</v>
      </c>
      <c r="Q46" s="469"/>
      <c r="R46" s="185"/>
    </row>
    <row r="47" spans="13:28" ht="13.5" customHeight="1" x14ac:dyDescent="0.15">
      <c r="M47" s="747" t="s">
        <v>20</v>
      </c>
      <c r="N47" s="748"/>
      <c r="O47" s="453">
        <f>'４-Ⅲ'!D10</f>
        <v>418</v>
      </c>
      <c r="P47" s="453">
        <f>'４-Ⅲ'!D30</f>
        <v>66</v>
      </c>
      <c r="Q47" s="469"/>
      <c r="R47" s="185"/>
    </row>
    <row r="48" spans="13:28" ht="13.5" customHeight="1" x14ac:dyDescent="0.15">
      <c r="M48" s="747" t="s">
        <v>73</v>
      </c>
      <c r="N48" s="748"/>
      <c r="O48" s="453">
        <f>'４-Ⅲ'!D11</f>
        <v>3713</v>
      </c>
      <c r="P48" s="453">
        <f>'４-Ⅲ'!D31</f>
        <v>262</v>
      </c>
      <c r="Q48" s="469"/>
      <c r="R48" s="185"/>
    </row>
    <row r="49" spans="13:18" ht="13.5" customHeight="1" x14ac:dyDescent="0.15">
      <c r="M49" s="747" t="s">
        <v>22</v>
      </c>
      <c r="N49" s="748"/>
      <c r="O49" s="453">
        <f>'４-Ⅲ'!D12</f>
        <v>955</v>
      </c>
      <c r="P49" s="453">
        <f>'４-Ⅲ'!D32</f>
        <v>181</v>
      </c>
      <c r="Q49" s="469"/>
      <c r="R49" s="185"/>
    </row>
    <row r="50" spans="13:18" ht="13.5" customHeight="1" x14ac:dyDescent="0.15">
      <c r="M50" s="747" t="s">
        <v>24</v>
      </c>
      <c r="N50" s="748"/>
      <c r="O50" s="453">
        <f>'４-Ⅲ'!D13</f>
        <v>121</v>
      </c>
      <c r="P50" s="453">
        <f>'４-Ⅲ'!D33</f>
        <v>21</v>
      </c>
      <c r="Q50" s="469"/>
      <c r="R50" s="185"/>
    </row>
    <row r="51" spans="13:18" ht="13.5" customHeight="1" x14ac:dyDescent="0.15">
      <c r="M51" s="747" t="s">
        <v>25</v>
      </c>
      <c r="N51" s="748"/>
      <c r="O51" s="453">
        <f>'４-Ⅲ'!D14</f>
        <v>6</v>
      </c>
      <c r="P51" s="453">
        <f>'４-Ⅲ'!D34</f>
        <v>1</v>
      </c>
      <c r="Q51" s="469"/>
      <c r="R51" s="185"/>
    </row>
    <row r="52" spans="13:18" ht="13.5" customHeight="1" x14ac:dyDescent="0.15">
      <c r="M52" s="747" t="s">
        <v>257</v>
      </c>
      <c r="N52" s="748"/>
      <c r="O52" s="453">
        <f>'４-Ⅲ'!D15</f>
        <v>11</v>
      </c>
      <c r="P52" s="453">
        <f>'４-Ⅲ'!D35</f>
        <v>1</v>
      </c>
      <c r="Q52" s="469"/>
      <c r="R52" s="185"/>
    </row>
    <row r="53" spans="13:18" ht="13.5" customHeight="1" x14ac:dyDescent="0.15">
      <c r="M53" s="747" t="s">
        <v>258</v>
      </c>
      <c r="N53" s="748"/>
      <c r="O53" s="453">
        <f>'４-Ⅲ'!D16</f>
        <v>66</v>
      </c>
      <c r="P53" s="453">
        <f>'４-Ⅲ'!D36</f>
        <v>5</v>
      </c>
      <c r="Q53" s="469"/>
      <c r="R53" s="185"/>
    </row>
    <row r="54" spans="13:18" ht="13.5" customHeight="1" x14ac:dyDescent="0.15">
      <c r="M54" s="747" t="s">
        <v>23</v>
      </c>
      <c r="N54" s="748"/>
      <c r="O54" s="453">
        <f>'４-Ⅲ'!D17</f>
        <v>4</v>
      </c>
      <c r="P54" s="453">
        <f>'４-Ⅲ'!D37</f>
        <v>0</v>
      </c>
      <c r="Q54" s="469"/>
      <c r="R54" s="185"/>
    </row>
    <row r="55" spans="13:18" ht="13.5" customHeight="1" x14ac:dyDescent="0.15">
      <c r="M55" s="747" t="s">
        <v>259</v>
      </c>
      <c r="N55" s="754"/>
      <c r="O55" s="453">
        <f>'４-Ⅲ'!D18</f>
        <v>9</v>
      </c>
      <c r="P55" s="453">
        <f>'４-Ⅲ'!D38</f>
        <v>0</v>
      </c>
      <c r="Q55" s="469"/>
      <c r="R55" s="185"/>
    </row>
    <row r="56" spans="13:18" ht="13.5" customHeight="1" x14ac:dyDescent="0.15">
      <c r="M56" s="747" t="s">
        <v>124</v>
      </c>
      <c r="N56" s="751"/>
      <c r="O56" s="453">
        <f>'４-Ⅲ'!D19</f>
        <v>16</v>
      </c>
      <c r="P56" s="453">
        <f>'４-Ⅲ'!D39</f>
        <v>1</v>
      </c>
      <c r="Q56" s="469"/>
      <c r="R56" s="185"/>
    </row>
    <row r="57" spans="13:18" ht="13.5" customHeight="1" x14ac:dyDescent="0.15">
      <c r="M57" s="752" t="s">
        <v>18</v>
      </c>
      <c r="N57" s="753"/>
      <c r="O57" s="453">
        <f>'４-Ⅲ'!D20</f>
        <v>77</v>
      </c>
      <c r="P57" s="453">
        <f>'４-Ⅲ'!D40</f>
        <v>8</v>
      </c>
      <c r="Q57" s="469"/>
      <c r="R57" s="185"/>
    </row>
  </sheetData>
  <mergeCells count="36">
    <mergeCell ref="M56:N56"/>
    <mergeCell ref="M57:N57"/>
    <mergeCell ref="M50:N50"/>
    <mergeCell ref="M51:N51"/>
    <mergeCell ref="M52:N52"/>
    <mergeCell ref="M53:N53"/>
    <mergeCell ref="M54:N54"/>
    <mergeCell ref="M55:N55"/>
    <mergeCell ref="M49:N49"/>
    <mergeCell ref="M28:N28"/>
    <mergeCell ref="M29:N29"/>
    <mergeCell ref="M30:N30"/>
    <mergeCell ref="M31:N31"/>
    <mergeCell ref="M32:N32"/>
    <mergeCell ref="M33:N33"/>
    <mergeCell ref="M34:N34"/>
    <mergeCell ref="M35:N35"/>
    <mergeCell ref="M46:N46"/>
    <mergeCell ref="M47:N47"/>
    <mergeCell ref="M48:N48"/>
    <mergeCell ref="M5:N5"/>
    <mergeCell ref="M27:N27"/>
    <mergeCell ref="M6:N6"/>
    <mergeCell ref="M7:N7"/>
    <mergeCell ref="M8:N8"/>
    <mergeCell ref="M9:N9"/>
    <mergeCell ref="M10:N10"/>
    <mergeCell ref="M11:N11"/>
    <mergeCell ref="M14:N14"/>
    <mergeCell ref="M15:N15"/>
    <mergeCell ref="M16:N16"/>
    <mergeCell ref="M12:N12"/>
    <mergeCell ref="M13:N13"/>
    <mergeCell ref="M24:N24"/>
    <mergeCell ref="M25:N25"/>
    <mergeCell ref="M26:N26"/>
  </mergeCells>
  <phoneticPr fontId="2"/>
  <pageMargins left="0.44270833333333331" right="0.41666666666666669" top="0.60606060606060608" bottom="0.51136363636363635" header="0.3" footer="0.3"/>
  <pageSetup paperSize="9" orientation="portrait" r:id="rId1"/>
  <drawing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7" tint="-0.249977111117893"/>
  </sheetPr>
  <dimension ref="L1:Q12"/>
  <sheetViews>
    <sheetView view="pageBreakPreview" zoomScaleNormal="100" zoomScaleSheetLayoutView="100" zoomScalePageLayoutView="110" workbookViewId="0">
      <selection activeCell="I21" sqref="I21"/>
    </sheetView>
  </sheetViews>
  <sheetFormatPr defaultColWidth="9" defaultRowHeight="18.75" x14ac:dyDescent="0.15"/>
  <cols>
    <col min="1" max="11" width="9.5" style="1" customWidth="1"/>
    <col min="12" max="12" width="26" style="1" customWidth="1"/>
    <col min="13" max="17" width="11.625" style="1" customWidth="1"/>
    <col min="18" max="16384" width="9" style="1"/>
  </cols>
  <sheetData>
    <row r="1" spans="12:17" x14ac:dyDescent="0.15">
      <c r="L1" s="9" t="s">
        <v>330</v>
      </c>
      <c r="M1" s="9"/>
      <c r="N1" s="9"/>
      <c r="O1" s="9"/>
      <c r="P1" s="9"/>
      <c r="Q1" s="9"/>
    </row>
    <row r="2" spans="12:17" x14ac:dyDescent="0.15">
      <c r="L2" s="9"/>
      <c r="M2" s="585" t="s">
        <v>0</v>
      </c>
      <c r="N2" s="585"/>
      <c r="O2" s="585"/>
      <c r="P2" s="586" t="s">
        <v>1</v>
      </c>
      <c r="Q2" s="12"/>
    </row>
    <row r="3" spans="12:17" s="142" customFormat="1" x14ac:dyDescent="0.15">
      <c r="L3" s="587" t="s">
        <v>279</v>
      </c>
      <c r="M3" s="588" t="s">
        <v>157</v>
      </c>
      <c r="N3" s="589" t="s">
        <v>88</v>
      </c>
      <c r="O3" s="589" t="s">
        <v>62</v>
      </c>
      <c r="P3" s="588" t="s">
        <v>157</v>
      </c>
      <c r="Q3" s="589" t="s">
        <v>88</v>
      </c>
    </row>
    <row r="4" spans="12:17" x14ac:dyDescent="0.15">
      <c r="L4" s="590" t="s">
        <v>69</v>
      </c>
      <c r="M4" s="591">
        <f>O4-N4</f>
        <v>2835</v>
      </c>
      <c r="N4" s="591">
        <f>'４-Ⅳ'!B23</f>
        <v>3678</v>
      </c>
      <c r="O4" s="591">
        <f>'２-Ⅳ'!B22</f>
        <v>6513</v>
      </c>
      <c r="P4" s="592">
        <f>IFERROR(M4/$O4,0)</f>
        <v>0.43528327959465685</v>
      </c>
      <c r="Q4" s="592">
        <f>IFERROR(N4/$O4,)</f>
        <v>0.56471672040534315</v>
      </c>
    </row>
    <row r="5" spans="12:17" x14ac:dyDescent="0.15">
      <c r="L5" s="590" t="s">
        <v>327</v>
      </c>
      <c r="M5" s="591">
        <f t="shared" ref="M5:M7" si="0">O5-N5</f>
        <v>1692</v>
      </c>
      <c r="N5" s="591">
        <f>'４-Ⅳ'!B24</f>
        <v>3133</v>
      </c>
      <c r="O5" s="591">
        <f>'２-Ⅳ'!B23</f>
        <v>4825</v>
      </c>
      <c r="P5" s="592">
        <f>IFERROR(M5/$O5,0)</f>
        <v>0.35067357512953368</v>
      </c>
      <c r="Q5" s="592">
        <f t="shared" ref="Q5:Q12" si="1">IFERROR(N5/$O5,)</f>
        <v>0.64932642487046632</v>
      </c>
    </row>
    <row r="6" spans="12:17" x14ac:dyDescent="0.15">
      <c r="L6" s="590" t="s">
        <v>328</v>
      </c>
      <c r="M6" s="591">
        <f t="shared" si="0"/>
        <v>874</v>
      </c>
      <c r="N6" s="591">
        <f>'４-Ⅳ'!B25</f>
        <v>1139</v>
      </c>
      <c r="O6" s="591">
        <f>'２-Ⅳ'!B24</f>
        <v>2013</v>
      </c>
      <c r="P6" s="592">
        <f t="shared" ref="P6:P12" si="2">IFERROR(M6/$O6,0)</f>
        <v>0.43417784401390958</v>
      </c>
      <c r="Q6" s="592">
        <f t="shared" si="1"/>
        <v>0.56582215598609042</v>
      </c>
    </row>
    <row r="7" spans="12:17" x14ac:dyDescent="0.15">
      <c r="L7" s="590" t="s">
        <v>72</v>
      </c>
      <c r="M7" s="591">
        <f t="shared" si="0"/>
        <v>929</v>
      </c>
      <c r="N7" s="591">
        <f>'４-Ⅳ'!B26</f>
        <v>1375</v>
      </c>
      <c r="O7" s="591">
        <f>'２-Ⅳ'!B25</f>
        <v>2304</v>
      </c>
      <c r="P7" s="592">
        <f t="shared" si="2"/>
        <v>0.40321180555555558</v>
      </c>
      <c r="Q7" s="592">
        <f t="shared" si="1"/>
        <v>0.59678819444444442</v>
      </c>
    </row>
    <row r="8" spans="12:17" x14ac:dyDescent="0.15">
      <c r="L8" s="589" t="s">
        <v>329</v>
      </c>
      <c r="M8" s="588" t="s">
        <v>157</v>
      </c>
      <c r="N8" s="589" t="s">
        <v>88</v>
      </c>
      <c r="O8" s="589" t="s">
        <v>62</v>
      </c>
      <c r="P8" s="588" t="s">
        <v>157</v>
      </c>
      <c r="Q8" s="589" t="s">
        <v>88</v>
      </c>
    </row>
    <row r="9" spans="12:17" x14ac:dyDescent="0.15">
      <c r="L9" s="590" t="s">
        <v>69</v>
      </c>
      <c r="M9" s="591">
        <f>O9-N9</f>
        <v>666</v>
      </c>
      <c r="N9" s="591">
        <f>'４-Ⅳ'!D23</f>
        <v>439</v>
      </c>
      <c r="O9" s="591">
        <f>'２-Ⅳ'!H22</f>
        <v>1105</v>
      </c>
      <c r="P9" s="592">
        <f>IFERROR(M9/$O9,0)</f>
        <v>0.6027149321266968</v>
      </c>
      <c r="Q9" s="592">
        <f t="shared" si="1"/>
        <v>0.39728506787330314</v>
      </c>
    </row>
    <row r="10" spans="12:17" x14ac:dyDescent="0.15">
      <c r="L10" s="590" t="s">
        <v>327</v>
      </c>
      <c r="M10" s="591">
        <f t="shared" ref="M10:M12" si="3">O10-N10</f>
        <v>153</v>
      </c>
      <c r="N10" s="591">
        <f>'４-Ⅳ'!D24</f>
        <v>178</v>
      </c>
      <c r="O10" s="591">
        <f>'２-Ⅳ'!H23</f>
        <v>331</v>
      </c>
      <c r="P10" s="592">
        <f t="shared" si="2"/>
        <v>0.46223564954682778</v>
      </c>
      <c r="Q10" s="592">
        <f t="shared" si="1"/>
        <v>0.53776435045317217</v>
      </c>
    </row>
    <row r="11" spans="12:17" x14ac:dyDescent="0.15">
      <c r="L11" s="590" t="s">
        <v>328</v>
      </c>
      <c r="M11" s="591">
        <f t="shared" si="3"/>
        <v>48</v>
      </c>
      <c r="N11" s="591">
        <f>'４-Ⅳ'!D25</f>
        <v>63</v>
      </c>
      <c r="O11" s="591">
        <f>'２-Ⅳ'!H24</f>
        <v>111</v>
      </c>
      <c r="P11" s="592">
        <f t="shared" si="2"/>
        <v>0.43243243243243246</v>
      </c>
      <c r="Q11" s="592">
        <f t="shared" si="1"/>
        <v>0.56756756756756754</v>
      </c>
    </row>
    <row r="12" spans="12:17" x14ac:dyDescent="0.15">
      <c r="L12" s="590" t="s">
        <v>72</v>
      </c>
      <c r="M12" s="591">
        <f t="shared" si="3"/>
        <v>51</v>
      </c>
      <c r="N12" s="591">
        <f>'４-Ⅳ'!D26</f>
        <v>80</v>
      </c>
      <c r="O12" s="591">
        <f>'２-Ⅳ'!H25</f>
        <v>131</v>
      </c>
      <c r="P12" s="592">
        <f t="shared" si="2"/>
        <v>0.38931297709923662</v>
      </c>
      <c r="Q12" s="592">
        <f t="shared" si="1"/>
        <v>0.61068702290076338</v>
      </c>
    </row>
  </sheetData>
  <phoneticPr fontId="2"/>
  <pageMargins left="0.44270833333333331" right="0.41666666666666669" top="0.60606060606060608" bottom="0.51136363636363635" header="0.3" footer="0.3"/>
  <pageSetup paperSize="9" orientation="portrait" r:id="rId1"/>
  <drawing r:id="rId2"/>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7" tint="-0.249977111117893"/>
  </sheetPr>
  <dimension ref="B1:U32"/>
  <sheetViews>
    <sheetView view="pageBreakPreview" topLeftCell="F7" zoomScale="80" zoomScaleNormal="70" zoomScaleSheetLayoutView="80" zoomScalePageLayoutView="80" workbookViewId="0">
      <selection activeCell="M11" sqref="M11"/>
    </sheetView>
  </sheetViews>
  <sheetFormatPr defaultColWidth="9" defaultRowHeight="28.5" customHeight="1" x14ac:dyDescent="0.15"/>
  <cols>
    <col min="1" max="1" width="4.75" style="1" customWidth="1"/>
    <col min="2" max="2" width="11.125" style="442" customWidth="1"/>
    <col min="3" max="3" width="38.25" style="1" customWidth="1"/>
    <col min="4" max="4" width="12.375" style="1" customWidth="1"/>
    <col min="5" max="5" width="38.25" style="1" customWidth="1"/>
    <col min="6" max="6" width="12.375" style="1" customWidth="1"/>
    <col min="7" max="7" width="7.125" style="1" customWidth="1"/>
    <col min="8" max="8" width="12.375" style="1" customWidth="1"/>
    <col min="9" max="9" width="30.875" style="1" customWidth="1"/>
    <col min="10" max="11" width="9.5" style="1" customWidth="1"/>
    <col min="12" max="14" width="9" style="1" customWidth="1"/>
    <col min="15" max="15" width="9.125" style="1" customWidth="1"/>
    <col min="16" max="16" width="28.5" style="1" customWidth="1"/>
    <col min="17" max="17" width="9.625" style="1" customWidth="1"/>
    <col min="18" max="20" width="9" style="1" customWidth="1"/>
    <col min="21" max="16384" width="9" style="1"/>
  </cols>
  <sheetData>
    <row r="1" spans="2:21" ht="88.5" customHeight="1" x14ac:dyDescent="0.15">
      <c r="I1" s="9" t="s">
        <v>349</v>
      </c>
      <c r="J1" s="9"/>
      <c r="K1" s="9"/>
      <c r="L1" s="9"/>
      <c r="M1" s="9"/>
      <c r="N1" s="9"/>
      <c r="O1" s="9"/>
      <c r="P1" s="9"/>
      <c r="Q1" s="9"/>
      <c r="R1" s="9"/>
      <c r="S1" s="9"/>
      <c r="T1" s="9"/>
      <c r="U1" s="9"/>
    </row>
    <row r="2" spans="2:21" ht="63" customHeight="1" thickBot="1" x14ac:dyDescent="0.2">
      <c r="B2" s="756" t="s">
        <v>342</v>
      </c>
      <c r="C2" s="756"/>
      <c r="I2" s="593" t="s">
        <v>346</v>
      </c>
      <c r="J2" s="755" t="s">
        <v>331</v>
      </c>
      <c r="K2" s="755"/>
      <c r="L2" s="755" t="s">
        <v>332</v>
      </c>
      <c r="M2" s="755"/>
      <c r="N2" s="9"/>
      <c r="O2" s="9"/>
      <c r="P2" s="9"/>
      <c r="Q2" s="9"/>
      <c r="R2" s="9"/>
      <c r="S2" s="9"/>
      <c r="T2" s="9"/>
      <c r="U2" s="9"/>
    </row>
    <row r="3" spans="2:21" ht="72" customHeight="1" x14ac:dyDescent="0.15">
      <c r="B3" s="445"/>
      <c r="C3" s="757" t="str">
        <f>"全在院患者（"&amp;$J$9&amp;"人)中"</f>
        <v>全在院患者（2318人)中</v>
      </c>
      <c r="D3" s="757"/>
      <c r="E3" s="757" t="str">
        <f>"在院1年以上寛解・院内寛解群（"&amp;$L$9&amp;"人)中"</f>
        <v>在院1年以上寛解・院内寛解群（403人)中</v>
      </c>
      <c r="F3" s="758"/>
      <c r="I3" s="594" t="s">
        <v>339</v>
      </c>
      <c r="J3" s="595">
        <f>'２-Ⅵ'!B5</f>
        <v>2514</v>
      </c>
      <c r="K3" s="592">
        <f>'２-Ⅵ'!C5</f>
        <v>0.16058767167039284</v>
      </c>
      <c r="L3" s="591">
        <f>'３-Ⅴ'!H5</f>
        <v>417</v>
      </c>
      <c r="M3" s="592">
        <f>'３-Ⅴ'!I5</f>
        <v>0.72774869109947649</v>
      </c>
      <c r="N3" s="9"/>
      <c r="O3" s="9"/>
      <c r="P3" s="9"/>
      <c r="Q3" s="9"/>
      <c r="R3" s="9"/>
      <c r="S3" s="9"/>
      <c r="T3" s="9"/>
      <c r="U3" s="9"/>
    </row>
    <row r="4" spans="2:21" ht="72" customHeight="1" x14ac:dyDescent="0.15">
      <c r="B4" s="446">
        <v>1</v>
      </c>
      <c r="C4" s="443" t="str">
        <f>INDEX($I$15:$I$32,MATCH(B4,$N$15:$N$32,0))</f>
        <v>現実認識が乏しい</v>
      </c>
      <c r="D4" s="444">
        <f>LARGE($K$15:$K$32,B4)</f>
        <v>0.4456427955133736</v>
      </c>
      <c r="E4" s="443" t="str">
        <f>INDEX($I$15:$I$32,MATCH(B4,$O$15:$O$32,0))</f>
        <v>退院意欲が乏しい</v>
      </c>
      <c r="F4" s="447">
        <f>LARGE($M$15:$M$32,B4)</f>
        <v>0.45409429280397023</v>
      </c>
      <c r="I4" s="594" t="s">
        <v>340</v>
      </c>
      <c r="J4" s="595">
        <f>'２-Ⅵ'!B6</f>
        <v>11300</v>
      </c>
      <c r="K4" s="592">
        <f>'２-Ⅵ'!C6</f>
        <v>0.72181411689556052</v>
      </c>
      <c r="L4" s="591">
        <f>'３-Ⅴ'!H6</f>
        <v>60</v>
      </c>
      <c r="M4" s="592">
        <f>'３-Ⅴ'!I6</f>
        <v>0.10471204188481675</v>
      </c>
      <c r="N4" s="9"/>
      <c r="O4" s="9"/>
      <c r="P4" s="9"/>
      <c r="Q4" s="9"/>
      <c r="R4" s="9"/>
      <c r="S4" s="9"/>
      <c r="T4" s="9"/>
      <c r="U4" s="9"/>
    </row>
    <row r="5" spans="2:21" ht="72" customHeight="1" x14ac:dyDescent="0.15">
      <c r="B5" s="446">
        <v>2</v>
      </c>
      <c r="C5" s="443" t="str">
        <f t="shared" ref="C5:C8" si="0">INDEX($I$15:$I$32,MATCH(B5,$N$15:$N$32,0))</f>
        <v>病状は落ち着いているが、ときどき不安定な病状が見られ、そのことが退院を阻害する要因になっている</v>
      </c>
      <c r="D5" s="444">
        <f t="shared" ref="D5:D8" si="1">LARGE($K$15:$K$32,B5)</f>
        <v>0.3839516824849008</v>
      </c>
      <c r="E5" s="443" t="str">
        <f t="shared" ref="E5:E8" si="2">INDEX($I$15:$I$32,MATCH(B5,$O$15:$O$32,0))</f>
        <v>退院による環境変化への不安が強い</v>
      </c>
      <c r="F5" s="447">
        <f t="shared" ref="F5:F8" si="3">LARGE($M$15:$M$32,B5)</f>
        <v>0.37220843672456577</v>
      </c>
      <c r="I5" s="590" t="s">
        <v>36</v>
      </c>
      <c r="J5" s="595">
        <f>'２-Ⅵ'!B7</f>
        <v>1841</v>
      </c>
      <c r="K5" s="592">
        <f>'２-Ⅵ'!C7</f>
        <v>0.11759821143404663</v>
      </c>
      <c r="L5" s="591">
        <f>'３-Ⅴ'!H7</f>
        <v>96</v>
      </c>
      <c r="M5" s="592">
        <f>'３-Ⅴ'!I7</f>
        <v>0.16753926701570682</v>
      </c>
      <c r="N5" s="9"/>
      <c r="O5" s="9"/>
      <c r="P5" s="9"/>
      <c r="Q5" s="9"/>
      <c r="R5" s="9"/>
      <c r="S5" s="9"/>
      <c r="T5" s="9"/>
      <c r="U5" s="9"/>
    </row>
    <row r="6" spans="2:21" ht="72" customHeight="1" x14ac:dyDescent="0.15">
      <c r="B6" s="446">
        <v>3</v>
      </c>
      <c r="C6" s="443" t="str">
        <f t="shared" si="0"/>
        <v>住まいの確保ができない</v>
      </c>
      <c r="D6" s="444">
        <f t="shared" si="1"/>
        <v>0.36928386540120794</v>
      </c>
      <c r="E6" s="443" t="str">
        <f t="shared" si="2"/>
        <v>家事（食事・洗濯・金銭管理など）ができない</v>
      </c>
      <c r="F6" s="447">
        <f t="shared" si="3"/>
        <v>0.31513647642679898</v>
      </c>
      <c r="I6" s="590" t="s">
        <v>12</v>
      </c>
      <c r="J6" s="595">
        <f>'２-Ⅵ'!B8</f>
        <v>15655</v>
      </c>
      <c r="K6" s="592">
        <f>'２-Ⅵ'!C8</f>
        <v>1</v>
      </c>
      <c r="L6" s="591">
        <f>'３-Ⅴ'!H8</f>
        <v>573</v>
      </c>
      <c r="M6" s="592">
        <f>'３-Ⅴ'!I8</f>
        <v>1</v>
      </c>
      <c r="N6" s="9"/>
      <c r="O6" s="9"/>
      <c r="P6" s="9"/>
      <c r="Q6" s="9"/>
      <c r="R6" s="9"/>
      <c r="S6" s="9"/>
      <c r="T6" s="9"/>
      <c r="U6" s="9"/>
    </row>
    <row r="7" spans="2:21" ht="72" customHeight="1" x14ac:dyDescent="0.15">
      <c r="B7" s="446">
        <v>4</v>
      </c>
      <c r="C7" s="443" t="str">
        <f t="shared" si="0"/>
        <v>退院意欲が乏しい</v>
      </c>
      <c r="D7" s="444">
        <f t="shared" si="1"/>
        <v>0.36885245901639346</v>
      </c>
      <c r="E7" s="443" t="str">
        <f t="shared" si="2"/>
        <v>現実認識が乏しい</v>
      </c>
      <c r="F7" s="447">
        <f t="shared" si="3"/>
        <v>0.31017369727047145</v>
      </c>
      <c r="I7" s="9"/>
      <c r="J7" s="9"/>
      <c r="K7" s="596"/>
      <c r="L7" s="9"/>
      <c r="M7" s="9"/>
      <c r="N7" s="9"/>
      <c r="O7" s="9"/>
      <c r="P7" s="9"/>
      <c r="Q7" s="9"/>
      <c r="R7" s="9"/>
      <c r="S7" s="9"/>
      <c r="T7" s="9"/>
      <c r="U7" s="9"/>
    </row>
    <row r="8" spans="2:21" ht="72" customHeight="1" thickBot="1" x14ac:dyDescent="0.2">
      <c r="B8" s="448">
        <v>5</v>
      </c>
      <c r="C8" s="449" t="str">
        <f t="shared" si="0"/>
        <v>家事（食事・洗濯・金銭管理など）ができない</v>
      </c>
      <c r="D8" s="450">
        <f t="shared" si="1"/>
        <v>0.3654012079378775</v>
      </c>
      <c r="E8" s="449" t="str">
        <f t="shared" si="2"/>
        <v>病状は落ち着いているが、ときどき不安定な病状が見られ、そのことが退院を阻害する要因になっている</v>
      </c>
      <c r="F8" s="451">
        <f t="shared" si="3"/>
        <v>0.30769230769230771</v>
      </c>
      <c r="I8" s="597" t="s">
        <v>347</v>
      </c>
      <c r="J8" s="755" t="s">
        <v>331</v>
      </c>
      <c r="K8" s="755"/>
      <c r="L8" s="755" t="s">
        <v>332</v>
      </c>
      <c r="M8" s="755"/>
      <c r="N8" s="9"/>
      <c r="O8" s="9"/>
      <c r="P8" s="593" t="s">
        <v>348</v>
      </c>
      <c r="Q8" s="755" t="s">
        <v>331</v>
      </c>
      <c r="R8" s="755"/>
      <c r="S8" s="755" t="s">
        <v>332</v>
      </c>
      <c r="T8" s="755"/>
      <c r="U8" s="9"/>
    </row>
    <row r="9" spans="2:21" ht="63" customHeight="1" x14ac:dyDescent="0.15">
      <c r="I9" s="590" t="s">
        <v>34</v>
      </c>
      <c r="J9" s="595">
        <f>'２-Ⅵ'!B14</f>
        <v>2318</v>
      </c>
      <c r="K9" s="592">
        <f>'２-Ⅵ'!C14</f>
        <v>0.92203659506762137</v>
      </c>
      <c r="L9" s="595">
        <f>'３-Ⅴ'!H14</f>
        <v>403</v>
      </c>
      <c r="M9" s="592">
        <f>'３-Ⅴ'!I14</f>
        <v>0.96642685851318944</v>
      </c>
      <c r="N9" s="9"/>
      <c r="O9" s="9"/>
      <c r="P9" s="594" t="s">
        <v>344</v>
      </c>
      <c r="Q9" s="595">
        <f>J4</f>
        <v>11300</v>
      </c>
      <c r="R9" s="592">
        <f>Q9/$Q$13</f>
        <v>0.72181411689556052</v>
      </c>
      <c r="S9" s="591">
        <f>L4</f>
        <v>60</v>
      </c>
      <c r="T9" s="592">
        <f>S9/$S$13</f>
        <v>0.10471204188481675</v>
      </c>
      <c r="U9" s="9"/>
    </row>
    <row r="10" spans="2:21" ht="63" customHeight="1" x14ac:dyDescent="0.15">
      <c r="I10" s="590" t="s">
        <v>341</v>
      </c>
      <c r="J10" s="595">
        <f>'２-Ⅵ'!B15</f>
        <v>196</v>
      </c>
      <c r="K10" s="592">
        <f>'２-Ⅵ'!C15</f>
        <v>7.7963404932378674E-2</v>
      </c>
      <c r="L10" s="595">
        <f>'３-Ⅴ'!H15</f>
        <v>14</v>
      </c>
      <c r="M10" s="592">
        <f>'３-Ⅴ'!I15</f>
        <v>3.3573141486810551E-2</v>
      </c>
      <c r="N10" s="9"/>
      <c r="O10" s="9"/>
      <c r="P10" s="590" t="s">
        <v>345</v>
      </c>
      <c r="Q10" s="595">
        <f>J5</f>
        <v>1841</v>
      </c>
      <c r="R10" s="592">
        <f>Q10/$Q$13</f>
        <v>0.11759821143404663</v>
      </c>
      <c r="S10" s="591">
        <f>L5</f>
        <v>96</v>
      </c>
      <c r="T10" s="592">
        <f>S10/$S$13</f>
        <v>0.16753926701570682</v>
      </c>
      <c r="U10" s="9"/>
    </row>
    <row r="11" spans="2:21" ht="63" customHeight="1" x14ac:dyDescent="0.15">
      <c r="I11" s="590" t="s">
        <v>12</v>
      </c>
      <c r="J11" s="595">
        <f>'２-Ⅵ'!B16</f>
        <v>2514</v>
      </c>
      <c r="K11" s="592">
        <f>'２-Ⅵ'!C16</f>
        <v>1</v>
      </c>
      <c r="L11" s="595">
        <f>'３-Ⅴ'!H16</f>
        <v>417</v>
      </c>
      <c r="M11" s="592">
        <f>'３-Ⅴ'!I16</f>
        <v>1</v>
      </c>
      <c r="N11" s="9"/>
      <c r="O11" s="9"/>
      <c r="P11" s="590" t="s">
        <v>34</v>
      </c>
      <c r="Q11" s="595">
        <f>J9</f>
        <v>2318</v>
      </c>
      <c r="R11" s="592">
        <f>Q11/$Q$13</f>
        <v>0.14806770999680613</v>
      </c>
      <c r="S11" s="591">
        <f>L9</f>
        <v>403</v>
      </c>
      <c r="T11" s="592">
        <f>S11/$S$13</f>
        <v>0.70331588132635248</v>
      </c>
      <c r="U11" s="9"/>
    </row>
    <row r="12" spans="2:21" ht="63" customHeight="1" x14ac:dyDescent="0.15">
      <c r="I12" s="9"/>
      <c r="J12" s="9"/>
      <c r="K12" s="9"/>
      <c r="L12" s="9"/>
      <c r="M12" s="9"/>
      <c r="N12" s="9"/>
      <c r="O12" s="9"/>
      <c r="P12" s="590" t="s">
        <v>341</v>
      </c>
      <c r="Q12" s="595">
        <f>J10</f>
        <v>196</v>
      </c>
      <c r="R12" s="592">
        <f>Q12/$Q$13</f>
        <v>1.2519961673586714E-2</v>
      </c>
      <c r="S12" s="591">
        <f>L10</f>
        <v>14</v>
      </c>
      <c r="T12" s="592">
        <f>S12/$S$13</f>
        <v>2.4432809773123908E-2</v>
      </c>
      <c r="U12" s="9"/>
    </row>
    <row r="13" spans="2:21" ht="63" customHeight="1" x14ac:dyDescent="0.15">
      <c r="I13" s="9"/>
      <c r="J13" s="9"/>
      <c r="K13" s="9"/>
      <c r="L13" s="9"/>
      <c r="M13" s="9"/>
      <c r="N13" s="9"/>
      <c r="O13" s="9"/>
      <c r="P13" s="590" t="s">
        <v>12</v>
      </c>
      <c r="Q13" s="591">
        <f>SUM(Q9:Q12)</f>
        <v>15655</v>
      </c>
      <c r="R13" s="592">
        <f>Q13/$Q$13</f>
        <v>1</v>
      </c>
      <c r="S13" s="591">
        <f>SUM(S9:S12)</f>
        <v>573</v>
      </c>
      <c r="T13" s="592">
        <f>S13/$S$13</f>
        <v>1</v>
      </c>
      <c r="U13" s="9"/>
    </row>
    <row r="14" spans="2:21" ht="63" customHeight="1" x14ac:dyDescent="0.15">
      <c r="I14" s="587"/>
      <c r="J14" s="755" t="s">
        <v>331</v>
      </c>
      <c r="K14" s="755"/>
      <c r="L14" s="755" t="s">
        <v>332</v>
      </c>
      <c r="M14" s="755"/>
      <c r="N14" s="585" t="s">
        <v>343</v>
      </c>
      <c r="O14" s="585" t="s">
        <v>343</v>
      </c>
      <c r="P14" s="9"/>
      <c r="Q14" s="9"/>
      <c r="R14" s="9"/>
      <c r="S14" s="9"/>
      <c r="T14" s="9"/>
      <c r="U14" s="9"/>
    </row>
    <row r="15" spans="2:21" s="142" customFormat="1" ht="63" customHeight="1" x14ac:dyDescent="0.15">
      <c r="B15" s="442"/>
      <c r="I15" s="598" t="s">
        <v>333</v>
      </c>
      <c r="J15" s="595">
        <f>'２-Ⅵ'!B23</f>
        <v>890</v>
      </c>
      <c r="K15" s="592">
        <f>'２-Ⅵ'!C23</f>
        <v>0.3839516824849008</v>
      </c>
      <c r="L15" s="595">
        <f>'３-Ⅴ'!H23</f>
        <v>124</v>
      </c>
      <c r="M15" s="592">
        <f>'３-Ⅴ'!I23</f>
        <v>0.30769230769230771</v>
      </c>
      <c r="N15" s="599">
        <f>_xlfn.RANK.EQ(K15,$K$15:$K$32)+COUNTIF($K$15:K15,K15)-1</f>
        <v>2</v>
      </c>
      <c r="O15" s="599">
        <f>_xlfn.RANK.EQ(M15,$M$15:$M$32)+COUNTIF($M$15:M15,M15)-1</f>
        <v>5</v>
      </c>
      <c r="P15" s="585"/>
      <c r="Q15" s="585"/>
      <c r="R15" s="585"/>
      <c r="S15" s="585"/>
      <c r="T15" s="585"/>
      <c r="U15" s="585"/>
    </row>
    <row r="16" spans="2:21" ht="63" customHeight="1" x14ac:dyDescent="0.15">
      <c r="I16" s="600" t="s">
        <v>66</v>
      </c>
      <c r="J16" s="595">
        <f>'２-Ⅵ'!B24</f>
        <v>733</v>
      </c>
      <c r="K16" s="592">
        <f>'２-Ⅵ'!C24</f>
        <v>0.31622088006902505</v>
      </c>
      <c r="L16" s="595">
        <f>'３-Ⅴ'!H24</f>
        <v>92</v>
      </c>
      <c r="M16" s="592">
        <f>'３-Ⅴ'!I24</f>
        <v>0.22828784119106699</v>
      </c>
      <c r="N16" s="599">
        <f>_xlfn.RANK.EQ(K16,$K$15:$K$32)+COUNTIF($K$15:K16,K16)-1</f>
        <v>7</v>
      </c>
      <c r="O16" s="599">
        <f>_xlfn.RANK.EQ(M16,$M$15:$M$32)+COUNTIF($M$15:M16,M16)-1</f>
        <v>8</v>
      </c>
      <c r="P16" s="9"/>
      <c r="Q16" s="9"/>
      <c r="R16" s="9"/>
      <c r="S16" s="9"/>
      <c r="T16" s="9"/>
      <c r="U16" s="9"/>
    </row>
    <row r="17" spans="9:21" ht="63" customHeight="1" x14ac:dyDescent="0.15">
      <c r="I17" s="600" t="s">
        <v>38</v>
      </c>
      <c r="J17" s="595">
        <f>'２-Ⅵ'!B25</f>
        <v>166</v>
      </c>
      <c r="K17" s="592">
        <f>'２-Ⅵ'!C25</f>
        <v>7.1613459879206212E-2</v>
      </c>
      <c r="L17" s="595">
        <f>'３-Ⅴ'!H25</f>
        <v>18</v>
      </c>
      <c r="M17" s="592">
        <f>'３-Ⅴ'!I25</f>
        <v>4.4665012406947889E-2</v>
      </c>
      <c r="N17" s="599">
        <f>_xlfn.RANK.EQ(K17,$K$15:$K$32)+COUNTIF($K$15:K17,K17)-1</f>
        <v>14</v>
      </c>
      <c r="O17" s="599">
        <f>_xlfn.RANK.EQ(M17,$M$15:$M$32)+COUNTIF($M$15:M17,M17)-1</f>
        <v>15</v>
      </c>
      <c r="P17" s="9"/>
      <c r="Q17" s="9"/>
      <c r="R17" s="9"/>
      <c r="S17" s="9"/>
      <c r="T17" s="9"/>
      <c r="U17" s="9"/>
    </row>
    <row r="18" spans="9:21" ht="63" customHeight="1" x14ac:dyDescent="0.15">
      <c r="I18" s="600" t="s">
        <v>39</v>
      </c>
      <c r="J18" s="595">
        <f>'２-Ⅵ'!B26</f>
        <v>855</v>
      </c>
      <c r="K18" s="592">
        <f>'２-Ⅵ'!C26</f>
        <v>0.36885245901639346</v>
      </c>
      <c r="L18" s="595">
        <f>'３-Ⅴ'!H26</f>
        <v>183</v>
      </c>
      <c r="M18" s="592">
        <f>'３-Ⅴ'!I26</f>
        <v>0.45409429280397023</v>
      </c>
      <c r="N18" s="599">
        <f>_xlfn.RANK.EQ(K18,$K$15:$K$32)+COUNTIF($K$15:K18,K18)-1</f>
        <v>4</v>
      </c>
      <c r="O18" s="599">
        <f>_xlfn.RANK.EQ(M18,$M$15:$M$32)+COUNTIF($M$15:M18,M18)-1</f>
        <v>1</v>
      </c>
      <c r="P18" s="9"/>
      <c r="Q18" s="9"/>
      <c r="R18" s="9"/>
      <c r="S18" s="9"/>
      <c r="T18" s="9"/>
      <c r="U18" s="9"/>
    </row>
    <row r="19" spans="9:21" ht="63" customHeight="1" x14ac:dyDescent="0.15">
      <c r="I19" s="600" t="s">
        <v>40</v>
      </c>
      <c r="J19" s="595">
        <f>'２-Ⅵ'!B27</f>
        <v>1033</v>
      </c>
      <c r="K19" s="592">
        <f>'２-Ⅵ'!C27</f>
        <v>0.4456427955133736</v>
      </c>
      <c r="L19" s="595">
        <f>'３-Ⅴ'!H27</f>
        <v>125</v>
      </c>
      <c r="M19" s="592">
        <f>'３-Ⅴ'!I27</f>
        <v>0.31017369727047145</v>
      </c>
      <c r="N19" s="599">
        <f>_xlfn.RANK.EQ(K19,$K$15:$K$32)+COUNTIF($K$15:K19,K19)-1</f>
        <v>1</v>
      </c>
      <c r="O19" s="599">
        <f>_xlfn.RANK.EQ(M19,$M$15:$M$32)+COUNTIF($M$15:M19,M19)-1</f>
        <v>4</v>
      </c>
      <c r="P19" s="9"/>
      <c r="Q19" s="9"/>
      <c r="R19" s="9"/>
      <c r="S19" s="9"/>
      <c r="T19" s="9"/>
      <c r="U19" s="9"/>
    </row>
    <row r="20" spans="9:21" ht="63" customHeight="1" x14ac:dyDescent="0.15">
      <c r="I20" s="600" t="s">
        <v>334</v>
      </c>
      <c r="J20" s="595">
        <f>'２-Ⅵ'!B28</f>
        <v>745</v>
      </c>
      <c r="K20" s="592">
        <f>'２-Ⅵ'!C28</f>
        <v>0.32139775668679899</v>
      </c>
      <c r="L20" s="595">
        <f>'３-Ⅴ'!H28</f>
        <v>150</v>
      </c>
      <c r="M20" s="592">
        <f>'３-Ⅴ'!I28</f>
        <v>0.37220843672456577</v>
      </c>
      <c r="N20" s="599">
        <f>_xlfn.RANK.EQ(K20,$K$15:$K$32)+COUNTIF($K$15:K20,K20)-1</f>
        <v>6</v>
      </c>
      <c r="O20" s="599">
        <f>_xlfn.RANK.EQ(M20,$M$15:$M$32)+COUNTIF($M$15:M20,M20)-1</f>
        <v>2</v>
      </c>
      <c r="P20" s="9"/>
      <c r="Q20" s="9"/>
      <c r="R20" s="9"/>
      <c r="S20" s="9"/>
      <c r="T20" s="9"/>
      <c r="U20" s="9"/>
    </row>
    <row r="21" spans="9:21" ht="63" customHeight="1" x14ac:dyDescent="0.15">
      <c r="I21" s="600" t="s">
        <v>42</v>
      </c>
      <c r="J21" s="595">
        <f>'２-Ⅵ'!B29</f>
        <v>249</v>
      </c>
      <c r="K21" s="592">
        <f>'２-Ⅵ'!C29</f>
        <v>0.10742018981880933</v>
      </c>
      <c r="L21" s="595">
        <f>'３-Ⅴ'!H29</f>
        <v>33</v>
      </c>
      <c r="M21" s="592">
        <f>'３-Ⅴ'!I29</f>
        <v>8.1885856079404462E-2</v>
      </c>
      <c r="N21" s="599">
        <f>_xlfn.RANK.EQ(K21,$K$15:$K$32)+COUNTIF($K$15:K21,K21)-1</f>
        <v>12</v>
      </c>
      <c r="O21" s="599">
        <f>_xlfn.RANK.EQ(M21,$M$15:$M$32)+COUNTIF($M$15:M21,M21)-1</f>
        <v>12</v>
      </c>
      <c r="P21" s="9"/>
      <c r="Q21" s="9"/>
      <c r="R21" s="9"/>
      <c r="S21" s="9"/>
      <c r="T21" s="9"/>
      <c r="U21" s="9"/>
    </row>
    <row r="22" spans="9:21" ht="63" customHeight="1" x14ac:dyDescent="0.15">
      <c r="I22" s="600" t="s">
        <v>335</v>
      </c>
      <c r="J22" s="595">
        <f>'２-Ⅵ'!B30</f>
        <v>847</v>
      </c>
      <c r="K22" s="592">
        <f>'２-Ⅵ'!C30</f>
        <v>0.3654012079378775</v>
      </c>
      <c r="L22" s="595">
        <f>'３-Ⅴ'!H30</f>
        <v>127</v>
      </c>
      <c r="M22" s="592">
        <f>'３-Ⅴ'!I30</f>
        <v>0.31513647642679898</v>
      </c>
      <c r="N22" s="599">
        <f>_xlfn.RANK.EQ(K22,$K$15:$K$32)+COUNTIF($K$15:K22,K22)-1</f>
        <v>5</v>
      </c>
      <c r="O22" s="599">
        <f>_xlfn.RANK.EQ(M22,$M$15:$M$32)+COUNTIF($M$15:M22,M22)-1</f>
        <v>3</v>
      </c>
      <c r="P22" s="9"/>
      <c r="Q22" s="9"/>
      <c r="R22" s="9"/>
      <c r="S22" s="9"/>
      <c r="T22" s="9"/>
      <c r="U22" s="9"/>
    </row>
    <row r="23" spans="9:21" ht="63" customHeight="1" x14ac:dyDescent="0.15">
      <c r="I23" s="600" t="s">
        <v>336</v>
      </c>
      <c r="J23" s="595">
        <f>'２-Ⅵ'!B31</f>
        <v>425</v>
      </c>
      <c r="K23" s="592">
        <f>'２-Ⅵ'!C31</f>
        <v>0.18334771354616047</v>
      </c>
      <c r="L23" s="595">
        <f>'３-Ⅴ'!H31</f>
        <v>65</v>
      </c>
      <c r="M23" s="592">
        <f>'３-Ⅴ'!I31</f>
        <v>0.16129032258064516</v>
      </c>
      <c r="N23" s="599">
        <f>_xlfn.RANK.EQ(K23,$K$15:$K$32)+COUNTIF($K$15:K23,K23)-1</f>
        <v>9</v>
      </c>
      <c r="O23" s="599">
        <f>_xlfn.RANK.EQ(M23,$M$15:$M$32)+COUNTIF($M$15:M23,M23)-1</f>
        <v>9</v>
      </c>
      <c r="P23" s="9"/>
      <c r="Q23" s="9"/>
      <c r="R23" s="9"/>
      <c r="S23" s="9"/>
      <c r="T23" s="9"/>
      <c r="U23" s="9"/>
    </row>
    <row r="24" spans="9:21" ht="63" customHeight="1" x14ac:dyDescent="0.15">
      <c r="I24" s="600" t="s">
        <v>337</v>
      </c>
      <c r="J24" s="595">
        <f>'２-Ⅵ'!B32</f>
        <v>517</v>
      </c>
      <c r="K24" s="592">
        <f>'２-Ⅵ'!C32</f>
        <v>0.22303710094909404</v>
      </c>
      <c r="L24" s="595">
        <f>'３-Ⅴ'!H32</f>
        <v>107</v>
      </c>
      <c r="M24" s="592">
        <f>'３-Ⅴ'!I32</f>
        <v>0.26550868486352358</v>
      </c>
      <c r="N24" s="599">
        <f>_xlfn.RANK.EQ(K24,$K$15:$K$32)+COUNTIF($K$15:K24,K24)-1</f>
        <v>8</v>
      </c>
      <c r="O24" s="599">
        <f>_xlfn.RANK.EQ(M24,$M$15:$M$32)+COUNTIF($M$15:M24,M24)-1</f>
        <v>7</v>
      </c>
      <c r="P24" s="9"/>
      <c r="Q24" s="9"/>
      <c r="R24" s="9"/>
      <c r="S24" s="9"/>
      <c r="T24" s="9"/>
      <c r="U24" s="9"/>
    </row>
    <row r="25" spans="9:21" ht="63" customHeight="1" x14ac:dyDescent="0.15">
      <c r="I25" s="600" t="s">
        <v>46</v>
      </c>
      <c r="J25" s="595">
        <f>'２-Ⅵ'!B33</f>
        <v>856</v>
      </c>
      <c r="K25" s="592">
        <f>'２-Ⅵ'!C33</f>
        <v>0.36928386540120794</v>
      </c>
      <c r="L25" s="595">
        <f>'３-Ⅴ'!H33</f>
        <v>117</v>
      </c>
      <c r="M25" s="592">
        <f>'３-Ⅴ'!I33</f>
        <v>0.29032258064516131</v>
      </c>
      <c r="N25" s="599">
        <f>_xlfn.RANK.EQ(K25,$K$15:$K$32)+COUNTIF($K$15:K25,K25)-1</f>
        <v>3</v>
      </c>
      <c r="O25" s="599">
        <f>_xlfn.RANK.EQ(M25,$M$15:$M$32)+COUNTIF($M$15:M25,M25)-1</f>
        <v>6</v>
      </c>
      <c r="P25" s="9"/>
      <c r="Q25" s="9"/>
      <c r="R25" s="9"/>
      <c r="S25" s="9"/>
      <c r="T25" s="9"/>
      <c r="U25" s="9"/>
    </row>
    <row r="26" spans="9:21" ht="63" customHeight="1" x14ac:dyDescent="0.15">
      <c r="I26" s="600" t="s">
        <v>47</v>
      </c>
      <c r="J26" s="595">
        <f>'２-Ⅵ'!B34</f>
        <v>101</v>
      </c>
      <c r="K26" s="592">
        <f>'２-Ⅵ'!C34</f>
        <v>4.3572044866264023E-2</v>
      </c>
      <c r="L26" s="595">
        <f>'３-Ⅴ'!H34</f>
        <v>33</v>
      </c>
      <c r="M26" s="592">
        <f>'３-Ⅴ'!I34</f>
        <v>8.1885856079404462E-2</v>
      </c>
      <c r="N26" s="599">
        <f>_xlfn.RANK.EQ(K26,$K$15:$K$32)+COUNTIF($K$15:K26,K26)-1</f>
        <v>16</v>
      </c>
      <c r="O26" s="599">
        <f>_xlfn.RANK.EQ(M26,$M$15:$M$32)+COUNTIF($M$15:M26,M26)-1</f>
        <v>13</v>
      </c>
      <c r="P26" s="9"/>
      <c r="Q26" s="9"/>
      <c r="R26" s="9"/>
      <c r="S26" s="9"/>
      <c r="T26" s="9"/>
      <c r="U26" s="9"/>
    </row>
    <row r="27" spans="9:21" ht="63" customHeight="1" x14ac:dyDescent="0.15">
      <c r="I27" s="600" t="s">
        <v>48</v>
      </c>
      <c r="J27" s="595">
        <f>'２-Ⅵ'!B35</f>
        <v>165</v>
      </c>
      <c r="K27" s="592">
        <f>'２-Ⅵ'!C35</f>
        <v>7.1182053494391717E-2</v>
      </c>
      <c r="L27" s="595">
        <f>'３-Ⅴ'!H35</f>
        <v>23</v>
      </c>
      <c r="M27" s="592">
        <f>'３-Ⅴ'!I35</f>
        <v>5.7071960297766747E-2</v>
      </c>
      <c r="N27" s="599">
        <f>_xlfn.RANK.EQ(K27,$K$15:$K$32)+COUNTIF($K$15:K27,K27)-1</f>
        <v>15</v>
      </c>
      <c r="O27" s="599">
        <f>_xlfn.RANK.EQ(M27,$M$15:$M$32)+COUNTIF($M$15:M27,M27)-1</f>
        <v>14</v>
      </c>
      <c r="P27" s="9"/>
      <c r="Q27" s="9"/>
      <c r="R27" s="9"/>
      <c r="S27" s="9"/>
      <c r="T27" s="9"/>
      <c r="U27" s="9"/>
    </row>
    <row r="28" spans="9:21" ht="63" customHeight="1" x14ac:dyDescent="0.15">
      <c r="I28" s="600" t="s">
        <v>49</v>
      </c>
      <c r="J28" s="595">
        <f>'２-Ⅵ'!B36</f>
        <v>27</v>
      </c>
      <c r="K28" s="592">
        <f>'２-Ⅵ'!C36</f>
        <v>1.1647972389991372E-2</v>
      </c>
      <c r="L28" s="595">
        <f>'３-Ⅴ'!H36</f>
        <v>0</v>
      </c>
      <c r="M28" s="592">
        <f>'３-Ⅴ'!I36</f>
        <v>0</v>
      </c>
      <c r="N28" s="599">
        <f>_xlfn.RANK.EQ(K28,$K$15:$K$32)+COUNTIF($K$15:K28,K28)-1</f>
        <v>18</v>
      </c>
      <c r="O28" s="599">
        <f>_xlfn.RANK.EQ(M28,$M$15:$M$32)+COUNTIF($M$15:M28,M28)-1</f>
        <v>18</v>
      </c>
      <c r="P28" s="9"/>
      <c r="Q28" s="9"/>
      <c r="R28" s="9"/>
      <c r="S28" s="9"/>
      <c r="T28" s="9"/>
      <c r="U28" s="9"/>
    </row>
    <row r="29" spans="9:21" ht="63" customHeight="1" x14ac:dyDescent="0.15">
      <c r="I29" s="600" t="s">
        <v>50</v>
      </c>
      <c r="J29" s="595">
        <f>'２-Ⅵ'!B37</f>
        <v>251</v>
      </c>
      <c r="K29" s="592">
        <f>'２-Ⅵ'!C37</f>
        <v>0.10828300258843832</v>
      </c>
      <c r="L29" s="595">
        <f>'３-Ⅴ'!H37</f>
        <v>39</v>
      </c>
      <c r="M29" s="592">
        <f>'３-Ⅴ'!I37</f>
        <v>9.6774193548387094E-2</v>
      </c>
      <c r="N29" s="599">
        <f>_xlfn.RANK.EQ(K29,$K$15:$K$32)+COUNTIF($K$15:K29,K29)-1</f>
        <v>11</v>
      </c>
      <c r="O29" s="599">
        <f>_xlfn.RANK.EQ(M29,$M$15:$M$32)+COUNTIF($M$15:M29,M29)-1</f>
        <v>11</v>
      </c>
      <c r="P29" s="9"/>
      <c r="Q29" s="9"/>
      <c r="R29" s="9"/>
      <c r="S29" s="9"/>
      <c r="T29" s="9"/>
      <c r="U29" s="9"/>
    </row>
    <row r="30" spans="9:21" ht="63" customHeight="1" x14ac:dyDescent="0.15">
      <c r="I30" s="600" t="s">
        <v>51</v>
      </c>
      <c r="J30" s="595">
        <f>'２-Ⅵ'!B38</f>
        <v>293</v>
      </c>
      <c r="K30" s="592">
        <f>'２-Ⅵ'!C38</f>
        <v>0.12640207075064711</v>
      </c>
      <c r="L30" s="595">
        <f>'３-Ⅴ'!H38</f>
        <v>47</v>
      </c>
      <c r="M30" s="592">
        <f>'３-Ⅴ'!I38</f>
        <v>0.11662531017369727</v>
      </c>
      <c r="N30" s="599">
        <f>_xlfn.RANK.EQ(K30,$K$15:$K$32)+COUNTIF($K$15:K30,K30)-1</f>
        <v>10</v>
      </c>
      <c r="O30" s="599">
        <f>_xlfn.RANK.EQ(M30,$M$15:$M$32)+COUNTIF($M$15:M30,M30)-1</f>
        <v>10</v>
      </c>
      <c r="P30" s="9"/>
      <c r="Q30" s="9"/>
      <c r="R30" s="9"/>
      <c r="S30" s="9"/>
      <c r="T30" s="9"/>
      <c r="U30" s="9"/>
    </row>
    <row r="31" spans="9:21" ht="63" customHeight="1" x14ac:dyDescent="0.15">
      <c r="I31" s="600" t="s">
        <v>338</v>
      </c>
      <c r="J31" s="595">
        <f>'２-Ⅵ'!B39</f>
        <v>51</v>
      </c>
      <c r="K31" s="592">
        <f>'２-Ⅵ'!C39</f>
        <v>2.2001725625539259E-2</v>
      </c>
      <c r="L31" s="595">
        <f>'３-Ⅴ'!H39</f>
        <v>17</v>
      </c>
      <c r="M31" s="592">
        <f>'３-Ⅴ'!I39</f>
        <v>4.2183622828784122E-2</v>
      </c>
      <c r="N31" s="599">
        <f>_xlfn.RANK.EQ(K31,$K$15:$K$32)+COUNTIF($K$15:K31,K31)-1</f>
        <v>17</v>
      </c>
      <c r="O31" s="599">
        <f>_xlfn.RANK.EQ(M31,$M$15:$M$32)+COUNTIF($M$15:M31,M31)-1</f>
        <v>16</v>
      </c>
      <c r="P31" s="9"/>
      <c r="Q31" s="9"/>
      <c r="R31" s="9"/>
      <c r="S31" s="9"/>
      <c r="T31" s="9"/>
      <c r="U31" s="9"/>
    </row>
    <row r="32" spans="9:21" ht="63" customHeight="1" x14ac:dyDescent="0.15">
      <c r="I32" s="600" t="s">
        <v>53</v>
      </c>
      <c r="J32" s="595">
        <f>'２-Ⅵ'!B40</f>
        <v>172</v>
      </c>
      <c r="K32" s="592">
        <f>'２-Ⅵ'!C40</f>
        <v>7.4201898188093182E-2</v>
      </c>
      <c r="L32" s="595">
        <f>'３-Ⅴ'!H40</f>
        <v>16</v>
      </c>
      <c r="M32" s="592">
        <f>'３-Ⅴ'!I40</f>
        <v>3.9702233250620347E-2</v>
      </c>
      <c r="N32" s="599">
        <f>_xlfn.RANK.EQ(K32,$K$15:$K$32)+COUNTIF($K$15:K32,K32)-1</f>
        <v>13</v>
      </c>
      <c r="O32" s="599">
        <f>_xlfn.RANK.EQ(M32,$M$15:$M$32)+COUNTIF($M$15:M32,M32)-1</f>
        <v>17</v>
      </c>
      <c r="P32" s="9"/>
      <c r="Q32" s="9"/>
      <c r="R32" s="9"/>
      <c r="S32" s="9"/>
      <c r="T32" s="9"/>
      <c r="U32" s="9"/>
    </row>
  </sheetData>
  <mergeCells count="11">
    <mergeCell ref="Q8:R8"/>
    <mergeCell ref="S8:T8"/>
    <mergeCell ref="J14:K14"/>
    <mergeCell ref="L14:M14"/>
    <mergeCell ref="B2:C2"/>
    <mergeCell ref="J2:K2"/>
    <mergeCell ref="L2:M2"/>
    <mergeCell ref="C3:D3"/>
    <mergeCell ref="E3:F3"/>
    <mergeCell ref="J8:K8"/>
    <mergeCell ref="L8:M8"/>
  </mergeCells>
  <phoneticPr fontId="2"/>
  <pageMargins left="0.25" right="0.27083333333333331" top="0.60606060606060608" bottom="0.51136363636363635" header="0.3" footer="0.3"/>
  <pageSetup paperSize="9" scale="80" orientation="portrait" r:id="rId1"/>
  <rowBreaks count="1" manualBreakCount="1">
    <brk id="9" max="6" man="1"/>
  </rowBreaks>
  <colBreaks count="1" manualBreakCount="1">
    <brk id="8" max="1048575" man="1"/>
  </colBreaks>
  <drawing r:id="rId2"/>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tabColor theme="7" tint="-0.249977111117893"/>
  </sheetPr>
  <dimension ref="K3:O65"/>
  <sheetViews>
    <sheetView view="pageBreakPreview" topLeftCell="A34" zoomScale="90" zoomScaleNormal="100" zoomScaleSheetLayoutView="90" workbookViewId="0">
      <selection activeCell="G44" sqref="G44"/>
    </sheetView>
  </sheetViews>
  <sheetFormatPr defaultRowHeight="18" customHeight="1" x14ac:dyDescent="0.15"/>
  <cols>
    <col min="1" max="9" width="9.875" customWidth="1"/>
    <col min="11" max="11" width="34.5" customWidth="1"/>
    <col min="13" max="13" width="11.125" bestFit="1" customWidth="1"/>
  </cols>
  <sheetData>
    <row r="3" spans="11:13" ht="18" customHeight="1" x14ac:dyDescent="0.15">
      <c r="K3" s="462"/>
      <c r="L3" s="462" t="s">
        <v>307</v>
      </c>
      <c r="M3" s="462" t="s">
        <v>308</v>
      </c>
    </row>
    <row r="4" spans="11:13" ht="18" customHeight="1" x14ac:dyDescent="0.15">
      <c r="K4" s="601" t="s">
        <v>356</v>
      </c>
      <c r="L4" s="489">
        <f>'5-Ⅰ①'!D14</f>
        <v>0.40078201368523947</v>
      </c>
      <c r="M4" s="489">
        <f>'5-Ⅰ①'!F14</f>
        <v>0.37065637065637064</v>
      </c>
    </row>
    <row r="5" spans="11:13" ht="18" customHeight="1" x14ac:dyDescent="0.15">
      <c r="K5" s="601" t="s">
        <v>225</v>
      </c>
      <c r="L5" s="489">
        <f>'5-Ⅰ①'!D15</f>
        <v>0.35288367546432065</v>
      </c>
      <c r="M5" s="489">
        <f>'5-Ⅰ①'!F15</f>
        <v>0.28725868725868725</v>
      </c>
    </row>
    <row r="6" spans="11:13" ht="18" customHeight="1" x14ac:dyDescent="0.15">
      <c r="K6" s="601" t="s">
        <v>38</v>
      </c>
      <c r="L6" s="489">
        <f>'5-Ⅰ①'!D16</f>
        <v>0.10850439882697947</v>
      </c>
      <c r="M6" s="489">
        <f>'5-Ⅰ①'!F16</f>
        <v>4.2471042471042469E-2</v>
      </c>
    </row>
    <row r="7" spans="11:13" ht="18" customHeight="1" x14ac:dyDescent="0.15">
      <c r="K7" s="601" t="s">
        <v>39</v>
      </c>
      <c r="L7" s="489">
        <f>'5-Ⅰ①'!D17</f>
        <v>0.33040078201368522</v>
      </c>
      <c r="M7" s="489">
        <f>'5-Ⅰ①'!F17</f>
        <v>0.39922779922779922</v>
      </c>
    </row>
    <row r="8" spans="11:13" ht="18" customHeight="1" x14ac:dyDescent="0.15">
      <c r="K8" s="601" t="s">
        <v>40</v>
      </c>
      <c r="L8" s="489">
        <f>'5-Ⅰ①'!D18</f>
        <v>0.46138807429130008</v>
      </c>
      <c r="M8" s="489">
        <f>'5-Ⅰ①'!F18</f>
        <v>0.4332046332046332</v>
      </c>
    </row>
    <row r="9" spans="11:13" ht="18" customHeight="1" x14ac:dyDescent="0.15">
      <c r="K9" s="601" t="s">
        <v>41</v>
      </c>
      <c r="L9" s="489">
        <f>'5-Ⅰ①'!D19</f>
        <v>0.32355816226783968</v>
      </c>
      <c r="M9" s="489">
        <f>'5-Ⅰ①'!F19</f>
        <v>0.31969111969111969</v>
      </c>
    </row>
    <row r="10" spans="11:13" ht="18" customHeight="1" x14ac:dyDescent="0.15">
      <c r="K10" s="601" t="s">
        <v>42</v>
      </c>
      <c r="L10" s="489">
        <f>'5-Ⅰ①'!D20</f>
        <v>0.12316715542521994</v>
      </c>
      <c r="M10" s="489">
        <f>'5-Ⅰ①'!F20</f>
        <v>9.4980694980694974E-2</v>
      </c>
    </row>
    <row r="11" spans="11:13" ht="18" customHeight="1" x14ac:dyDescent="0.15">
      <c r="K11" s="601" t="s">
        <v>43</v>
      </c>
      <c r="L11" s="489">
        <f>'5-Ⅰ①'!D21</f>
        <v>0.34701857282502446</v>
      </c>
      <c r="M11" s="489">
        <f>'5-Ⅰ①'!F21</f>
        <v>0.3799227799227799</v>
      </c>
    </row>
    <row r="12" spans="11:13" ht="18" customHeight="1" x14ac:dyDescent="0.15">
      <c r="K12" s="601" t="s">
        <v>358</v>
      </c>
      <c r="L12" s="489">
        <f>'5-Ⅰ①'!D22</f>
        <v>0.18572825024437928</v>
      </c>
      <c r="M12" s="489">
        <f>'5-Ⅰ①'!F22</f>
        <v>0.18146718146718147</v>
      </c>
    </row>
    <row r="13" spans="11:13" ht="18" customHeight="1" x14ac:dyDescent="0.15">
      <c r="K13" s="602" t="s">
        <v>357</v>
      </c>
      <c r="L13" s="489">
        <f>'5-Ⅰ①'!D23</f>
        <v>0.22482893450635386</v>
      </c>
      <c r="M13" s="489">
        <f>'5-Ⅰ①'!F23</f>
        <v>0.22162162162162163</v>
      </c>
    </row>
    <row r="14" spans="11:13" ht="18" customHeight="1" x14ac:dyDescent="0.15">
      <c r="K14" s="601" t="s">
        <v>46</v>
      </c>
      <c r="L14" s="489">
        <f>'5-Ⅰ①'!D24</f>
        <v>0.35972629521016619</v>
      </c>
      <c r="M14" s="489">
        <f>'5-Ⅰ①'!F24</f>
        <v>0.37683397683397685</v>
      </c>
    </row>
    <row r="15" spans="11:13" ht="18" customHeight="1" x14ac:dyDescent="0.15">
      <c r="K15" s="601" t="s">
        <v>47</v>
      </c>
      <c r="L15" s="489">
        <f>'5-Ⅰ①'!D25</f>
        <v>4.2033235581622676E-2</v>
      </c>
      <c r="M15" s="489">
        <f>'5-Ⅰ①'!F25</f>
        <v>4.4787644787644784E-2</v>
      </c>
    </row>
    <row r="16" spans="11:13" ht="18" customHeight="1" x14ac:dyDescent="0.15">
      <c r="K16" s="601" t="s">
        <v>48</v>
      </c>
      <c r="L16" s="489">
        <f>'5-Ⅰ①'!D26</f>
        <v>7.4291300097751714E-2</v>
      </c>
      <c r="M16" s="489">
        <f>'5-Ⅰ①'!F26</f>
        <v>6.8725868725868722E-2</v>
      </c>
    </row>
    <row r="17" spans="11:13" ht="18" customHeight="1" x14ac:dyDescent="0.15">
      <c r="K17" s="601" t="s">
        <v>49</v>
      </c>
      <c r="L17" s="489">
        <f>'5-Ⅰ①'!D27</f>
        <v>7.8201368523949169E-3</v>
      </c>
      <c r="M17" s="489">
        <f>'5-Ⅰ①'!F27</f>
        <v>1.4671814671814672E-2</v>
      </c>
    </row>
    <row r="18" spans="11:13" ht="18" customHeight="1" x14ac:dyDescent="0.15">
      <c r="K18" s="601" t="s">
        <v>50</v>
      </c>
      <c r="L18" s="489">
        <f>'5-Ⅰ①'!D28</f>
        <v>0.11730205278592376</v>
      </c>
      <c r="M18" s="489">
        <f>'5-Ⅰ①'!F28</f>
        <v>0.10115830115830116</v>
      </c>
    </row>
    <row r="19" spans="11:13" ht="18" customHeight="1" x14ac:dyDescent="0.15">
      <c r="K19" s="601" t="s">
        <v>51</v>
      </c>
      <c r="L19" s="489">
        <f>'5-Ⅰ①'!D29</f>
        <v>0.12414467253176931</v>
      </c>
      <c r="M19" s="489">
        <f>'5-Ⅰ①'!F29</f>
        <v>0.12818532818532818</v>
      </c>
    </row>
    <row r="20" spans="11:13" ht="18" customHeight="1" x14ac:dyDescent="0.15">
      <c r="K20" s="601" t="s">
        <v>338</v>
      </c>
      <c r="L20" s="489">
        <f>'5-Ⅰ①'!D30</f>
        <v>2.8347996089931573E-2</v>
      </c>
      <c r="M20" s="489">
        <f>'5-Ⅰ①'!F30</f>
        <v>1.698841698841699E-2</v>
      </c>
    </row>
    <row r="21" spans="11:13" ht="18" customHeight="1" x14ac:dyDescent="0.15">
      <c r="K21" s="601" t="s">
        <v>53</v>
      </c>
      <c r="L21" s="489">
        <f>'5-Ⅰ①'!D31</f>
        <v>8.113391984359726E-2</v>
      </c>
      <c r="M21" s="489">
        <f>'5-Ⅰ①'!F31</f>
        <v>6.8725868725868722E-2</v>
      </c>
    </row>
    <row r="47" spans="11:15" ht="18" customHeight="1" x14ac:dyDescent="0.15">
      <c r="K47" s="1"/>
      <c r="L47" s="490" t="s">
        <v>359</v>
      </c>
      <c r="M47" s="491" t="s">
        <v>360</v>
      </c>
      <c r="N47" s="491" t="s">
        <v>361</v>
      </c>
      <c r="O47" s="490" t="s">
        <v>362</v>
      </c>
    </row>
    <row r="48" spans="11:15" ht="18" customHeight="1" x14ac:dyDescent="0.15">
      <c r="K48" s="492" t="s">
        <v>356</v>
      </c>
      <c r="L48" s="489">
        <f>'５-Ⅰ②'!D14</f>
        <v>0.42112125162972619</v>
      </c>
      <c r="M48" s="489">
        <f>'５-Ⅰ②'!F14</f>
        <v>0.35544430538172717</v>
      </c>
      <c r="N48" s="489">
        <f>'５-Ⅰ②'!H14</f>
        <v>0.37003058103975534</v>
      </c>
      <c r="O48" s="489">
        <f>'５-Ⅰ②'!J14</f>
        <v>0.38117647058823528</v>
      </c>
    </row>
    <row r="49" spans="11:15" ht="18" customHeight="1" x14ac:dyDescent="0.15">
      <c r="K49" s="492" t="s">
        <v>225</v>
      </c>
      <c r="L49" s="489">
        <f>'５-Ⅰ②'!D15</f>
        <v>0.30638852672750977</v>
      </c>
      <c r="M49" s="489">
        <f>'５-Ⅰ②'!F15</f>
        <v>0.31914893617021278</v>
      </c>
      <c r="N49" s="489">
        <f>'５-Ⅰ②'!H15</f>
        <v>0.27522935779816515</v>
      </c>
      <c r="O49" s="489">
        <f>'５-Ⅰ②'!J15</f>
        <v>0.36</v>
      </c>
    </row>
    <row r="50" spans="11:15" ht="18" customHeight="1" x14ac:dyDescent="0.15">
      <c r="K50" s="492" t="s">
        <v>38</v>
      </c>
      <c r="L50" s="489">
        <f>'５-Ⅰ②'!D16</f>
        <v>8.9960886571056067E-2</v>
      </c>
      <c r="M50" s="489">
        <f>'５-Ⅰ②'!F16</f>
        <v>6.0075093867334166E-2</v>
      </c>
      <c r="N50" s="489">
        <f>'５-Ⅰ②'!H16</f>
        <v>8.2568807339449546E-2</v>
      </c>
      <c r="O50" s="489">
        <f>'５-Ⅰ②'!J16</f>
        <v>5.1764705882352942E-2</v>
      </c>
    </row>
    <row r="51" spans="11:15" ht="18" customHeight="1" x14ac:dyDescent="0.15">
      <c r="K51" s="492" t="s">
        <v>39</v>
      </c>
      <c r="L51" s="489">
        <f>'５-Ⅰ②'!D17</f>
        <v>0.25423728813559321</v>
      </c>
      <c r="M51" s="489">
        <f>'５-Ⅰ②'!F17</f>
        <v>0.35669586983729662</v>
      </c>
      <c r="N51" s="489">
        <f>'５-Ⅰ②'!H17</f>
        <v>0.47400611620795108</v>
      </c>
      <c r="O51" s="489">
        <f>'５-Ⅰ②'!J17</f>
        <v>0.51764705882352946</v>
      </c>
    </row>
    <row r="52" spans="11:15" ht="18" customHeight="1" x14ac:dyDescent="0.15">
      <c r="K52" s="492" t="s">
        <v>40</v>
      </c>
      <c r="L52" s="489">
        <f>'５-Ⅰ②'!D18</f>
        <v>0.41720990873533248</v>
      </c>
      <c r="M52" s="489">
        <f>'５-Ⅰ②'!F18</f>
        <v>0.43554443053817271</v>
      </c>
      <c r="N52" s="489">
        <f>'５-Ⅰ②'!H18</f>
        <v>0.44342507645259938</v>
      </c>
      <c r="O52" s="489">
        <f>'５-Ⅰ②'!J18</f>
        <v>0.51764705882352946</v>
      </c>
    </row>
    <row r="53" spans="11:15" ht="18" customHeight="1" x14ac:dyDescent="0.15">
      <c r="K53" s="492" t="s">
        <v>41</v>
      </c>
      <c r="L53" s="489">
        <f>'５-Ⅰ②'!D19</f>
        <v>0.27900912646675358</v>
      </c>
      <c r="M53" s="489">
        <f>'５-Ⅰ②'!F19</f>
        <v>0.30413016270337923</v>
      </c>
      <c r="N53" s="489">
        <f>'５-Ⅰ②'!H19</f>
        <v>0.38226299694189603</v>
      </c>
      <c r="O53" s="489">
        <f>'５-Ⅰ②'!J19</f>
        <v>0.3835294117647059</v>
      </c>
    </row>
    <row r="54" spans="11:15" ht="18" customHeight="1" x14ac:dyDescent="0.15">
      <c r="K54" s="492" t="s">
        <v>42</v>
      </c>
      <c r="L54" s="489">
        <f>'５-Ⅰ②'!D20</f>
        <v>0.11994784876140809</v>
      </c>
      <c r="M54" s="489">
        <f>'５-Ⅰ②'!F20</f>
        <v>9.7622027534418024E-2</v>
      </c>
      <c r="N54" s="489">
        <f>'５-Ⅰ②'!H20</f>
        <v>0.11926605504587157</v>
      </c>
      <c r="O54" s="489">
        <f>'５-Ⅰ②'!J20</f>
        <v>9.4117647058823528E-2</v>
      </c>
    </row>
    <row r="55" spans="11:15" ht="18" customHeight="1" x14ac:dyDescent="0.15">
      <c r="K55" s="492" t="s">
        <v>43</v>
      </c>
      <c r="L55" s="489">
        <f>'５-Ⅰ②'!D21</f>
        <v>0.32333767926988266</v>
      </c>
      <c r="M55" s="489">
        <f>'５-Ⅰ②'!F21</f>
        <v>0.38423028785982477</v>
      </c>
      <c r="N55" s="489">
        <f>'５-Ⅰ②'!H21</f>
        <v>0.38226299694189603</v>
      </c>
      <c r="O55" s="489">
        <f>'５-Ⅰ②'!J21</f>
        <v>0.39294117647058824</v>
      </c>
    </row>
    <row r="56" spans="11:15" ht="18" customHeight="1" x14ac:dyDescent="0.15">
      <c r="K56" s="492" t="s">
        <v>358</v>
      </c>
      <c r="L56" s="489">
        <f>'５-Ⅰ②'!D22</f>
        <v>0.14211212516297261</v>
      </c>
      <c r="M56" s="489">
        <f>'５-Ⅰ②'!F22</f>
        <v>0.18773466833541927</v>
      </c>
      <c r="N56" s="489">
        <f>'５-Ⅰ②'!H22</f>
        <v>0.22018348623853212</v>
      </c>
      <c r="O56" s="489">
        <f>'５-Ⅰ②'!J22</f>
        <v>0.22117647058823531</v>
      </c>
    </row>
    <row r="57" spans="11:15" ht="18" customHeight="1" x14ac:dyDescent="0.15">
      <c r="K57" s="493" t="s">
        <v>357</v>
      </c>
      <c r="L57" s="489">
        <f>'５-Ⅰ②'!D23</f>
        <v>0.15775749674054759</v>
      </c>
      <c r="M57" s="489">
        <f>'５-Ⅰ②'!F23</f>
        <v>0.23904881101376721</v>
      </c>
      <c r="N57" s="489">
        <f>'５-Ⅰ②'!H23</f>
        <v>0.3058103975535168</v>
      </c>
      <c r="O57" s="489">
        <f>'５-Ⅰ②'!J23</f>
        <v>0.24705882352941178</v>
      </c>
    </row>
    <row r="58" spans="11:15" ht="18" customHeight="1" x14ac:dyDescent="0.15">
      <c r="K58" s="492" t="s">
        <v>46</v>
      </c>
      <c r="L58" s="489">
        <f>'５-Ⅰ②'!D24</f>
        <v>0.43155149934810949</v>
      </c>
      <c r="M58" s="489">
        <f>'５-Ⅰ②'!F24</f>
        <v>0.37421777221526908</v>
      </c>
      <c r="N58" s="489">
        <f>'５-Ⅰ②'!H24</f>
        <v>0.34556574923547401</v>
      </c>
      <c r="O58" s="489">
        <f>'５-Ⅰ②'!J24</f>
        <v>0.26588235294117646</v>
      </c>
    </row>
    <row r="59" spans="11:15" ht="18" customHeight="1" x14ac:dyDescent="0.15">
      <c r="K59" s="492" t="s">
        <v>47</v>
      </c>
      <c r="L59" s="489">
        <f>'５-Ⅰ②'!D25</f>
        <v>3.5202086049543675E-2</v>
      </c>
      <c r="M59" s="489">
        <f>'５-Ⅰ②'!F25</f>
        <v>5.6320400500625784E-2</v>
      </c>
      <c r="N59" s="489">
        <f>'５-Ⅰ②'!H25</f>
        <v>4.5871559633027525E-2</v>
      </c>
      <c r="O59" s="489">
        <f>'５-Ⅰ②'!J25</f>
        <v>3.2941176470588238E-2</v>
      </c>
    </row>
    <row r="60" spans="11:15" ht="18" customHeight="1" x14ac:dyDescent="0.15">
      <c r="K60" s="492" t="s">
        <v>48</v>
      </c>
      <c r="L60" s="489">
        <f>'５-Ⅰ②'!D26</f>
        <v>9.126466753585398E-2</v>
      </c>
      <c r="M60" s="489">
        <f>'５-Ⅰ②'!F26</f>
        <v>6.6332916145181484E-2</v>
      </c>
      <c r="N60" s="489">
        <f>'５-Ⅰ②'!H26</f>
        <v>5.8103975535168197E-2</v>
      </c>
      <c r="O60" s="489">
        <f>'５-Ⅰ②'!J26</f>
        <v>5.4117647058823527E-2</v>
      </c>
    </row>
    <row r="61" spans="11:15" ht="18" customHeight="1" x14ac:dyDescent="0.15">
      <c r="K61" s="492" t="s">
        <v>49</v>
      </c>
      <c r="L61" s="489">
        <f>'５-Ⅰ②'!D27</f>
        <v>2.607561929595828E-2</v>
      </c>
      <c r="M61" s="489">
        <f>'５-Ⅰ②'!F27</f>
        <v>7.5093867334167707E-3</v>
      </c>
      <c r="N61" s="489">
        <f>'５-Ⅰ②'!H27</f>
        <v>3.0581039755351682E-3</v>
      </c>
      <c r="O61" s="489">
        <f>'５-Ⅰ②'!J27</f>
        <v>0</v>
      </c>
    </row>
    <row r="62" spans="11:15" ht="18" customHeight="1" x14ac:dyDescent="0.15">
      <c r="K62" s="492" t="s">
        <v>50</v>
      </c>
      <c r="L62" s="489">
        <f>'５-Ⅰ②'!D28</f>
        <v>0.11994784876140809</v>
      </c>
      <c r="M62" s="489">
        <f>'５-Ⅰ②'!F28</f>
        <v>0.10137672090112641</v>
      </c>
      <c r="N62" s="489">
        <f>'５-Ⅰ②'!H28</f>
        <v>0.11314984709480122</v>
      </c>
      <c r="O62" s="489">
        <f>'５-Ⅰ②'!J28</f>
        <v>9.6470588235294114E-2</v>
      </c>
    </row>
    <row r="63" spans="11:15" ht="18" customHeight="1" x14ac:dyDescent="0.15">
      <c r="K63" s="492" t="s">
        <v>51</v>
      </c>
      <c r="L63" s="489">
        <f>'５-Ⅰ②'!D29</f>
        <v>0.15775749674054759</v>
      </c>
      <c r="M63" s="489">
        <f>'５-Ⅰ②'!F29</f>
        <v>0.10262828535669587</v>
      </c>
      <c r="N63" s="489">
        <f>'５-Ⅰ②'!H29</f>
        <v>0.11314984709480122</v>
      </c>
      <c r="O63" s="489">
        <f>'５-Ⅰ②'!J29</f>
        <v>0.12470588235294118</v>
      </c>
    </row>
    <row r="64" spans="11:15" ht="18" customHeight="1" x14ac:dyDescent="0.15">
      <c r="K64" s="492" t="s">
        <v>338</v>
      </c>
      <c r="L64" s="489">
        <f>'５-Ⅰ②'!D30</f>
        <v>2.0860495436766623E-2</v>
      </c>
      <c r="M64" s="489">
        <f>'５-Ⅰ②'!F30</f>
        <v>2.2528160200250311E-2</v>
      </c>
      <c r="N64" s="489">
        <f>'５-Ⅰ②'!H30</f>
        <v>3.0581039755351681E-2</v>
      </c>
      <c r="O64" s="489">
        <f>'５-Ⅰ②'!J30</f>
        <v>1.6470588235294119E-2</v>
      </c>
    </row>
    <row r="65" spans="11:15" ht="18" customHeight="1" x14ac:dyDescent="0.15">
      <c r="K65" s="492" t="s">
        <v>53</v>
      </c>
      <c r="L65" s="489">
        <f>'５-Ⅰ②'!D31</f>
        <v>7.822685788787484E-2</v>
      </c>
      <c r="M65" s="489">
        <f>'５-Ⅰ②'!F31</f>
        <v>8.3854818523153948E-2</v>
      </c>
      <c r="N65" s="489">
        <f>'５-Ⅰ②'!H31</f>
        <v>5.5045871559633031E-2</v>
      </c>
      <c r="O65" s="489">
        <f>'５-Ⅰ②'!J31</f>
        <v>6.3529411764705876E-2</v>
      </c>
    </row>
  </sheetData>
  <phoneticPr fontId="2"/>
  <pageMargins left="0.7" right="0.7" top="0.75" bottom="0.75" header="0.3" footer="0.3"/>
  <pageSetup paperSize="9" orientation="portrait" r:id="rId1"/>
  <rowBreaks count="1" manualBreakCount="1">
    <brk id="44" max="8" man="1"/>
  </rowBreaks>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6" tint="-0.249977111117893"/>
    <pageSetUpPr fitToPage="1"/>
  </sheetPr>
  <dimension ref="A1:T47"/>
  <sheetViews>
    <sheetView view="pageBreakPreview" zoomScale="80" zoomScaleNormal="100" zoomScaleSheetLayoutView="80" workbookViewId="0">
      <selection activeCell="K1" sqref="K1:V1048576"/>
    </sheetView>
  </sheetViews>
  <sheetFormatPr defaultRowHeight="18.75" x14ac:dyDescent="0.15"/>
  <cols>
    <col min="1" max="1" width="22.75" style="1" bestFit="1" customWidth="1"/>
    <col min="2" max="3" width="9.375" style="1" customWidth="1"/>
    <col min="4" max="4" width="6.625" style="1" customWidth="1"/>
    <col min="5" max="5" width="22.75" style="1" bestFit="1" customWidth="1"/>
    <col min="6" max="9" width="9.375" style="1" customWidth="1"/>
    <col min="10" max="10" width="9" style="1"/>
    <col min="11" max="11" width="18.75" style="1" hidden="1" customWidth="1"/>
    <col min="12" max="12" width="10.25" style="1" hidden="1" customWidth="1"/>
    <col min="13" max="13" width="0" style="1" hidden="1" customWidth="1"/>
    <col min="14" max="14" width="19.625" style="1" hidden="1" customWidth="1"/>
    <col min="15" max="15" width="0" style="1" hidden="1" customWidth="1"/>
    <col min="16" max="16" width="19.625" style="1" hidden="1" customWidth="1"/>
    <col min="17" max="17" width="10.25" style="1" hidden="1" customWidth="1"/>
    <col min="18" max="19" width="0" style="1" hidden="1" customWidth="1"/>
    <col min="20" max="20" width="20.125" style="1" hidden="1" customWidth="1"/>
    <col min="21" max="22" width="0" style="1" hidden="1" customWidth="1"/>
    <col min="23" max="16384" width="9" style="1"/>
  </cols>
  <sheetData>
    <row r="1" spans="1:20" s="3" customFormat="1" ht="19.5" x14ac:dyDescent="0.15">
      <c r="A1" s="2" t="s">
        <v>125</v>
      </c>
    </row>
    <row r="2" spans="1:20" x14ac:dyDescent="0.15">
      <c r="A2" s="4"/>
      <c r="K2" s="56" t="s">
        <v>63</v>
      </c>
    </row>
    <row r="3" spans="1:20" s="3" customFormat="1" ht="20.25" thickBot="1" x14ac:dyDescent="0.2">
      <c r="A3" s="4" t="s">
        <v>13</v>
      </c>
      <c r="E3" s="4" t="s">
        <v>126</v>
      </c>
      <c r="F3" s="4"/>
      <c r="G3" s="4"/>
      <c r="K3" s="429" t="s">
        <v>300</v>
      </c>
      <c r="L3" s="495" t="s">
        <v>279</v>
      </c>
      <c r="N3" s="388" t="s">
        <v>300</v>
      </c>
      <c r="O3" s="495" t="s">
        <v>277</v>
      </c>
      <c r="P3" s="388" t="s">
        <v>300</v>
      </c>
      <c r="Q3" s="495" t="s">
        <v>278</v>
      </c>
    </row>
    <row r="4" spans="1:20" ht="20.25" thickTop="1" thickBot="1" x14ac:dyDescent="0.2">
      <c r="A4" s="258"/>
      <c r="B4" s="258" t="s">
        <v>0</v>
      </c>
      <c r="C4" s="258" t="s">
        <v>1</v>
      </c>
      <c r="E4" s="258"/>
      <c r="F4" s="258" t="s">
        <v>127</v>
      </c>
      <c r="G4" s="306" t="s">
        <v>128</v>
      </c>
      <c r="H4" s="258" t="s">
        <v>12</v>
      </c>
      <c r="I4" s="258" t="s">
        <v>1</v>
      </c>
      <c r="K4" s="500" t="s">
        <v>371</v>
      </c>
      <c r="L4" s="35" t="s">
        <v>379</v>
      </c>
      <c r="N4" s="500" t="s">
        <v>371</v>
      </c>
      <c r="O4" s="35" t="s">
        <v>379</v>
      </c>
      <c r="P4" s="500" t="s">
        <v>371</v>
      </c>
      <c r="Q4" s="35" t="s">
        <v>379</v>
      </c>
    </row>
    <row r="5" spans="1:20" ht="19.5" thickTop="1" x14ac:dyDescent="0.15">
      <c r="A5" s="299" t="s">
        <v>129</v>
      </c>
      <c r="B5" s="261">
        <f>IFERROR(VLOOKUP($T5,在院期間[#All],2,FALSE),0)</f>
        <v>1745</v>
      </c>
      <c r="C5" s="301">
        <f>IFERROR(B5/B$21,"-")</f>
        <v>0.11146598530820824</v>
      </c>
      <c r="E5" s="299" t="s">
        <v>129</v>
      </c>
      <c r="F5" s="261">
        <f>IFERROR(VLOOKUP($T5,在院期間＿寛解[#All],2,FALSE),0)</f>
        <v>90</v>
      </c>
      <c r="G5" s="261">
        <f>IFERROR(VLOOKUP($T5,在院期間＿院内寛解[#All],2,FALSE),0)</f>
        <v>247</v>
      </c>
      <c r="H5" s="259">
        <f>SUM(F5:G5)</f>
        <v>337</v>
      </c>
      <c r="I5" s="301">
        <f>IFERROR(H5/H$21,"-")</f>
        <v>0.20083432657926104</v>
      </c>
      <c r="K5" s="43" t="s">
        <v>183</v>
      </c>
      <c r="L5" s="60">
        <v>1745</v>
      </c>
      <c r="N5" s="43" t="s">
        <v>183</v>
      </c>
      <c r="O5" s="60">
        <v>90</v>
      </c>
      <c r="P5" s="43" t="s">
        <v>183</v>
      </c>
      <c r="Q5" s="60">
        <v>247</v>
      </c>
      <c r="T5" s="407" t="s">
        <v>183</v>
      </c>
    </row>
    <row r="6" spans="1:20" x14ac:dyDescent="0.15">
      <c r="A6" s="299" t="s">
        <v>130</v>
      </c>
      <c r="B6" s="261">
        <f>IFERROR(VLOOKUP($T6,在院期間[#All],2,FALSE),0)</f>
        <v>1789</v>
      </c>
      <c r="C6" s="301">
        <f t="shared" ref="C6:C20" si="0">IFERROR(B6/B$21,"-")</f>
        <v>0.11427658894921751</v>
      </c>
      <c r="E6" s="299" t="s">
        <v>131</v>
      </c>
      <c r="F6" s="261">
        <f>IFERROR(VLOOKUP($T6,在院期間＿寛解[#All],2,FALSE),0)</f>
        <v>103</v>
      </c>
      <c r="G6" s="261">
        <f>IFERROR(VLOOKUP($T6,在院期間＿院内寛解[#All],2,FALSE),0)</f>
        <v>295</v>
      </c>
      <c r="H6" s="259">
        <f t="shared" ref="H6:H20" si="1">SUM(F6:G6)</f>
        <v>398</v>
      </c>
      <c r="I6" s="301">
        <f t="shared" ref="I6:I20" si="2">IFERROR(H6/H$21,"-")</f>
        <v>0.23718712753277713</v>
      </c>
      <c r="K6" s="43" t="s">
        <v>184</v>
      </c>
      <c r="L6" s="60">
        <v>1789</v>
      </c>
      <c r="N6" s="43" t="s">
        <v>184</v>
      </c>
      <c r="O6" s="400">
        <v>103</v>
      </c>
      <c r="P6" s="409" t="s">
        <v>184</v>
      </c>
      <c r="Q6" s="130">
        <v>295</v>
      </c>
      <c r="T6" s="407" t="s">
        <v>184</v>
      </c>
    </row>
    <row r="7" spans="1:20" x14ac:dyDescent="0.15">
      <c r="A7" s="299" t="s">
        <v>132</v>
      </c>
      <c r="B7" s="261">
        <f>IFERROR(VLOOKUP($T7,在院期間[#All],2,FALSE),0)</f>
        <v>1375</v>
      </c>
      <c r="C7" s="301">
        <f t="shared" si="0"/>
        <v>8.783136378153944E-2</v>
      </c>
      <c r="E7" s="299" t="s">
        <v>132</v>
      </c>
      <c r="F7" s="261">
        <f>IFERROR(VLOOKUP($T7,在院期間＿寛解[#All],2,FALSE),0)</f>
        <v>50</v>
      </c>
      <c r="G7" s="261">
        <f>IFERROR(VLOOKUP($T7,在院期間＿院内寛解[#All],2,FALSE),0)</f>
        <v>136</v>
      </c>
      <c r="H7" s="259">
        <f t="shared" si="1"/>
        <v>186</v>
      </c>
      <c r="I7" s="301">
        <f t="shared" si="2"/>
        <v>0.11084624553039332</v>
      </c>
      <c r="K7" s="43" t="s">
        <v>185</v>
      </c>
      <c r="L7" s="60">
        <v>1375</v>
      </c>
      <c r="N7" s="43" t="s">
        <v>185</v>
      </c>
      <c r="O7" s="400">
        <v>50</v>
      </c>
      <c r="P7" s="409" t="s">
        <v>185</v>
      </c>
      <c r="Q7" s="130">
        <v>136</v>
      </c>
      <c r="T7" s="408" t="s">
        <v>185</v>
      </c>
    </row>
    <row r="8" spans="1:20" x14ac:dyDescent="0.15">
      <c r="A8" s="299" t="s">
        <v>133</v>
      </c>
      <c r="B8" s="261">
        <f>IFERROR(VLOOKUP($T8,在院期間[#All],2,FALSE),0)</f>
        <v>1604</v>
      </c>
      <c r="C8" s="301">
        <f t="shared" si="0"/>
        <v>0.1024592781858831</v>
      </c>
      <c r="E8" s="299" t="s">
        <v>133</v>
      </c>
      <c r="F8" s="261">
        <f>IFERROR(VLOOKUP($T8,在院期間＿寛解[#All],2,FALSE),0)</f>
        <v>31</v>
      </c>
      <c r="G8" s="261">
        <f>IFERROR(VLOOKUP($T8,在院期間＿院内寛解[#All],2,FALSE),0)</f>
        <v>153</v>
      </c>
      <c r="H8" s="259">
        <f t="shared" si="1"/>
        <v>184</v>
      </c>
      <c r="I8" s="301">
        <f t="shared" si="2"/>
        <v>0.10965435041716329</v>
      </c>
      <c r="K8" s="43" t="s">
        <v>186</v>
      </c>
      <c r="L8" s="60">
        <v>1604</v>
      </c>
      <c r="N8" s="43" t="s">
        <v>186</v>
      </c>
      <c r="O8" s="400">
        <v>31</v>
      </c>
      <c r="P8" s="409" t="s">
        <v>186</v>
      </c>
      <c r="Q8" s="130">
        <v>153</v>
      </c>
      <c r="T8" s="407" t="s">
        <v>186</v>
      </c>
    </row>
    <row r="9" spans="1:20" x14ac:dyDescent="0.15">
      <c r="A9" s="299" t="s">
        <v>134</v>
      </c>
      <c r="B9" s="261">
        <f>IFERROR(VLOOKUP($T9,在院期間[#All],2,FALSE),0)</f>
        <v>1076</v>
      </c>
      <c r="C9" s="301">
        <f t="shared" si="0"/>
        <v>6.8732034493771951E-2</v>
      </c>
      <c r="E9" s="299" t="s">
        <v>134</v>
      </c>
      <c r="F9" s="261">
        <f>IFERROR(VLOOKUP($T9,在院期間＿寛解[#All],2,FALSE),0)</f>
        <v>21</v>
      </c>
      <c r="G9" s="261">
        <f>IFERROR(VLOOKUP($T9,在院期間＿院内寛解[#All],2,FALSE),0)</f>
        <v>75</v>
      </c>
      <c r="H9" s="259">
        <f t="shared" si="1"/>
        <v>96</v>
      </c>
      <c r="I9" s="301">
        <f t="shared" si="2"/>
        <v>5.7210965435041714E-2</v>
      </c>
      <c r="K9" s="43" t="s">
        <v>187</v>
      </c>
      <c r="L9" s="60">
        <v>1076</v>
      </c>
      <c r="N9" s="43" t="s">
        <v>187</v>
      </c>
      <c r="O9" s="400">
        <v>21</v>
      </c>
      <c r="P9" s="409" t="s">
        <v>187</v>
      </c>
      <c r="Q9" s="130">
        <v>75</v>
      </c>
      <c r="T9" s="408" t="s">
        <v>187</v>
      </c>
    </row>
    <row r="10" spans="1:20" x14ac:dyDescent="0.15">
      <c r="A10" s="299" t="s">
        <v>135</v>
      </c>
      <c r="B10" s="261">
        <f>IFERROR(VLOOKUP($T10,在院期間[#All],2,FALSE),0)</f>
        <v>843</v>
      </c>
      <c r="C10" s="301">
        <f t="shared" si="0"/>
        <v>5.3848610667518365E-2</v>
      </c>
      <c r="E10" s="299" t="s">
        <v>135</v>
      </c>
      <c r="F10" s="261">
        <f>IFERROR(VLOOKUP($T10,在院期間＿寛解[#All],2,FALSE),0)</f>
        <v>10</v>
      </c>
      <c r="G10" s="261">
        <f>IFERROR(VLOOKUP($T10,在院期間＿院内寛解[#All],2,FALSE),0)</f>
        <v>58</v>
      </c>
      <c r="H10" s="259">
        <f t="shared" si="1"/>
        <v>68</v>
      </c>
      <c r="I10" s="301">
        <f t="shared" si="2"/>
        <v>4.0524433849821219E-2</v>
      </c>
      <c r="K10" s="43" t="s">
        <v>188</v>
      </c>
      <c r="L10" s="60">
        <v>843</v>
      </c>
      <c r="N10" s="43" t="s">
        <v>188</v>
      </c>
      <c r="O10" s="400">
        <v>10</v>
      </c>
      <c r="P10" s="409" t="s">
        <v>188</v>
      </c>
      <c r="Q10" s="130">
        <v>58</v>
      </c>
      <c r="T10" s="407" t="s">
        <v>188</v>
      </c>
    </row>
    <row r="11" spans="1:20" x14ac:dyDescent="0.15">
      <c r="A11" s="299" t="s">
        <v>136</v>
      </c>
      <c r="B11" s="261">
        <f>IFERROR(VLOOKUP($T11,在院期間[#All],2,FALSE),0)</f>
        <v>1340</v>
      </c>
      <c r="C11" s="301">
        <f t="shared" si="0"/>
        <v>8.5595656339827533E-2</v>
      </c>
      <c r="E11" s="299" t="s">
        <v>26</v>
      </c>
      <c r="F11" s="261">
        <f>IFERROR(VLOOKUP($T11,在院期間＿寛解[#All],2,FALSE),0)</f>
        <v>15</v>
      </c>
      <c r="G11" s="261">
        <f>IFERROR(VLOOKUP($T11,在院期間＿院内寛解[#All],2,FALSE),0)</f>
        <v>71</v>
      </c>
      <c r="H11" s="259">
        <f t="shared" si="1"/>
        <v>86</v>
      </c>
      <c r="I11" s="301">
        <f t="shared" si="2"/>
        <v>5.1251489868891539E-2</v>
      </c>
      <c r="K11" s="43" t="s">
        <v>189</v>
      </c>
      <c r="L11" s="60">
        <v>1340</v>
      </c>
      <c r="N11" s="43" t="s">
        <v>189</v>
      </c>
      <c r="O11" s="400">
        <v>15</v>
      </c>
      <c r="P11" s="409" t="s">
        <v>189</v>
      </c>
      <c r="Q11" s="130">
        <v>71</v>
      </c>
      <c r="T11" s="408" t="s">
        <v>189</v>
      </c>
    </row>
    <row r="12" spans="1:20" x14ac:dyDescent="0.15">
      <c r="A12" s="299" t="s">
        <v>27</v>
      </c>
      <c r="B12" s="261">
        <f>IFERROR(VLOOKUP($T12,在院期間[#All],2,FALSE),0)</f>
        <v>932</v>
      </c>
      <c r="C12" s="301">
        <f t="shared" si="0"/>
        <v>5.9533695305014372E-2</v>
      </c>
      <c r="E12" s="299" t="s">
        <v>27</v>
      </c>
      <c r="F12" s="261">
        <f>IFERROR(VLOOKUP($T12,在院期間＿寛解[#All],2,FALSE),0)</f>
        <v>5</v>
      </c>
      <c r="G12" s="261">
        <f>IFERROR(VLOOKUP($T12,在院期間＿院内寛解[#All],2,FALSE),0)</f>
        <v>46</v>
      </c>
      <c r="H12" s="259">
        <f t="shared" si="1"/>
        <v>51</v>
      </c>
      <c r="I12" s="301">
        <f t="shared" si="2"/>
        <v>3.0393325387365912E-2</v>
      </c>
      <c r="K12" s="43" t="s">
        <v>190</v>
      </c>
      <c r="L12" s="60">
        <v>932</v>
      </c>
      <c r="N12" s="43" t="s">
        <v>190</v>
      </c>
      <c r="O12" s="400">
        <v>5</v>
      </c>
      <c r="P12" s="409" t="s">
        <v>190</v>
      </c>
      <c r="Q12" s="130">
        <v>46</v>
      </c>
      <c r="T12" s="407" t="s">
        <v>190</v>
      </c>
    </row>
    <row r="13" spans="1:20" x14ac:dyDescent="0.15">
      <c r="A13" s="299" t="s">
        <v>137</v>
      </c>
      <c r="B13" s="261">
        <f>IFERROR(VLOOKUP($T13,在院期間[#All],2,FALSE),0)</f>
        <v>634</v>
      </c>
      <c r="C13" s="301">
        <f t="shared" si="0"/>
        <v>4.0498243372724368E-2</v>
      </c>
      <c r="E13" s="299" t="s">
        <v>137</v>
      </c>
      <c r="F13" s="261">
        <f>IFERROR(VLOOKUP($T13,在院期間＿寛解[#All],2,FALSE),0)</f>
        <v>10</v>
      </c>
      <c r="G13" s="261">
        <f>IFERROR(VLOOKUP($T13,在院期間＿院内寛解[#All],2,FALSE),0)</f>
        <v>20</v>
      </c>
      <c r="H13" s="259">
        <f t="shared" si="1"/>
        <v>30</v>
      </c>
      <c r="I13" s="301">
        <f t="shared" si="2"/>
        <v>1.7878426698450536E-2</v>
      </c>
      <c r="K13" s="43" t="s">
        <v>191</v>
      </c>
      <c r="L13" s="60">
        <v>634</v>
      </c>
      <c r="N13" s="43" t="s">
        <v>191</v>
      </c>
      <c r="O13" s="400">
        <v>10</v>
      </c>
      <c r="P13" s="409" t="s">
        <v>191</v>
      </c>
      <c r="Q13" s="130">
        <v>20</v>
      </c>
      <c r="T13" s="408" t="s">
        <v>191</v>
      </c>
    </row>
    <row r="14" spans="1:20" x14ac:dyDescent="0.15">
      <c r="A14" s="299" t="s">
        <v>138</v>
      </c>
      <c r="B14" s="261">
        <f>IFERROR(VLOOKUP($T14,在院期間[#All],2,FALSE),0)</f>
        <v>547</v>
      </c>
      <c r="C14" s="301">
        <f t="shared" si="0"/>
        <v>3.494091344618333E-2</v>
      </c>
      <c r="E14" s="299" t="s">
        <v>138</v>
      </c>
      <c r="F14" s="261">
        <f>IFERROR(VLOOKUP($T14,在院期間＿寛解[#All],2,FALSE),0)</f>
        <v>3</v>
      </c>
      <c r="G14" s="261">
        <f>IFERROR(VLOOKUP($T14,在院期間＿院内寛解[#All],2,FALSE),0)</f>
        <v>33</v>
      </c>
      <c r="H14" s="259">
        <f t="shared" si="1"/>
        <v>36</v>
      </c>
      <c r="I14" s="301">
        <f t="shared" si="2"/>
        <v>2.1454112038140644E-2</v>
      </c>
      <c r="K14" s="43" t="s">
        <v>192</v>
      </c>
      <c r="L14" s="60">
        <v>547</v>
      </c>
      <c r="N14" s="43" t="s">
        <v>192</v>
      </c>
      <c r="O14" s="400">
        <v>3</v>
      </c>
      <c r="P14" s="409" t="s">
        <v>192</v>
      </c>
      <c r="Q14" s="130">
        <v>33</v>
      </c>
      <c r="T14" s="407" t="s">
        <v>192</v>
      </c>
    </row>
    <row r="15" spans="1:20" x14ac:dyDescent="0.15">
      <c r="A15" s="299" t="s">
        <v>139</v>
      </c>
      <c r="B15" s="261">
        <f>IFERROR(VLOOKUP($T15,在院期間[#All],2,FALSE),0)</f>
        <v>458</v>
      </c>
      <c r="C15" s="301">
        <f t="shared" si="0"/>
        <v>2.925582880868732E-2</v>
      </c>
      <c r="E15" s="299" t="s">
        <v>139</v>
      </c>
      <c r="F15" s="261">
        <f>IFERROR(VLOOKUP($T15,在院期間＿寛解[#All],2,FALSE),0)</f>
        <v>1</v>
      </c>
      <c r="G15" s="261">
        <f>IFERROR(VLOOKUP($T15,在院期間＿院内寛解[#All],2,FALSE),0)</f>
        <v>21</v>
      </c>
      <c r="H15" s="259">
        <f t="shared" si="1"/>
        <v>22</v>
      </c>
      <c r="I15" s="301">
        <f t="shared" si="2"/>
        <v>1.3110846245530394E-2</v>
      </c>
      <c r="K15" s="43" t="s">
        <v>193</v>
      </c>
      <c r="L15" s="60">
        <v>458</v>
      </c>
      <c r="N15" s="43" t="s">
        <v>193</v>
      </c>
      <c r="O15" s="400">
        <v>1</v>
      </c>
      <c r="P15" s="409" t="s">
        <v>193</v>
      </c>
      <c r="Q15" s="130">
        <v>21</v>
      </c>
      <c r="T15" s="408" t="s">
        <v>193</v>
      </c>
    </row>
    <row r="16" spans="1:20" x14ac:dyDescent="0.15">
      <c r="A16" s="299" t="s">
        <v>140</v>
      </c>
      <c r="B16" s="261">
        <f>IFERROR(VLOOKUP($T16,在院期間[#All],2,FALSE),0)</f>
        <v>375</v>
      </c>
      <c r="C16" s="301">
        <f t="shared" si="0"/>
        <v>2.3954008304056213E-2</v>
      </c>
      <c r="E16" s="299" t="s">
        <v>140</v>
      </c>
      <c r="F16" s="261">
        <f>IFERROR(VLOOKUP($T16,在院期間＿寛解[#All],2,FALSE),0)</f>
        <v>1</v>
      </c>
      <c r="G16" s="261">
        <f>IFERROR(VLOOKUP($T16,在院期間＿院内寛解[#All],2,FALSE),0)</f>
        <v>15</v>
      </c>
      <c r="H16" s="259">
        <f t="shared" si="1"/>
        <v>16</v>
      </c>
      <c r="I16" s="301">
        <f t="shared" si="2"/>
        <v>9.5351609058402856E-3</v>
      </c>
      <c r="K16" s="43" t="s">
        <v>194</v>
      </c>
      <c r="L16" s="60">
        <v>375</v>
      </c>
      <c r="N16" s="43" t="s">
        <v>194</v>
      </c>
      <c r="O16" s="400">
        <v>1</v>
      </c>
      <c r="P16" s="409" t="s">
        <v>194</v>
      </c>
      <c r="Q16" s="130">
        <v>15</v>
      </c>
      <c r="T16" s="407" t="s">
        <v>194</v>
      </c>
    </row>
    <row r="17" spans="1:20" x14ac:dyDescent="0.15">
      <c r="A17" s="299" t="s">
        <v>141</v>
      </c>
      <c r="B17" s="261">
        <f>IFERROR(VLOOKUP($T17,在院期間[#All],2,FALSE),0)</f>
        <v>334</v>
      </c>
      <c r="C17" s="301">
        <f t="shared" si="0"/>
        <v>2.1335036729479399E-2</v>
      </c>
      <c r="E17" s="299" t="s">
        <v>141</v>
      </c>
      <c r="F17" s="261">
        <f>IFERROR(VLOOKUP($T17,在院期間＿寛解[#All],2,FALSE),0)</f>
        <v>6</v>
      </c>
      <c r="G17" s="261">
        <f>IFERROR(VLOOKUP($T17,在院期間＿院内寛解[#All],2,FALSE),0)</f>
        <v>18</v>
      </c>
      <c r="H17" s="259">
        <f t="shared" si="1"/>
        <v>24</v>
      </c>
      <c r="I17" s="301">
        <f t="shared" si="2"/>
        <v>1.4302741358760428E-2</v>
      </c>
      <c r="K17" s="43" t="s">
        <v>195</v>
      </c>
      <c r="L17" s="60">
        <v>334</v>
      </c>
      <c r="N17" s="43" t="s">
        <v>195</v>
      </c>
      <c r="O17" s="400">
        <v>6</v>
      </c>
      <c r="P17" s="409" t="s">
        <v>195</v>
      </c>
      <c r="Q17" s="130">
        <v>18</v>
      </c>
      <c r="T17" s="408" t="s">
        <v>195</v>
      </c>
    </row>
    <row r="18" spans="1:20" x14ac:dyDescent="0.15">
      <c r="A18" s="299" t="s">
        <v>142</v>
      </c>
      <c r="B18" s="261">
        <f>IFERROR(VLOOKUP($T18,在院期間[#All],2,FALSE),0)</f>
        <v>299</v>
      </c>
      <c r="C18" s="301">
        <f t="shared" si="0"/>
        <v>1.9099329287767485E-2</v>
      </c>
      <c r="E18" s="299" t="s">
        <v>142</v>
      </c>
      <c r="F18" s="261">
        <f>IFERROR(VLOOKUP($T18,在院期間＿寛解[#All],2,FALSE),0)</f>
        <v>2</v>
      </c>
      <c r="G18" s="261">
        <f>IFERROR(VLOOKUP($T18,在院期間＿院内寛解[#All],2,FALSE),0)</f>
        <v>11</v>
      </c>
      <c r="H18" s="259">
        <f t="shared" si="1"/>
        <v>13</v>
      </c>
      <c r="I18" s="301">
        <f t="shared" si="2"/>
        <v>7.7473182359952325E-3</v>
      </c>
      <c r="K18" s="43" t="s">
        <v>196</v>
      </c>
      <c r="L18" s="60">
        <v>299</v>
      </c>
      <c r="N18" s="43" t="s">
        <v>196</v>
      </c>
      <c r="O18" s="400">
        <v>2</v>
      </c>
      <c r="P18" s="409" t="s">
        <v>196</v>
      </c>
      <c r="Q18" s="130">
        <v>11</v>
      </c>
      <c r="T18" s="407" t="s">
        <v>196</v>
      </c>
    </row>
    <row r="19" spans="1:20" x14ac:dyDescent="0.15">
      <c r="A19" s="299" t="s">
        <v>143</v>
      </c>
      <c r="B19" s="261">
        <f>IFERROR(VLOOKUP($T19,在院期間[#All],2,FALSE),0)</f>
        <v>1411</v>
      </c>
      <c r="C19" s="301">
        <f t="shared" si="0"/>
        <v>9.0130948578728845E-2</v>
      </c>
      <c r="E19" s="299" t="s">
        <v>143</v>
      </c>
      <c r="F19" s="261">
        <f>IFERROR(VLOOKUP($T19,在院期間＿寛解[#All],2,FALSE),0)</f>
        <v>10</v>
      </c>
      <c r="G19" s="261">
        <f>IFERROR(VLOOKUP($T19,在院期間＿院内寛解[#All],2,FALSE),0)</f>
        <v>75</v>
      </c>
      <c r="H19" s="259">
        <f t="shared" si="1"/>
        <v>85</v>
      </c>
      <c r="I19" s="301">
        <f t="shared" si="2"/>
        <v>5.0655542312276522E-2</v>
      </c>
      <c r="K19" s="43" t="s">
        <v>197</v>
      </c>
      <c r="L19" s="60">
        <v>1411</v>
      </c>
      <c r="N19" s="43" t="s">
        <v>197</v>
      </c>
      <c r="O19" s="400">
        <v>10</v>
      </c>
      <c r="P19" s="409" t="s">
        <v>197</v>
      </c>
      <c r="Q19" s="130">
        <v>75</v>
      </c>
      <c r="T19" s="408" t="s">
        <v>197</v>
      </c>
    </row>
    <row r="20" spans="1:20" x14ac:dyDescent="0.15">
      <c r="A20" s="299" t="s">
        <v>144</v>
      </c>
      <c r="B20" s="261">
        <f>IFERROR(VLOOKUP($T20,在院期間[#All],2,FALSE),0)</f>
        <v>893</v>
      </c>
      <c r="C20" s="301">
        <f t="shared" si="0"/>
        <v>5.7042478441392527E-2</v>
      </c>
      <c r="E20" s="299" t="s">
        <v>144</v>
      </c>
      <c r="F20" s="261">
        <f>IFERROR(VLOOKUP($T20,在院期間＿寛解[#All],2,FALSE),0)</f>
        <v>3</v>
      </c>
      <c r="G20" s="261">
        <f>IFERROR(VLOOKUP($T20,在院期間＿院内寛解[#All],2,FALSE),0)</f>
        <v>43</v>
      </c>
      <c r="H20" s="259">
        <f t="shared" si="1"/>
        <v>46</v>
      </c>
      <c r="I20" s="301">
        <f t="shared" si="2"/>
        <v>2.7413587604290822E-2</v>
      </c>
      <c r="K20" s="43" t="s">
        <v>198</v>
      </c>
      <c r="L20" s="60">
        <v>893</v>
      </c>
      <c r="N20" s="43" t="s">
        <v>198</v>
      </c>
      <c r="O20" s="400">
        <v>3</v>
      </c>
      <c r="P20" s="409" t="s">
        <v>198</v>
      </c>
      <c r="Q20" s="130">
        <v>43</v>
      </c>
      <c r="T20" s="407" t="s">
        <v>198</v>
      </c>
    </row>
    <row r="21" spans="1:20" x14ac:dyDescent="0.15">
      <c r="A21" s="302" t="s">
        <v>11</v>
      </c>
      <c r="B21" s="262">
        <f>SUM(B5:B20)</f>
        <v>15655</v>
      </c>
      <c r="C21" s="263">
        <f>SUM(C5:C20)</f>
        <v>1</v>
      </c>
      <c r="E21" s="302" t="s">
        <v>11</v>
      </c>
      <c r="F21" s="262">
        <f>SUM(F5:F20)</f>
        <v>361</v>
      </c>
      <c r="G21" s="262">
        <f>SUM(G5:G20)</f>
        <v>1317</v>
      </c>
      <c r="H21" s="262">
        <f>SUM(H5:H20)</f>
        <v>1678</v>
      </c>
      <c r="I21" s="263">
        <f>SUM(I5:I20)</f>
        <v>1</v>
      </c>
    </row>
    <row r="22" spans="1:20" x14ac:dyDescent="0.15">
      <c r="A22" s="299" t="s">
        <v>56</v>
      </c>
      <c r="B22" s="259">
        <f>SUM(B5:B8)</f>
        <v>6513</v>
      </c>
      <c r="C22" s="301">
        <f t="shared" ref="C22:C25" si="3">IFERROR(B22/B$21,"-")</f>
        <v>0.41603321622484829</v>
      </c>
      <c r="E22" s="299" t="s">
        <v>56</v>
      </c>
      <c r="F22" s="259">
        <f>SUM(F5:F8)</f>
        <v>274</v>
      </c>
      <c r="G22" s="259">
        <f>SUM(G5:G8)</f>
        <v>831</v>
      </c>
      <c r="H22" s="259">
        <f>SUM(H5:H8)</f>
        <v>1105</v>
      </c>
      <c r="I22" s="301">
        <f t="shared" ref="I22:I25" si="4">IFERROR(H22/H$21,"-")</f>
        <v>0.65852205005959474</v>
      </c>
      <c r="K22" s="382"/>
      <c r="L22" s="22"/>
      <c r="M22" s="22"/>
      <c r="N22" s="382"/>
      <c r="O22" s="22"/>
      <c r="P22" s="22"/>
      <c r="Q22" s="22"/>
    </row>
    <row r="23" spans="1:20" x14ac:dyDescent="0.15">
      <c r="A23" s="299" t="s">
        <v>57</v>
      </c>
      <c r="B23" s="259">
        <f>SUM(B9:B13)</f>
        <v>4825</v>
      </c>
      <c r="C23" s="301">
        <f t="shared" si="3"/>
        <v>0.30820824017885662</v>
      </c>
      <c r="E23" s="299" t="s">
        <v>57</v>
      </c>
      <c r="F23" s="259">
        <f>SUM(F9:F13)</f>
        <v>61</v>
      </c>
      <c r="G23" s="259">
        <f>SUM(G9:G13)</f>
        <v>270</v>
      </c>
      <c r="H23" s="259">
        <f>SUM(H9:H13)</f>
        <v>331</v>
      </c>
      <c r="I23" s="301">
        <f t="shared" si="4"/>
        <v>0.19725864123957093</v>
      </c>
      <c r="K23" s="383"/>
      <c r="L23" s="22"/>
      <c r="M23" s="22"/>
      <c r="N23" s="383"/>
      <c r="O23" s="22"/>
      <c r="P23" s="22"/>
      <c r="Q23" s="22"/>
    </row>
    <row r="24" spans="1:20" x14ac:dyDescent="0.15">
      <c r="A24" s="299" t="s">
        <v>58</v>
      </c>
      <c r="B24" s="259">
        <f>SUM(B14:B18)</f>
        <v>2013</v>
      </c>
      <c r="C24" s="301">
        <f t="shared" si="3"/>
        <v>0.12858511657617375</v>
      </c>
      <c r="E24" s="299" t="s">
        <v>58</v>
      </c>
      <c r="F24" s="259">
        <f>SUM(F14:F18)</f>
        <v>13</v>
      </c>
      <c r="G24" s="259">
        <f>SUM(G14:G18)</f>
        <v>98</v>
      </c>
      <c r="H24" s="259">
        <f>SUM(H14:H18)</f>
        <v>111</v>
      </c>
      <c r="I24" s="301">
        <f t="shared" si="4"/>
        <v>6.6150178784266989E-2</v>
      </c>
      <c r="K24" s="383"/>
      <c r="L24" s="22"/>
      <c r="M24" s="22"/>
      <c r="N24" s="383"/>
      <c r="O24" s="22"/>
      <c r="P24" s="22"/>
      <c r="Q24" s="22"/>
    </row>
    <row r="25" spans="1:20" x14ac:dyDescent="0.15">
      <c r="A25" s="299" t="s">
        <v>59</v>
      </c>
      <c r="B25" s="259">
        <f>SUM(B19:B20)</f>
        <v>2304</v>
      </c>
      <c r="C25" s="301">
        <f t="shared" si="3"/>
        <v>0.14717342702012137</v>
      </c>
      <c r="E25" s="299" t="s">
        <v>59</v>
      </c>
      <c r="F25" s="259">
        <f>SUM(F19:F20)</f>
        <v>13</v>
      </c>
      <c r="G25" s="259">
        <f>SUM(G19:G20)</f>
        <v>118</v>
      </c>
      <c r="H25" s="259">
        <f>SUM(H19:H20)</f>
        <v>131</v>
      </c>
      <c r="I25" s="301">
        <f t="shared" si="4"/>
        <v>7.8069129916567337E-2</v>
      </c>
      <c r="K25" s="382"/>
      <c r="L25" s="22"/>
      <c r="M25" s="22"/>
      <c r="N25" s="382"/>
      <c r="O25" s="22"/>
      <c r="P25" s="22"/>
      <c r="Q25" s="22"/>
    </row>
    <row r="28" spans="1:20" x14ac:dyDescent="0.15">
      <c r="E28" s="202"/>
    </row>
    <row r="29" spans="1:20" x14ac:dyDescent="0.15">
      <c r="A29" s="46"/>
      <c r="B29" s="47"/>
      <c r="C29" s="47"/>
      <c r="E29" s="46"/>
      <c r="F29" s="47"/>
      <c r="G29" s="47"/>
      <c r="I29" s="46"/>
      <c r="J29" s="47"/>
      <c r="K29" s="47"/>
    </row>
    <row r="30" spans="1:20" x14ac:dyDescent="0.15">
      <c r="A30" s="7"/>
      <c r="B30" s="8"/>
      <c r="C30" s="203"/>
      <c r="D30" s="22"/>
      <c r="E30" s="7"/>
      <c r="F30" s="8"/>
      <c r="G30" s="203"/>
      <c r="H30" s="22"/>
      <c r="I30" s="7"/>
      <c r="J30" s="8"/>
      <c r="K30" s="203"/>
      <c r="L30" s="22"/>
      <c r="M30" s="22"/>
      <c r="N30" s="22"/>
    </row>
    <row r="31" spans="1:20" x14ac:dyDescent="0.15">
      <c r="A31" s="7"/>
      <c r="B31" s="8"/>
      <c r="C31" s="203"/>
      <c r="D31" s="22"/>
      <c r="E31" s="7"/>
      <c r="F31" s="8"/>
      <c r="G31" s="203"/>
      <c r="H31" s="22"/>
      <c r="I31" s="7"/>
      <c r="J31" s="8"/>
      <c r="K31" s="203"/>
      <c r="L31" s="22"/>
      <c r="M31" s="22"/>
      <c r="N31" s="22"/>
    </row>
    <row r="32" spans="1:20" x14ac:dyDescent="0.15">
      <c r="A32" s="7"/>
      <c r="B32" s="8"/>
      <c r="C32" s="203"/>
      <c r="D32" s="22"/>
      <c r="E32" s="7"/>
      <c r="F32" s="8"/>
      <c r="G32" s="203"/>
      <c r="H32" s="22"/>
      <c r="I32" s="7"/>
      <c r="J32" s="8"/>
      <c r="K32" s="203"/>
      <c r="L32" s="22"/>
      <c r="M32" s="22"/>
      <c r="N32" s="22"/>
    </row>
    <row r="33" spans="1:14" x14ac:dyDescent="0.15">
      <c r="A33" s="7"/>
      <c r="B33" s="8"/>
      <c r="C33" s="203"/>
      <c r="D33" s="22"/>
      <c r="E33" s="7"/>
      <c r="F33" s="8"/>
      <c r="G33" s="203"/>
      <c r="H33" s="22"/>
      <c r="I33" s="7"/>
      <c r="J33" s="8"/>
      <c r="K33" s="203"/>
      <c r="L33" s="22"/>
      <c r="M33" s="22"/>
      <c r="N33" s="22"/>
    </row>
    <row r="34" spans="1:14" x14ac:dyDescent="0.15">
      <c r="A34" s="7"/>
      <c r="B34" s="8"/>
      <c r="C34" s="203"/>
      <c r="D34" s="22"/>
      <c r="E34" s="7"/>
      <c r="F34" s="8"/>
      <c r="G34" s="203"/>
      <c r="H34" s="22"/>
      <c r="I34" s="7"/>
      <c r="J34" s="8"/>
      <c r="K34" s="203"/>
      <c r="L34" s="22"/>
      <c r="M34" s="22"/>
      <c r="N34" s="22"/>
    </row>
    <row r="35" spans="1:14" x14ac:dyDescent="0.15">
      <c r="A35" s="7"/>
      <c r="B35" s="8"/>
      <c r="C35" s="203"/>
      <c r="D35" s="22"/>
      <c r="E35" s="7"/>
      <c r="F35" s="8"/>
      <c r="G35" s="203"/>
      <c r="H35" s="22"/>
      <c r="I35" s="7"/>
      <c r="J35" s="8"/>
      <c r="K35" s="203"/>
      <c r="L35" s="22"/>
      <c r="M35" s="22"/>
      <c r="N35" s="22"/>
    </row>
    <row r="36" spans="1:14" x14ac:dyDescent="0.15">
      <c r="A36" s="7"/>
      <c r="B36" s="8"/>
      <c r="C36" s="203"/>
      <c r="D36" s="22"/>
      <c r="E36" s="7"/>
      <c r="F36" s="8"/>
      <c r="G36" s="203"/>
      <c r="H36" s="22"/>
      <c r="I36" s="7"/>
      <c r="J36" s="8"/>
      <c r="K36" s="203"/>
      <c r="L36" s="22"/>
      <c r="M36" s="22"/>
      <c r="N36" s="22"/>
    </row>
    <row r="37" spans="1:14" x14ac:dyDescent="0.15">
      <c r="A37" s="7"/>
      <c r="B37" s="8"/>
      <c r="C37" s="203"/>
      <c r="D37" s="22"/>
      <c r="E37" s="7"/>
      <c r="F37" s="8"/>
      <c r="G37" s="203"/>
      <c r="H37" s="22"/>
      <c r="I37" s="7"/>
      <c r="J37" s="8"/>
      <c r="K37" s="203"/>
      <c r="L37" s="22"/>
      <c r="M37" s="22"/>
      <c r="N37" s="22"/>
    </row>
    <row r="38" spans="1:14" x14ac:dyDescent="0.15">
      <c r="A38" s="7"/>
      <c r="B38" s="8"/>
      <c r="C38" s="203"/>
      <c r="D38" s="22"/>
      <c r="E38" s="7"/>
      <c r="F38" s="8"/>
      <c r="G38" s="203"/>
      <c r="H38" s="22"/>
      <c r="I38" s="7"/>
      <c r="J38" s="8"/>
      <c r="K38" s="203"/>
      <c r="L38" s="22"/>
      <c r="M38" s="22"/>
      <c r="N38" s="22"/>
    </row>
    <row r="39" spans="1:14" x14ac:dyDescent="0.15">
      <c r="A39" s="7"/>
      <c r="B39" s="8"/>
      <c r="C39" s="203"/>
      <c r="D39" s="22"/>
      <c r="E39" s="7"/>
      <c r="F39" s="8"/>
      <c r="G39" s="203"/>
      <c r="H39" s="22"/>
      <c r="I39" s="7"/>
      <c r="J39" s="8"/>
      <c r="K39" s="203"/>
      <c r="L39" s="22"/>
      <c r="M39" s="22"/>
      <c r="N39" s="22"/>
    </row>
    <row r="40" spans="1:14" x14ac:dyDescent="0.15">
      <c r="A40" s="7"/>
      <c r="B40" s="8"/>
      <c r="C40" s="203"/>
      <c r="D40" s="22"/>
      <c r="E40" s="7"/>
      <c r="F40" s="8"/>
      <c r="G40" s="203"/>
      <c r="H40" s="22"/>
      <c r="I40" s="7"/>
      <c r="J40" s="8"/>
      <c r="K40" s="203"/>
      <c r="L40" s="22"/>
      <c r="M40" s="22"/>
      <c r="N40" s="22"/>
    </row>
    <row r="41" spans="1:14" x14ac:dyDescent="0.15">
      <c r="A41" s="7"/>
      <c r="B41" s="8"/>
      <c r="C41" s="203"/>
      <c r="D41" s="22"/>
      <c r="E41" s="7"/>
      <c r="F41" s="8"/>
      <c r="G41" s="203"/>
      <c r="H41" s="22"/>
      <c r="I41" s="7"/>
      <c r="J41" s="8"/>
      <c r="K41" s="203"/>
      <c r="L41" s="22"/>
      <c r="M41" s="22"/>
      <c r="N41" s="22"/>
    </row>
    <row r="42" spans="1:14" x14ac:dyDescent="0.15">
      <c r="A42" s="7"/>
      <c r="B42" s="8"/>
      <c r="C42" s="203"/>
      <c r="D42" s="22"/>
      <c r="E42" s="7"/>
      <c r="F42" s="8"/>
      <c r="G42" s="203"/>
      <c r="H42" s="22"/>
      <c r="I42" s="7"/>
      <c r="J42" s="8"/>
      <c r="K42" s="203"/>
      <c r="L42" s="22"/>
      <c r="M42" s="22"/>
      <c r="N42" s="22"/>
    </row>
    <row r="43" spans="1:14" x14ac:dyDescent="0.15">
      <c r="A43" s="7"/>
      <c r="B43" s="8"/>
      <c r="C43" s="203"/>
      <c r="D43" s="22"/>
      <c r="E43" s="7"/>
      <c r="F43" s="8"/>
      <c r="G43" s="203"/>
      <c r="H43" s="22"/>
      <c r="I43" s="7"/>
      <c r="J43" s="8"/>
      <c r="K43" s="203"/>
      <c r="L43" s="22"/>
      <c r="M43" s="22"/>
      <c r="N43" s="22"/>
    </row>
    <row r="44" spans="1:14" x14ac:dyDescent="0.15">
      <c r="A44" s="7"/>
      <c r="B44" s="8"/>
      <c r="C44" s="203"/>
      <c r="D44" s="22"/>
      <c r="E44" s="7"/>
      <c r="F44" s="8"/>
      <c r="G44" s="203"/>
      <c r="H44" s="22"/>
      <c r="I44" s="7"/>
      <c r="J44" s="8"/>
      <c r="K44" s="203"/>
      <c r="L44" s="22"/>
      <c r="M44" s="22"/>
      <c r="N44" s="22"/>
    </row>
    <row r="45" spans="1:14" x14ac:dyDescent="0.15">
      <c r="A45" s="38"/>
      <c r="B45" s="39"/>
      <c r="C45" s="149"/>
      <c r="E45" s="50"/>
      <c r="F45" s="51"/>
      <c r="G45" s="204"/>
      <c r="I45" s="38"/>
      <c r="J45" s="39"/>
      <c r="K45" s="149"/>
    </row>
    <row r="46" spans="1:14" x14ac:dyDescent="0.15">
      <c r="A46" s="50"/>
      <c r="B46" s="51"/>
      <c r="C46" s="204"/>
      <c r="D46" s="22"/>
      <c r="E46" s="22"/>
      <c r="F46" s="22"/>
      <c r="G46" s="22"/>
      <c r="H46" s="22"/>
      <c r="I46" s="50"/>
      <c r="J46" s="51"/>
      <c r="K46" s="204"/>
      <c r="L46" s="22"/>
      <c r="M46" s="22"/>
    </row>
    <row r="47" spans="1:14" x14ac:dyDescent="0.15">
      <c r="A47" s="22"/>
      <c r="B47" s="22"/>
      <c r="C47" s="22"/>
      <c r="D47" s="22"/>
      <c r="E47" s="22"/>
      <c r="F47" s="22"/>
      <c r="G47" s="22"/>
      <c r="H47" s="22"/>
      <c r="I47" s="22"/>
      <c r="J47" s="22"/>
      <c r="K47" s="22"/>
      <c r="L47" s="22"/>
      <c r="M47" s="22"/>
    </row>
  </sheetData>
  <phoneticPr fontId="2"/>
  <pageMargins left="0.70866141732283472" right="0.70866141732283472" top="0.74803149606299213" bottom="0.74803149606299213" header="0.31496062992125984" footer="0.31496062992125984"/>
  <pageSetup paperSize="11" scale="72" orientation="landscape" r:id="rId1"/>
  <colBreaks count="1" manualBreakCount="1">
    <brk id="4" max="24" man="1"/>
  </colBreaks>
  <drawing r:id="rId2"/>
  <legacyDrawing r:id="rId3"/>
  <mc:AlternateContent xmlns:mc="http://schemas.openxmlformats.org/markup-compatibility/2006">
    <mc:Choice Requires="x14">
      <controls>
        <mc:AlternateContent xmlns:mc="http://schemas.openxmlformats.org/markup-compatibility/2006">
          <mc:Choice Requires="x14">
            <control shapeId="9217" r:id="rId4" name="Button 1">
              <controlPr defaultSize="0" print="0" autoFill="0" autoPict="0" macro="[0]!データ削除4">
                <anchor moveWithCells="1" sizeWithCells="1">
                  <from>
                    <xdr:col>17</xdr:col>
                    <xdr:colOff>561975</xdr:colOff>
                    <xdr:row>2</xdr:row>
                    <xdr:rowOff>219075</xdr:rowOff>
                  </from>
                  <to>
                    <xdr:col>20</xdr:col>
                    <xdr:colOff>333375</xdr:colOff>
                    <xdr:row>4</xdr:row>
                    <xdr:rowOff>180975</xdr:rowOff>
                  </to>
                </anchor>
              </controlPr>
            </control>
          </mc:Choice>
        </mc:AlternateContent>
      </controls>
    </mc:Choice>
  </mc:AlternateContent>
  <tableParts count="3">
    <tablePart r:id="rId5"/>
    <tablePart r:id="rId6"/>
    <tablePart r:id="rId7"/>
  </tablePart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6" tint="-0.249977111117893"/>
    <pageSetUpPr fitToPage="1"/>
  </sheetPr>
  <dimension ref="A1:G11"/>
  <sheetViews>
    <sheetView view="pageBreakPreview" zoomScaleNormal="100" zoomScaleSheetLayoutView="100" workbookViewId="0">
      <selection activeCell="E1" sqref="E1:G1048576"/>
    </sheetView>
  </sheetViews>
  <sheetFormatPr defaultRowHeight="18.75" x14ac:dyDescent="0.15"/>
  <cols>
    <col min="1" max="1" width="13.625" style="1" customWidth="1"/>
    <col min="2" max="4" width="10.75" style="1" customWidth="1"/>
    <col min="5" max="5" width="11" style="1" hidden="1" customWidth="1"/>
    <col min="6" max="6" width="7.375" style="1" hidden="1" customWidth="1"/>
    <col min="7" max="7" width="5" style="1" hidden="1" customWidth="1"/>
    <col min="8" max="8" width="6.625" style="1" customWidth="1"/>
    <col min="9" max="9" width="7.375" style="1" customWidth="1"/>
    <col min="10" max="16384" width="9" style="1"/>
  </cols>
  <sheetData>
    <row r="1" spans="1:3" s="3" customFormat="1" ht="19.5" x14ac:dyDescent="0.15">
      <c r="A1" s="2" t="s">
        <v>145</v>
      </c>
    </row>
    <row r="2" spans="1:3" x14ac:dyDescent="0.15">
      <c r="A2" s="4"/>
    </row>
    <row r="3" spans="1:3" s="3" customFormat="1" ht="19.5" x14ac:dyDescent="0.15">
      <c r="A3" s="4" t="s">
        <v>13</v>
      </c>
    </row>
    <row r="4" spans="1:3" x14ac:dyDescent="0.15">
      <c r="A4" s="258"/>
      <c r="B4" s="258" t="s">
        <v>0</v>
      </c>
      <c r="C4" s="258" t="s">
        <v>1</v>
      </c>
    </row>
    <row r="5" spans="1:3" x14ac:dyDescent="0.15">
      <c r="A5" s="299" t="s">
        <v>28</v>
      </c>
      <c r="B5" s="261">
        <v>361</v>
      </c>
      <c r="C5" s="301">
        <f>IFERROR(B5/B$11,"-")</f>
        <v>2.3059725327371446E-2</v>
      </c>
    </row>
    <row r="6" spans="1:3" x14ac:dyDescent="0.15">
      <c r="A6" s="299" t="s">
        <v>29</v>
      </c>
      <c r="B6" s="261">
        <v>1317</v>
      </c>
      <c r="C6" s="301">
        <f t="shared" ref="C6:C10" si="0">IFERROR(B6/B$11,"-")</f>
        <v>8.4126477163845415E-2</v>
      </c>
    </row>
    <row r="7" spans="1:3" x14ac:dyDescent="0.15">
      <c r="A7" s="299" t="s">
        <v>30</v>
      </c>
      <c r="B7" s="261">
        <v>3063</v>
      </c>
      <c r="C7" s="301">
        <f t="shared" si="0"/>
        <v>0.19565633982753114</v>
      </c>
    </row>
    <row r="8" spans="1:3" x14ac:dyDescent="0.15">
      <c r="A8" s="299" t="s">
        <v>31</v>
      </c>
      <c r="B8" s="261">
        <v>6157</v>
      </c>
      <c r="C8" s="301">
        <f t="shared" si="0"/>
        <v>0.39329287767486426</v>
      </c>
    </row>
    <row r="9" spans="1:3" x14ac:dyDescent="0.15">
      <c r="A9" s="299" t="s">
        <v>32</v>
      </c>
      <c r="B9" s="261">
        <v>3948</v>
      </c>
      <c r="C9" s="301">
        <f t="shared" si="0"/>
        <v>0.25218779942510378</v>
      </c>
    </row>
    <row r="10" spans="1:3" x14ac:dyDescent="0.15">
      <c r="A10" s="299" t="s">
        <v>33</v>
      </c>
      <c r="B10" s="261">
        <v>809</v>
      </c>
      <c r="C10" s="301">
        <f t="shared" si="0"/>
        <v>5.1676780581283936E-2</v>
      </c>
    </row>
    <row r="11" spans="1:3" x14ac:dyDescent="0.15">
      <c r="A11" s="302" t="s">
        <v>11</v>
      </c>
      <c r="B11" s="262">
        <f>SUM(B5:B10)</f>
        <v>15655</v>
      </c>
      <c r="C11" s="263">
        <f>SUM(C5:C10)</f>
        <v>1</v>
      </c>
    </row>
  </sheetData>
  <phoneticPr fontId="2"/>
  <pageMargins left="0.70866141732283472" right="0.70866141732283472" top="0.74803149606299213" bottom="0.74803149606299213" header="0.31496062992125984" footer="0.31496062992125984"/>
  <pageSetup paperSize="11"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41" r:id="rId4" name="Button 1">
              <controlPr defaultSize="0" print="0" autoFill="0" autoPict="0" macro="[0]!データ削除5">
                <anchor moveWithCells="1" sizeWithCells="1">
                  <from>
                    <xdr:col>4</xdr:col>
                    <xdr:colOff>57150</xdr:colOff>
                    <xdr:row>1</xdr:row>
                    <xdr:rowOff>190500</xdr:rowOff>
                  </from>
                  <to>
                    <xdr:col>5</xdr:col>
                    <xdr:colOff>466725</xdr:colOff>
                    <xdr:row>3</xdr:row>
                    <xdr:rowOff>142875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6" tint="-0.249977111117893"/>
    <pageSetUpPr fitToPage="1"/>
  </sheetPr>
  <dimension ref="A1:M95"/>
  <sheetViews>
    <sheetView showGridLines="0" view="pageBreakPreview" zoomScale="70" zoomScaleNormal="130" zoomScaleSheetLayoutView="70" workbookViewId="0">
      <selection activeCell="K1" sqref="K1:L1048576"/>
    </sheetView>
  </sheetViews>
  <sheetFormatPr defaultRowHeight="18.75" x14ac:dyDescent="0.15"/>
  <cols>
    <col min="1" max="1" width="62.5" style="1" customWidth="1"/>
    <col min="2" max="3" width="9.375" style="1" customWidth="1"/>
    <col min="4" max="4" width="4.125" style="1" customWidth="1"/>
    <col min="5" max="5" width="43.75" style="1" customWidth="1"/>
    <col min="6" max="9" width="9.375" style="1" customWidth="1"/>
    <col min="10" max="10" width="6.25" style="1" customWidth="1"/>
    <col min="11" max="11" width="6.25" style="1" hidden="1" customWidth="1"/>
    <col min="12" max="12" width="47.25" style="1" hidden="1" customWidth="1"/>
    <col min="13" max="13" width="9.5" style="1" customWidth="1"/>
    <col min="14" max="14" width="49.625" style="1" customWidth="1"/>
    <col min="15" max="15" width="32.75" style="1" customWidth="1"/>
    <col min="16" max="16" width="57.125" style="1" customWidth="1"/>
    <col min="17" max="17" width="55.25" style="1" customWidth="1"/>
    <col min="18" max="18" width="25.25" style="1" customWidth="1"/>
    <col min="19" max="19" width="47.875" style="1" bestFit="1" customWidth="1"/>
    <col min="20" max="20" width="34" style="1" customWidth="1"/>
    <col min="21" max="21" width="25.25" style="1" customWidth="1"/>
    <col min="22" max="22" width="55.25" style="1" customWidth="1"/>
    <col min="23" max="23" width="41.5" style="1" customWidth="1"/>
    <col min="24" max="24" width="32.75" style="1" customWidth="1"/>
    <col min="25" max="26" width="47.875" style="1" bestFit="1" customWidth="1"/>
    <col min="27" max="27" width="29" style="1" bestFit="1" customWidth="1"/>
    <col min="28" max="28" width="55.25" style="1" bestFit="1" customWidth="1"/>
    <col min="29" max="29" width="41.5" style="1" bestFit="1" customWidth="1"/>
    <col min="30" max="30" width="32.75" style="1" bestFit="1" customWidth="1"/>
    <col min="31" max="16384" width="9" style="1"/>
  </cols>
  <sheetData>
    <row r="1" spans="1:9" s="3" customFormat="1" ht="19.5" x14ac:dyDescent="0.15">
      <c r="A1" s="194" t="s">
        <v>231</v>
      </c>
    </row>
    <row r="2" spans="1:9" x14ac:dyDescent="0.15">
      <c r="A2" s="4"/>
    </row>
    <row r="3" spans="1:9" x14ac:dyDescent="0.15">
      <c r="A3" s="4" t="s">
        <v>13</v>
      </c>
      <c r="E3" s="4" t="s">
        <v>114</v>
      </c>
    </row>
    <row r="4" spans="1:9" x14ac:dyDescent="0.15">
      <c r="A4" s="307"/>
      <c r="B4" s="258" t="s">
        <v>0</v>
      </c>
      <c r="C4" s="258" t="s">
        <v>1</v>
      </c>
      <c r="E4" s="307"/>
      <c r="F4" s="258" t="s">
        <v>115</v>
      </c>
      <c r="G4" s="306" t="s">
        <v>117</v>
      </c>
      <c r="H4" s="258" t="s">
        <v>12</v>
      </c>
      <c r="I4" s="258" t="s">
        <v>1</v>
      </c>
    </row>
    <row r="5" spans="1:9" ht="37.5" x14ac:dyDescent="0.15">
      <c r="A5" s="308" t="s">
        <v>232</v>
      </c>
      <c r="B5" s="309">
        <v>2514</v>
      </c>
      <c r="C5" s="301">
        <f>IFERROR(B5/B$8,"-")</f>
        <v>0.16058767167039284</v>
      </c>
      <c r="E5" s="308" t="s">
        <v>232</v>
      </c>
      <c r="F5" s="259">
        <v>95</v>
      </c>
      <c r="G5" s="259">
        <v>613</v>
      </c>
      <c r="H5" s="259">
        <f>SUM(F5:G5)</f>
        <v>708</v>
      </c>
      <c r="I5" s="301">
        <f>IFERROR(H5/H$8,"-")</f>
        <v>0.42193087008343266</v>
      </c>
    </row>
    <row r="6" spans="1:9" x14ac:dyDescent="0.15">
      <c r="A6" s="303" t="s">
        <v>233</v>
      </c>
      <c r="B6" s="261">
        <v>11300</v>
      </c>
      <c r="C6" s="301">
        <f t="shared" ref="C6:C7" si="0">IFERROR(B6/B$8,"-")</f>
        <v>0.72181411689556052</v>
      </c>
      <c r="E6" s="303" t="s">
        <v>233</v>
      </c>
      <c r="F6" s="261">
        <v>8</v>
      </c>
      <c r="G6" s="261">
        <v>178</v>
      </c>
      <c r="H6" s="259">
        <f t="shared" ref="H6:H7" si="1">SUM(F6:G6)</f>
        <v>186</v>
      </c>
      <c r="I6" s="301">
        <f t="shared" ref="I6:I7" si="2">IFERROR(H6/H$8,"-")</f>
        <v>0.11084624553039332</v>
      </c>
    </row>
    <row r="7" spans="1:9" x14ac:dyDescent="0.15">
      <c r="A7" s="303" t="s">
        <v>234</v>
      </c>
      <c r="B7" s="261">
        <v>1841</v>
      </c>
      <c r="C7" s="301">
        <f t="shared" si="0"/>
        <v>0.11759821143404663</v>
      </c>
      <c r="E7" s="303" t="s">
        <v>234</v>
      </c>
      <c r="F7" s="261">
        <v>258</v>
      </c>
      <c r="G7" s="261">
        <v>526</v>
      </c>
      <c r="H7" s="259">
        <f t="shared" si="1"/>
        <v>784</v>
      </c>
      <c r="I7" s="301">
        <f t="shared" si="2"/>
        <v>0.46722288438617404</v>
      </c>
    </row>
    <row r="8" spans="1:9" x14ac:dyDescent="0.15">
      <c r="A8" s="302" t="s">
        <v>11</v>
      </c>
      <c r="B8" s="262">
        <f>SUM(B5:B7)</f>
        <v>15655</v>
      </c>
      <c r="C8" s="263">
        <f>SUM(C5:C7)</f>
        <v>1</v>
      </c>
      <c r="E8" s="302" t="s">
        <v>11</v>
      </c>
      <c r="F8" s="262">
        <f>SUM(F5:F7)</f>
        <v>361</v>
      </c>
      <c r="G8" s="262">
        <f>SUM(G5:G7)</f>
        <v>1317</v>
      </c>
      <c r="H8" s="262">
        <f>SUM(H5:H7)</f>
        <v>1678</v>
      </c>
      <c r="I8" s="263">
        <f>SUM(I5:I7)</f>
        <v>1</v>
      </c>
    </row>
    <row r="9" spans="1:9" x14ac:dyDescent="0.15">
      <c r="A9" s="4"/>
    </row>
    <row r="10" spans="1:9" s="3" customFormat="1" ht="19.5" x14ac:dyDescent="0.15">
      <c r="A10" s="194" t="s">
        <v>54</v>
      </c>
    </row>
    <row r="11" spans="1:9" x14ac:dyDescent="0.15">
      <c r="A11" s="4"/>
    </row>
    <row r="12" spans="1:9" x14ac:dyDescent="0.15">
      <c r="A12" s="4" t="s">
        <v>13</v>
      </c>
      <c r="E12" s="4" t="s">
        <v>114</v>
      </c>
    </row>
    <row r="13" spans="1:9" x14ac:dyDescent="0.15">
      <c r="A13" s="307"/>
      <c r="B13" s="258" t="s">
        <v>0</v>
      </c>
      <c r="C13" s="258" t="s">
        <v>1</v>
      </c>
      <c r="E13" s="307"/>
      <c r="F13" s="258" t="s">
        <v>115</v>
      </c>
      <c r="G13" s="306" t="s">
        <v>117</v>
      </c>
      <c r="H13" s="258" t="s">
        <v>12</v>
      </c>
      <c r="I13" s="258" t="s">
        <v>1</v>
      </c>
    </row>
    <row r="14" spans="1:9" x14ac:dyDescent="0.15">
      <c r="A14" s="303" t="s">
        <v>34</v>
      </c>
      <c r="B14" s="309">
        <v>2318</v>
      </c>
      <c r="C14" s="301">
        <f>IFERROR(B14/B$16,"-")</f>
        <v>0.92203659506762137</v>
      </c>
      <c r="E14" s="303" t="s">
        <v>34</v>
      </c>
      <c r="F14" s="23">
        <v>87</v>
      </c>
      <c r="G14" s="305">
        <v>569</v>
      </c>
      <c r="H14" s="259">
        <f>SUM(F14:G14)</f>
        <v>656</v>
      </c>
      <c r="I14" s="301">
        <f>IFERROR(H14/H$16,"-")</f>
        <v>0.92655367231638419</v>
      </c>
    </row>
    <row r="15" spans="1:9" x14ac:dyDescent="0.15">
      <c r="A15" s="303" t="s">
        <v>35</v>
      </c>
      <c r="B15" s="261">
        <v>196</v>
      </c>
      <c r="C15" s="301">
        <f>IFERROR(B15/B$16,"-")</f>
        <v>7.7963404932378674E-2</v>
      </c>
      <c r="E15" s="303" t="s">
        <v>35</v>
      </c>
      <c r="F15" s="261">
        <v>8</v>
      </c>
      <c r="G15" s="305">
        <v>44</v>
      </c>
      <c r="H15" s="259">
        <f t="shared" ref="H15" si="3">SUM(F15:G15)</f>
        <v>52</v>
      </c>
      <c r="I15" s="301">
        <f>IFERROR(H15/H$16,"-")</f>
        <v>7.3446327683615822E-2</v>
      </c>
    </row>
    <row r="16" spans="1:9" x14ac:dyDescent="0.15">
      <c r="A16" s="302" t="s">
        <v>11</v>
      </c>
      <c r="B16" s="262">
        <f>SUM(B14:B15)</f>
        <v>2514</v>
      </c>
      <c r="C16" s="263">
        <f>SUM(C14:C15)</f>
        <v>1</v>
      </c>
      <c r="E16" s="302" t="s">
        <v>11</v>
      </c>
      <c r="F16" s="262">
        <f>SUM(F14:F15)</f>
        <v>95</v>
      </c>
      <c r="G16" s="262">
        <f>SUM(G14:G15)</f>
        <v>613</v>
      </c>
      <c r="H16" s="262">
        <f>SUM(H14:H15)</f>
        <v>708</v>
      </c>
      <c r="I16" s="263">
        <f>SUM(I14:I15)</f>
        <v>1</v>
      </c>
    </row>
    <row r="17" spans="1:13" x14ac:dyDescent="0.15">
      <c r="A17" s="4"/>
    </row>
    <row r="18" spans="1:13" s="3" customFormat="1" ht="19.5" x14ac:dyDescent="0.15">
      <c r="A18" s="2" t="s">
        <v>55</v>
      </c>
    </row>
    <row r="19" spans="1:13" x14ac:dyDescent="0.15">
      <c r="A19" s="4"/>
    </row>
    <row r="20" spans="1:13" x14ac:dyDescent="0.15">
      <c r="A20" s="4" t="s">
        <v>13</v>
      </c>
      <c r="B20" s="370"/>
      <c r="C20" s="370"/>
      <c r="E20" s="4" t="s">
        <v>114</v>
      </c>
    </row>
    <row r="21" spans="1:13" x14ac:dyDescent="0.15">
      <c r="A21" s="617">
        <f>B14</f>
        <v>2318</v>
      </c>
      <c r="B21" s="617"/>
      <c r="C21" s="617"/>
      <c r="E21" s="618">
        <f>H14</f>
        <v>656</v>
      </c>
      <c r="F21" s="618"/>
      <c r="G21" s="618"/>
      <c r="H21" s="618"/>
      <c r="I21" s="618"/>
    </row>
    <row r="22" spans="1:13" x14ac:dyDescent="0.15">
      <c r="A22" s="307"/>
      <c r="B22" s="258" t="s">
        <v>37</v>
      </c>
      <c r="C22" s="258" t="s">
        <v>1</v>
      </c>
      <c r="E22" s="307"/>
      <c r="F22" s="258" t="s">
        <v>115</v>
      </c>
      <c r="G22" s="306" t="s">
        <v>117</v>
      </c>
      <c r="H22" s="258" t="s">
        <v>12</v>
      </c>
      <c r="I22" s="258" t="s">
        <v>1</v>
      </c>
    </row>
    <row r="23" spans="1:13" ht="56.25" customHeight="1" x14ac:dyDescent="0.15">
      <c r="A23" s="310" t="s">
        <v>235</v>
      </c>
      <c r="B23" s="311">
        <v>890</v>
      </c>
      <c r="C23" s="312">
        <f>IFERROR(B23/B$14,"-")</f>
        <v>0.3839516824849008</v>
      </c>
      <c r="D23" s="139"/>
      <c r="E23" s="310" t="s">
        <v>236</v>
      </c>
      <c r="F23" s="305">
        <v>18</v>
      </c>
      <c r="G23" s="305">
        <v>199</v>
      </c>
      <c r="H23" s="259">
        <f>SUM(F23:G23)</f>
        <v>217</v>
      </c>
      <c r="I23" s="301">
        <f>IFERROR(H23/H$14,"-")</f>
        <v>0.33079268292682928</v>
      </c>
      <c r="L23" s="142"/>
      <c r="M23" s="142"/>
    </row>
    <row r="24" spans="1:13" x14ac:dyDescent="0.15">
      <c r="A24" s="313" t="s">
        <v>146</v>
      </c>
      <c r="B24" s="311">
        <v>733</v>
      </c>
      <c r="C24" s="312">
        <f t="shared" ref="C24:C40" si="4">IFERROR(B24/B$14,"-")</f>
        <v>0.31622088006902505</v>
      </c>
      <c r="D24" s="139"/>
      <c r="E24" s="313" t="s">
        <v>66</v>
      </c>
      <c r="F24" s="305">
        <v>17</v>
      </c>
      <c r="G24" s="305">
        <v>127</v>
      </c>
      <c r="H24" s="259">
        <f t="shared" ref="H24:H40" si="5">SUM(F24:G24)</f>
        <v>144</v>
      </c>
      <c r="I24" s="301">
        <f t="shared" ref="I24:I40" si="6">IFERROR(H24/H$14,"-")</f>
        <v>0.21951219512195122</v>
      </c>
      <c r="L24" s="38"/>
      <c r="M24" s="23"/>
    </row>
    <row r="25" spans="1:13" x14ac:dyDescent="0.15">
      <c r="A25" s="313" t="s">
        <v>38</v>
      </c>
      <c r="B25" s="311">
        <v>166</v>
      </c>
      <c r="C25" s="312">
        <f t="shared" si="4"/>
        <v>7.1613459879206212E-2</v>
      </c>
      <c r="D25" s="139"/>
      <c r="E25" s="313" t="s">
        <v>38</v>
      </c>
      <c r="F25" s="305">
        <v>4</v>
      </c>
      <c r="G25" s="305">
        <v>32</v>
      </c>
      <c r="H25" s="259">
        <f t="shared" si="5"/>
        <v>36</v>
      </c>
      <c r="I25" s="301">
        <f t="shared" si="6"/>
        <v>5.4878048780487805E-2</v>
      </c>
      <c r="L25" s="38"/>
      <c r="M25" s="23"/>
    </row>
    <row r="26" spans="1:13" x14ac:dyDescent="0.15">
      <c r="A26" s="313" t="s">
        <v>39</v>
      </c>
      <c r="B26" s="311">
        <v>855</v>
      </c>
      <c r="C26" s="312">
        <f t="shared" si="4"/>
        <v>0.36885245901639346</v>
      </c>
      <c r="D26" s="139"/>
      <c r="E26" s="313" t="s">
        <v>39</v>
      </c>
      <c r="F26" s="305">
        <v>24</v>
      </c>
      <c r="G26" s="305">
        <v>216</v>
      </c>
      <c r="H26" s="259">
        <f t="shared" si="5"/>
        <v>240</v>
      </c>
      <c r="I26" s="301">
        <f t="shared" si="6"/>
        <v>0.36585365853658536</v>
      </c>
      <c r="L26" s="38"/>
      <c r="M26" s="23"/>
    </row>
    <row r="27" spans="1:13" x14ac:dyDescent="0.15">
      <c r="A27" s="313" t="s">
        <v>40</v>
      </c>
      <c r="B27" s="311">
        <v>1033</v>
      </c>
      <c r="C27" s="312">
        <f t="shared" si="4"/>
        <v>0.4456427955133736</v>
      </c>
      <c r="D27" s="139"/>
      <c r="E27" s="313" t="s">
        <v>40</v>
      </c>
      <c r="F27" s="305">
        <v>16</v>
      </c>
      <c r="G27" s="305">
        <v>179</v>
      </c>
      <c r="H27" s="259">
        <f t="shared" si="5"/>
        <v>195</v>
      </c>
      <c r="I27" s="301">
        <f t="shared" si="6"/>
        <v>0.2972560975609756</v>
      </c>
      <c r="L27" s="38"/>
      <c r="M27" s="23"/>
    </row>
    <row r="28" spans="1:13" x14ac:dyDescent="0.15">
      <c r="A28" s="313" t="s">
        <v>41</v>
      </c>
      <c r="B28" s="311">
        <v>745</v>
      </c>
      <c r="C28" s="312">
        <f t="shared" si="4"/>
        <v>0.32139775668679899</v>
      </c>
      <c r="D28" s="139"/>
      <c r="E28" s="313" t="s">
        <v>41</v>
      </c>
      <c r="F28" s="305">
        <v>24</v>
      </c>
      <c r="G28" s="305">
        <v>190</v>
      </c>
      <c r="H28" s="259">
        <f t="shared" si="5"/>
        <v>214</v>
      </c>
      <c r="I28" s="301">
        <f t="shared" si="6"/>
        <v>0.32621951219512196</v>
      </c>
      <c r="L28" s="38"/>
      <c r="M28" s="23"/>
    </row>
    <row r="29" spans="1:13" x14ac:dyDescent="0.15">
      <c r="A29" s="313" t="s">
        <v>42</v>
      </c>
      <c r="B29" s="311">
        <v>249</v>
      </c>
      <c r="C29" s="312">
        <f t="shared" si="4"/>
        <v>0.10742018981880933</v>
      </c>
      <c r="D29" s="139"/>
      <c r="E29" s="313" t="s">
        <v>42</v>
      </c>
      <c r="F29" s="305">
        <v>2</v>
      </c>
      <c r="G29" s="305">
        <v>48</v>
      </c>
      <c r="H29" s="259">
        <f t="shared" si="5"/>
        <v>50</v>
      </c>
      <c r="I29" s="301">
        <f t="shared" si="6"/>
        <v>7.621951219512195E-2</v>
      </c>
      <c r="L29" s="38"/>
      <c r="M29" s="23"/>
    </row>
    <row r="30" spans="1:13" x14ac:dyDescent="0.15">
      <c r="A30" s="313" t="s">
        <v>43</v>
      </c>
      <c r="B30" s="311">
        <v>847</v>
      </c>
      <c r="C30" s="312">
        <f t="shared" si="4"/>
        <v>0.3654012079378775</v>
      </c>
      <c r="D30" s="139"/>
      <c r="E30" s="313" t="s">
        <v>43</v>
      </c>
      <c r="F30" s="305">
        <v>17</v>
      </c>
      <c r="G30" s="305">
        <v>163</v>
      </c>
      <c r="H30" s="259">
        <f t="shared" si="5"/>
        <v>180</v>
      </c>
      <c r="I30" s="301">
        <f t="shared" si="6"/>
        <v>0.27439024390243905</v>
      </c>
      <c r="L30" s="38"/>
      <c r="M30" s="23"/>
    </row>
    <row r="31" spans="1:13" x14ac:dyDescent="0.15">
      <c r="A31" s="313" t="s">
        <v>44</v>
      </c>
      <c r="B31" s="311">
        <v>425</v>
      </c>
      <c r="C31" s="312">
        <f t="shared" si="4"/>
        <v>0.18334771354616047</v>
      </c>
      <c r="D31" s="139"/>
      <c r="E31" s="313" t="s">
        <v>44</v>
      </c>
      <c r="F31" s="305">
        <v>13</v>
      </c>
      <c r="G31" s="305">
        <v>85</v>
      </c>
      <c r="H31" s="259">
        <f t="shared" si="5"/>
        <v>98</v>
      </c>
      <c r="I31" s="301">
        <f t="shared" si="6"/>
        <v>0.14939024390243902</v>
      </c>
      <c r="L31" s="38"/>
      <c r="M31" s="23"/>
    </row>
    <row r="32" spans="1:13" x14ac:dyDescent="0.15">
      <c r="A32" s="313" t="s">
        <v>246</v>
      </c>
      <c r="B32" s="311">
        <v>517</v>
      </c>
      <c r="C32" s="312">
        <f t="shared" si="4"/>
        <v>0.22303710094909404</v>
      </c>
      <c r="D32" s="139"/>
      <c r="E32" s="313" t="s">
        <v>247</v>
      </c>
      <c r="F32" s="305">
        <v>23</v>
      </c>
      <c r="G32" s="305">
        <v>132</v>
      </c>
      <c r="H32" s="259">
        <f t="shared" si="5"/>
        <v>155</v>
      </c>
      <c r="I32" s="301">
        <f t="shared" si="6"/>
        <v>0.23628048780487804</v>
      </c>
      <c r="L32" s="38"/>
      <c r="M32" s="23"/>
    </row>
    <row r="33" spans="1:13" x14ac:dyDescent="0.15">
      <c r="A33" s="313" t="s">
        <v>46</v>
      </c>
      <c r="B33" s="311">
        <v>856</v>
      </c>
      <c r="C33" s="312">
        <f t="shared" si="4"/>
        <v>0.36928386540120794</v>
      </c>
      <c r="D33" s="139"/>
      <c r="E33" s="313" t="s">
        <v>46</v>
      </c>
      <c r="F33" s="305">
        <v>26</v>
      </c>
      <c r="G33" s="305">
        <v>186</v>
      </c>
      <c r="H33" s="259">
        <f t="shared" si="5"/>
        <v>212</v>
      </c>
      <c r="I33" s="301">
        <f t="shared" si="6"/>
        <v>0.32317073170731708</v>
      </c>
      <c r="L33" s="38"/>
      <c r="M33" s="23"/>
    </row>
    <row r="34" spans="1:13" x14ac:dyDescent="0.15">
      <c r="A34" s="313" t="s">
        <v>47</v>
      </c>
      <c r="B34" s="311">
        <v>101</v>
      </c>
      <c r="C34" s="312">
        <f t="shared" si="4"/>
        <v>4.3572044866264023E-2</v>
      </c>
      <c r="D34" s="139"/>
      <c r="E34" s="313" t="s">
        <v>47</v>
      </c>
      <c r="F34" s="305">
        <v>8</v>
      </c>
      <c r="G34" s="305">
        <v>34</v>
      </c>
      <c r="H34" s="259">
        <f t="shared" si="5"/>
        <v>42</v>
      </c>
      <c r="I34" s="301">
        <f t="shared" si="6"/>
        <v>6.402439024390244E-2</v>
      </c>
      <c r="L34" s="38"/>
      <c r="M34" s="23"/>
    </row>
    <row r="35" spans="1:13" x14ac:dyDescent="0.15">
      <c r="A35" s="313" t="s">
        <v>48</v>
      </c>
      <c r="B35" s="311">
        <v>165</v>
      </c>
      <c r="C35" s="312">
        <f t="shared" si="4"/>
        <v>7.1182053494391717E-2</v>
      </c>
      <c r="D35" s="139"/>
      <c r="E35" s="313" t="s">
        <v>48</v>
      </c>
      <c r="F35" s="305">
        <v>7</v>
      </c>
      <c r="G35" s="305">
        <v>36</v>
      </c>
      <c r="H35" s="259">
        <f t="shared" si="5"/>
        <v>43</v>
      </c>
      <c r="I35" s="301">
        <f t="shared" si="6"/>
        <v>6.5548780487804881E-2</v>
      </c>
      <c r="L35" s="38"/>
      <c r="M35" s="23"/>
    </row>
    <row r="36" spans="1:13" x14ac:dyDescent="0.15">
      <c r="A36" s="313" t="s">
        <v>49</v>
      </c>
      <c r="B36" s="311">
        <v>27</v>
      </c>
      <c r="C36" s="312">
        <f t="shared" si="4"/>
        <v>1.1647972389991372E-2</v>
      </c>
      <c r="D36" s="139"/>
      <c r="E36" s="313" t="s">
        <v>49</v>
      </c>
      <c r="F36" s="305">
        <v>0</v>
      </c>
      <c r="G36" s="305">
        <v>0</v>
      </c>
      <c r="H36" s="259">
        <f t="shared" si="5"/>
        <v>0</v>
      </c>
      <c r="I36" s="301">
        <f t="shared" si="6"/>
        <v>0</v>
      </c>
      <c r="L36" s="38"/>
      <c r="M36" s="23"/>
    </row>
    <row r="37" spans="1:13" x14ac:dyDescent="0.15">
      <c r="A37" s="313" t="s">
        <v>50</v>
      </c>
      <c r="B37" s="311">
        <v>251</v>
      </c>
      <c r="C37" s="312">
        <f t="shared" si="4"/>
        <v>0.10828300258843832</v>
      </c>
      <c r="D37" s="139"/>
      <c r="E37" s="313" t="s">
        <v>50</v>
      </c>
      <c r="F37" s="305">
        <v>10</v>
      </c>
      <c r="G37" s="305">
        <v>53</v>
      </c>
      <c r="H37" s="259">
        <f t="shared" si="5"/>
        <v>63</v>
      </c>
      <c r="I37" s="301">
        <f t="shared" si="6"/>
        <v>9.6036585365853661E-2</v>
      </c>
      <c r="L37" s="38"/>
      <c r="M37" s="23"/>
    </row>
    <row r="38" spans="1:13" x14ac:dyDescent="0.15">
      <c r="A38" s="313" t="s">
        <v>51</v>
      </c>
      <c r="B38" s="311">
        <v>293</v>
      </c>
      <c r="C38" s="312">
        <f t="shared" si="4"/>
        <v>0.12640207075064711</v>
      </c>
      <c r="D38" s="139"/>
      <c r="E38" s="313" t="s">
        <v>51</v>
      </c>
      <c r="F38" s="305">
        <v>10</v>
      </c>
      <c r="G38" s="305">
        <v>63</v>
      </c>
      <c r="H38" s="259">
        <f t="shared" si="5"/>
        <v>73</v>
      </c>
      <c r="I38" s="301">
        <f t="shared" si="6"/>
        <v>0.11128048780487805</v>
      </c>
      <c r="L38" s="38"/>
      <c r="M38" s="23"/>
    </row>
    <row r="39" spans="1:13" x14ac:dyDescent="0.15">
      <c r="A39" s="313" t="s">
        <v>248</v>
      </c>
      <c r="B39" s="311">
        <v>51</v>
      </c>
      <c r="C39" s="312">
        <f t="shared" si="4"/>
        <v>2.2001725625539259E-2</v>
      </c>
      <c r="D39" s="139"/>
      <c r="E39" s="313" t="s">
        <v>248</v>
      </c>
      <c r="F39" s="305">
        <v>4</v>
      </c>
      <c r="G39" s="305">
        <v>20</v>
      </c>
      <c r="H39" s="259">
        <f t="shared" si="5"/>
        <v>24</v>
      </c>
      <c r="I39" s="301">
        <f t="shared" si="6"/>
        <v>3.6585365853658534E-2</v>
      </c>
      <c r="L39" s="38"/>
      <c r="M39" s="23"/>
    </row>
    <row r="40" spans="1:13" x14ac:dyDescent="0.15">
      <c r="A40" s="313" t="s">
        <v>53</v>
      </c>
      <c r="B40" s="311">
        <v>172</v>
      </c>
      <c r="C40" s="312">
        <f t="shared" si="4"/>
        <v>7.4201898188093182E-2</v>
      </c>
      <c r="D40" s="139"/>
      <c r="E40" s="313" t="s">
        <v>53</v>
      </c>
      <c r="F40" s="305">
        <v>4</v>
      </c>
      <c r="G40" s="305">
        <v>27</v>
      </c>
      <c r="H40" s="259">
        <f t="shared" si="5"/>
        <v>31</v>
      </c>
      <c r="I40" s="301">
        <f t="shared" si="6"/>
        <v>4.725609756097561E-2</v>
      </c>
      <c r="L40" s="38"/>
      <c r="M40" s="23"/>
    </row>
    <row r="41" spans="1:13" x14ac:dyDescent="0.15">
      <c r="B41" s="146"/>
      <c r="F41" s="195"/>
      <c r="G41" s="195"/>
      <c r="H41" s="185"/>
      <c r="I41" s="186"/>
      <c r="L41" s="38"/>
      <c r="M41" s="23"/>
    </row>
    <row r="42" spans="1:13" x14ac:dyDescent="0.15">
      <c r="K42" s="22"/>
      <c r="L42" s="7"/>
      <c r="M42" s="86"/>
    </row>
    <row r="43" spans="1:13" x14ac:dyDescent="0.15">
      <c r="K43" s="22"/>
      <c r="L43" s="7"/>
      <c r="M43" s="86"/>
    </row>
    <row r="44" spans="1:13" x14ac:dyDescent="0.15">
      <c r="K44" s="22"/>
      <c r="L44" s="7"/>
      <c r="M44" s="86"/>
    </row>
    <row r="45" spans="1:13" x14ac:dyDescent="0.15">
      <c r="K45" s="22"/>
      <c r="L45" s="7"/>
      <c r="M45" s="86"/>
    </row>
    <row r="46" spans="1:13" x14ac:dyDescent="0.15">
      <c r="K46" s="22"/>
      <c r="L46" s="22"/>
      <c r="M46" s="22"/>
    </row>
    <row r="47" spans="1:13" x14ac:dyDescent="0.15">
      <c r="K47" s="22"/>
      <c r="L47" s="184"/>
      <c r="M47" s="184"/>
    </row>
    <row r="48" spans="1:13" x14ac:dyDescent="0.15">
      <c r="K48" s="22"/>
      <c r="L48" s="7"/>
      <c r="M48" s="86"/>
    </row>
    <row r="49" spans="11:13" x14ac:dyDescent="0.15">
      <c r="K49" s="22"/>
      <c r="L49" s="7"/>
      <c r="M49" s="86"/>
    </row>
    <row r="50" spans="11:13" x14ac:dyDescent="0.15">
      <c r="K50" s="22"/>
      <c r="L50" s="7"/>
      <c r="M50" s="86"/>
    </row>
    <row r="51" spans="11:13" x14ac:dyDescent="0.15">
      <c r="K51" s="22"/>
      <c r="L51" s="7"/>
      <c r="M51" s="86"/>
    </row>
    <row r="52" spans="11:13" x14ac:dyDescent="0.15">
      <c r="K52" s="22"/>
      <c r="L52" s="7"/>
      <c r="M52" s="86"/>
    </row>
    <row r="53" spans="11:13" x14ac:dyDescent="0.15">
      <c r="K53" s="22"/>
      <c r="L53" s="7"/>
      <c r="M53" s="86"/>
    </row>
    <row r="54" spans="11:13" x14ac:dyDescent="0.15">
      <c r="K54" s="22"/>
      <c r="L54" s="7"/>
      <c r="M54" s="86"/>
    </row>
    <row r="55" spans="11:13" x14ac:dyDescent="0.15">
      <c r="K55" s="22"/>
      <c r="L55" s="7"/>
      <c r="M55" s="86"/>
    </row>
    <row r="56" spans="11:13" x14ac:dyDescent="0.15">
      <c r="K56" s="22"/>
      <c r="L56" s="7"/>
      <c r="M56" s="86"/>
    </row>
    <row r="57" spans="11:13" x14ac:dyDescent="0.15">
      <c r="K57" s="22"/>
      <c r="L57" s="7"/>
      <c r="M57" s="86"/>
    </row>
    <row r="58" spans="11:13" x14ac:dyDescent="0.15">
      <c r="K58" s="22"/>
      <c r="L58" s="7"/>
      <c r="M58" s="86"/>
    </row>
    <row r="59" spans="11:13" x14ac:dyDescent="0.15">
      <c r="K59" s="22"/>
      <c r="L59" s="7"/>
      <c r="M59" s="86"/>
    </row>
    <row r="60" spans="11:13" x14ac:dyDescent="0.15">
      <c r="K60" s="22"/>
      <c r="L60" s="7"/>
      <c r="M60" s="86"/>
    </row>
    <row r="61" spans="11:13" x14ac:dyDescent="0.15">
      <c r="K61" s="22"/>
      <c r="L61" s="7"/>
      <c r="M61" s="86"/>
    </row>
    <row r="62" spans="11:13" x14ac:dyDescent="0.15">
      <c r="K62" s="22"/>
      <c r="L62" s="7"/>
      <c r="M62" s="86"/>
    </row>
    <row r="63" spans="11:13" x14ac:dyDescent="0.15">
      <c r="K63" s="22"/>
      <c r="L63" s="7"/>
      <c r="M63" s="86"/>
    </row>
    <row r="64" spans="11:13" x14ac:dyDescent="0.15">
      <c r="K64" s="22"/>
      <c r="L64" s="7"/>
      <c r="M64" s="86"/>
    </row>
    <row r="65" spans="11:13" x14ac:dyDescent="0.15">
      <c r="K65" s="22"/>
      <c r="L65" s="7"/>
      <c r="M65" s="86"/>
    </row>
    <row r="66" spans="11:13" x14ac:dyDescent="0.15">
      <c r="K66" s="22"/>
      <c r="L66" s="7"/>
      <c r="M66" s="86"/>
    </row>
    <row r="67" spans="11:13" x14ac:dyDescent="0.15">
      <c r="K67" s="22"/>
      <c r="L67" s="7"/>
      <c r="M67" s="86"/>
    </row>
    <row r="68" spans="11:13" x14ac:dyDescent="0.15">
      <c r="K68" s="22"/>
      <c r="L68" s="7"/>
      <c r="M68" s="86"/>
    </row>
    <row r="69" spans="11:13" x14ac:dyDescent="0.15">
      <c r="K69" s="22"/>
      <c r="L69" s="7"/>
      <c r="M69" s="86"/>
    </row>
    <row r="70" spans="11:13" x14ac:dyDescent="0.15">
      <c r="K70" s="22"/>
      <c r="L70" s="22"/>
      <c r="M70" s="22"/>
    </row>
    <row r="71" spans="11:13" x14ac:dyDescent="0.15">
      <c r="K71" s="22"/>
      <c r="L71" s="22"/>
      <c r="M71" s="22"/>
    </row>
    <row r="72" spans="11:13" x14ac:dyDescent="0.15">
      <c r="K72" s="22"/>
      <c r="L72" s="22"/>
      <c r="M72" s="22"/>
    </row>
    <row r="73" spans="11:13" x14ac:dyDescent="0.15">
      <c r="L73" s="142"/>
      <c r="M73" s="142"/>
    </row>
    <row r="74" spans="11:13" x14ac:dyDescent="0.15">
      <c r="L74" s="38"/>
      <c r="M74" s="23"/>
    </row>
    <row r="75" spans="11:13" x14ac:dyDescent="0.15">
      <c r="L75" s="38"/>
      <c r="M75" s="23"/>
    </row>
    <row r="76" spans="11:13" x14ac:dyDescent="0.15">
      <c r="L76" s="38"/>
      <c r="M76" s="23"/>
    </row>
    <row r="77" spans="11:13" x14ac:dyDescent="0.15">
      <c r="L77" s="38"/>
      <c r="M77" s="23"/>
    </row>
    <row r="78" spans="11:13" x14ac:dyDescent="0.15">
      <c r="L78" s="38"/>
      <c r="M78" s="23"/>
    </row>
    <row r="79" spans="11:13" x14ac:dyDescent="0.15">
      <c r="L79" s="38"/>
      <c r="M79" s="23"/>
    </row>
    <row r="80" spans="11:13" x14ac:dyDescent="0.15">
      <c r="L80" s="38"/>
      <c r="M80" s="23"/>
    </row>
    <row r="81" spans="11:13" x14ac:dyDescent="0.15">
      <c r="L81" s="38"/>
      <c r="M81" s="23"/>
    </row>
    <row r="82" spans="11:13" x14ac:dyDescent="0.15">
      <c r="L82" s="38"/>
      <c r="M82" s="23"/>
    </row>
    <row r="83" spans="11:13" x14ac:dyDescent="0.15">
      <c r="L83" s="38"/>
      <c r="M83" s="23"/>
    </row>
    <row r="84" spans="11:13" x14ac:dyDescent="0.15">
      <c r="L84" s="38"/>
      <c r="M84" s="23"/>
    </row>
    <row r="85" spans="11:13" x14ac:dyDescent="0.15">
      <c r="L85" s="38"/>
      <c r="M85" s="23"/>
    </row>
    <row r="86" spans="11:13" x14ac:dyDescent="0.15">
      <c r="L86" s="38"/>
      <c r="M86" s="23"/>
    </row>
    <row r="87" spans="11:13" x14ac:dyDescent="0.15">
      <c r="L87" s="38"/>
      <c r="M87" s="23"/>
    </row>
    <row r="88" spans="11:13" x14ac:dyDescent="0.15">
      <c r="L88" s="38"/>
      <c r="M88" s="23"/>
    </row>
    <row r="89" spans="11:13" x14ac:dyDescent="0.15">
      <c r="L89" s="38"/>
      <c r="M89" s="23"/>
    </row>
    <row r="90" spans="11:13" x14ac:dyDescent="0.15">
      <c r="L90" s="38"/>
      <c r="M90" s="23"/>
    </row>
    <row r="91" spans="11:13" x14ac:dyDescent="0.15">
      <c r="L91" s="38"/>
      <c r="M91" s="23"/>
    </row>
    <row r="92" spans="11:13" x14ac:dyDescent="0.15">
      <c r="K92" s="196"/>
      <c r="L92" s="197"/>
      <c r="M92" s="198"/>
    </row>
    <row r="93" spans="11:13" x14ac:dyDescent="0.15">
      <c r="K93" s="22"/>
      <c r="L93" s="7"/>
      <c r="M93" s="86"/>
    </row>
    <row r="94" spans="11:13" x14ac:dyDescent="0.15">
      <c r="K94" s="199"/>
      <c r="L94" s="200"/>
      <c r="M94" s="201"/>
    </row>
    <row r="95" spans="11:13" x14ac:dyDescent="0.15">
      <c r="L95" s="38"/>
      <c r="M95" s="23"/>
    </row>
  </sheetData>
  <mergeCells count="2">
    <mergeCell ref="A21:C21"/>
    <mergeCell ref="E21:I21"/>
  </mergeCells>
  <phoneticPr fontId="2"/>
  <pageMargins left="0.70866141732283472" right="0.70866141732283472" top="0.74803149606299213" bottom="0.74803149606299213" header="0.31496062992125984" footer="0.31496062992125984"/>
  <pageSetup paperSize="9" scale="67"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1265" r:id="rId4" name="Button 1">
              <controlPr defaultSize="0" print="0" autoFill="0" autoPict="0" macro="[0]!データ削除6">
                <anchor moveWithCells="1" sizeWithCells="1">
                  <from>
                    <xdr:col>10</xdr:col>
                    <xdr:colOff>295275</xdr:colOff>
                    <xdr:row>4</xdr:row>
                    <xdr:rowOff>9525</xdr:rowOff>
                  </from>
                  <to>
                    <xdr:col>11</xdr:col>
                    <xdr:colOff>1438275</xdr:colOff>
                    <xdr:row>5</xdr:row>
                    <xdr:rowOff>161925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rgb="FF00B0F0"/>
    <pageSetUpPr fitToPage="1"/>
  </sheetPr>
  <dimension ref="A1:Q54"/>
  <sheetViews>
    <sheetView view="pageBreakPreview" zoomScale="80" zoomScaleNormal="100" zoomScaleSheetLayoutView="80" workbookViewId="0">
      <selection activeCell="K1" sqref="K1:U1048576"/>
    </sheetView>
  </sheetViews>
  <sheetFormatPr defaultColWidth="13.75" defaultRowHeight="18.75" x14ac:dyDescent="0.15"/>
  <cols>
    <col min="1" max="1" width="15.375" style="1" bestFit="1" customWidth="1"/>
    <col min="2" max="3" width="9.375" style="1" customWidth="1"/>
    <col min="4" max="4" width="4.125" style="1" customWidth="1"/>
    <col min="5" max="5" width="15.375" style="1" customWidth="1"/>
    <col min="6" max="9" width="9.375" style="1" customWidth="1"/>
    <col min="10" max="10" width="13.75" style="1"/>
    <col min="11" max="21" width="0" style="1" hidden="1" customWidth="1"/>
    <col min="22" max="16384" width="13.75" style="1"/>
  </cols>
  <sheetData>
    <row r="1" spans="1:17" s="3" customFormat="1" ht="19.5" x14ac:dyDescent="0.15">
      <c r="A1" s="2" t="s">
        <v>84</v>
      </c>
    </row>
    <row r="2" spans="1:17" x14ac:dyDescent="0.15">
      <c r="A2" s="4"/>
      <c r="K2" s="56" t="s">
        <v>63</v>
      </c>
    </row>
    <row r="3" spans="1:17" s="3" customFormat="1" ht="20.25" thickBot="1" x14ac:dyDescent="0.2">
      <c r="A3" s="4" t="s">
        <v>13</v>
      </c>
      <c r="E3" s="4" t="s">
        <v>147</v>
      </c>
      <c r="K3" s="388" t="s">
        <v>299</v>
      </c>
      <c r="L3" s="495" t="s">
        <v>279</v>
      </c>
      <c r="N3" s="388" t="s">
        <v>299</v>
      </c>
      <c r="O3" s="35" t="s">
        <v>277</v>
      </c>
      <c r="P3" s="388" t="s">
        <v>299</v>
      </c>
      <c r="Q3" s="35" t="s">
        <v>278</v>
      </c>
    </row>
    <row r="4" spans="1:17" ht="20.25" thickTop="1" thickBot="1" x14ac:dyDescent="0.2">
      <c r="A4" s="315"/>
      <c r="B4" s="316" t="s">
        <v>0</v>
      </c>
      <c r="C4" s="316" t="s">
        <v>1</v>
      </c>
      <c r="E4" s="315"/>
      <c r="F4" s="316" t="s">
        <v>148</v>
      </c>
      <c r="G4" s="316" t="s">
        <v>149</v>
      </c>
      <c r="H4" s="316" t="s">
        <v>12</v>
      </c>
      <c r="I4" s="316" t="s">
        <v>1</v>
      </c>
      <c r="K4" s="421" t="s">
        <v>371</v>
      </c>
      <c r="L4" s="35" t="s">
        <v>372</v>
      </c>
      <c r="N4" s="421" t="s">
        <v>371</v>
      </c>
      <c r="O4" s="35" t="s">
        <v>372</v>
      </c>
      <c r="P4" s="421" t="s">
        <v>371</v>
      </c>
      <c r="Q4" s="35" t="s">
        <v>372</v>
      </c>
    </row>
    <row r="5" spans="1:17" ht="19.5" thickTop="1" x14ac:dyDescent="0.15">
      <c r="A5" s="299" t="s">
        <v>2</v>
      </c>
      <c r="B5" s="261">
        <f>IFERROR(VLOOKUP($A5,年齢区分＿1年以上[#All],2,FALSE),0)</f>
        <v>4</v>
      </c>
      <c r="C5" s="301">
        <f>IFERROR(B5/B$14,"-")</f>
        <v>4.3754101947057538E-4</v>
      </c>
      <c r="E5" s="299" t="s">
        <v>2</v>
      </c>
      <c r="F5" s="261">
        <f>IFERROR(VLOOKUP($A5,年齢区分＿1年以上＿寛解[#All],2,FALSE),0)</f>
        <v>0</v>
      </c>
      <c r="G5" s="261">
        <f>IFERROR(VLOOKUP($A5,年齢区分＿1年以上＿院内寛解[#All],2,FALSE),0)</f>
        <v>0</v>
      </c>
      <c r="H5" s="259">
        <f>SUM(F5:G5)</f>
        <v>0</v>
      </c>
      <c r="I5" s="301">
        <f>IFERROR(H5/H$14,"-")</f>
        <v>0</v>
      </c>
      <c r="K5" s="56" t="s">
        <v>2</v>
      </c>
      <c r="L5" s="381">
        <v>4</v>
      </c>
      <c r="M5" s="11"/>
      <c r="N5" s="56" t="s">
        <v>2</v>
      </c>
      <c r="O5" s="381">
        <v>0</v>
      </c>
      <c r="P5" s="56" t="s">
        <v>2</v>
      </c>
      <c r="Q5" s="381">
        <v>0</v>
      </c>
    </row>
    <row r="6" spans="1:17" x14ac:dyDescent="0.15">
      <c r="A6" s="299" t="s">
        <v>3</v>
      </c>
      <c r="B6" s="261">
        <f>IFERROR(VLOOKUP($A6,年齢区分＿1年以上[#All],2,FALSE),0)</f>
        <v>79</v>
      </c>
      <c r="C6" s="301">
        <f t="shared" ref="C6:C13" si="0">IFERROR(B6/B$14,"-")</f>
        <v>8.6414351345438633E-3</v>
      </c>
      <c r="E6" s="299" t="s">
        <v>3</v>
      </c>
      <c r="F6" s="261">
        <f>IFERROR(VLOOKUP($A6,年齢区分＿1年以上＿寛解[#All],2,FALSE),0)</f>
        <v>1</v>
      </c>
      <c r="G6" s="261">
        <f>IFERROR(VLOOKUP($A6,年齢区分＿1年以上＿院内寛解[#All],2,FALSE),0)</f>
        <v>3</v>
      </c>
      <c r="H6" s="259">
        <f t="shared" ref="H6:H13" si="1">SUM(F6:G6)</f>
        <v>4</v>
      </c>
      <c r="I6" s="301">
        <f t="shared" ref="I6:I16" si="2">IFERROR(H6/H$14,"-")</f>
        <v>6.9808027923211171E-3</v>
      </c>
      <c r="K6" s="56" t="s">
        <v>3</v>
      </c>
      <c r="L6" s="381">
        <v>79</v>
      </c>
      <c r="M6" s="14"/>
      <c r="N6" s="56" t="s">
        <v>3</v>
      </c>
      <c r="O6" s="381">
        <v>1</v>
      </c>
      <c r="P6" s="56" t="s">
        <v>3</v>
      </c>
      <c r="Q6" s="381">
        <v>3</v>
      </c>
    </row>
    <row r="7" spans="1:17" x14ac:dyDescent="0.15">
      <c r="A7" s="299" t="s">
        <v>4</v>
      </c>
      <c r="B7" s="261">
        <f>IFERROR(VLOOKUP($A7,年齢区分＿1年以上[#All],2,FALSE),0)</f>
        <v>269</v>
      </c>
      <c r="C7" s="301">
        <f t="shared" si="0"/>
        <v>2.9424633559396195E-2</v>
      </c>
      <c r="E7" s="299" t="s">
        <v>4</v>
      </c>
      <c r="F7" s="261">
        <f>IFERROR(VLOOKUP($A7,年齢区分＿1年以上＿寛解[#All],2,FALSE),0)</f>
        <v>7</v>
      </c>
      <c r="G7" s="261">
        <f>IFERROR(VLOOKUP($A7,年齢区分＿1年以上＿院内寛解[#All],2,FALSE),0)</f>
        <v>14</v>
      </c>
      <c r="H7" s="259">
        <f t="shared" si="1"/>
        <v>21</v>
      </c>
      <c r="I7" s="301">
        <f t="shared" si="2"/>
        <v>3.6649214659685861E-2</v>
      </c>
      <c r="K7" s="56" t="s">
        <v>4</v>
      </c>
      <c r="L7" s="381">
        <v>269</v>
      </c>
      <c r="M7" s="14"/>
      <c r="N7" s="56" t="s">
        <v>4</v>
      </c>
      <c r="O7" s="381">
        <v>7</v>
      </c>
      <c r="P7" s="56" t="s">
        <v>4</v>
      </c>
      <c r="Q7" s="381">
        <v>14</v>
      </c>
    </row>
    <row r="8" spans="1:17" x14ac:dyDescent="0.15">
      <c r="A8" s="299" t="s">
        <v>5</v>
      </c>
      <c r="B8" s="261">
        <f>IFERROR(VLOOKUP($A8,年齢区分＿1年以上[#All],2,FALSE),0)</f>
        <v>827</v>
      </c>
      <c r="C8" s="301">
        <f t="shared" si="0"/>
        <v>9.0461605775541451E-2</v>
      </c>
      <c r="E8" s="299" t="s">
        <v>5</v>
      </c>
      <c r="F8" s="261">
        <f>IFERROR(VLOOKUP($A8,年齢区分＿1年以上＿寛解[#All],2,FALSE),0)</f>
        <v>7</v>
      </c>
      <c r="G8" s="261">
        <f>IFERROR(VLOOKUP($A8,年齢区分＿1年以上＿院内寛解[#All],2,FALSE),0)</f>
        <v>57</v>
      </c>
      <c r="H8" s="259">
        <f t="shared" si="1"/>
        <v>64</v>
      </c>
      <c r="I8" s="301">
        <f t="shared" si="2"/>
        <v>0.11169284467713787</v>
      </c>
      <c r="K8" s="56" t="s">
        <v>5</v>
      </c>
      <c r="L8" s="381">
        <v>827</v>
      </c>
      <c r="M8" s="17"/>
      <c r="N8" s="56" t="s">
        <v>5</v>
      </c>
      <c r="O8" s="381">
        <v>7</v>
      </c>
      <c r="P8" s="56" t="s">
        <v>5</v>
      </c>
      <c r="Q8" s="381">
        <v>57</v>
      </c>
    </row>
    <row r="9" spans="1:17" x14ac:dyDescent="0.15">
      <c r="A9" s="299" t="s">
        <v>6</v>
      </c>
      <c r="B9" s="261">
        <f>IFERROR(VLOOKUP($A9,年齢区分＿1年以上[#All],2,FALSE),0)</f>
        <v>1506</v>
      </c>
      <c r="C9" s="301">
        <f t="shared" si="0"/>
        <v>0.16473419383067162</v>
      </c>
      <c r="E9" s="299" t="s">
        <v>6</v>
      </c>
      <c r="F9" s="261">
        <f>IFERROR(VLOOKUP($A9,年齢区分＿1年以上＿寛解[#All],2,FALSE),0)</f>
        <v>12</v>
      </c>
      <c r="G9" s="261">
        <f>IFERROR(VLOOKUP($A9,年齢区分＿1年以上＿院内寛解[#All],2,FALSE),0)</f>
        <v>89</v>
      </c>
      <c r="H9" s="259">
        <f t="shared" si="1"/>
        <v>101</v>
      </c>
      <c r="I9" s="301">
        <f t="shared" si="2"/>
        <v>0.17626527050610821</v>
      </c>
      <c r="K9" s="56" t="s">
        <v>6</v>
      </c>
      <c r="L9" s="381">
        <v>1506</v>
      </c>
      <c r="M9" s="17"/>
      <c r="N9" s="56" t="s">
        <v>6</v>
      </c>
      <c r="O9" s="381">
        <v>12</v>
      </c>
      <c r="P9" s="56" t="s">
        <v>6</v>
      </c>
      <c r="Q9" s="381">
        <v>89</v>
      </c>
    </row>
    <row r="10" spans="1:17" x14ac:dyDescent="0.15">
      <c r="A10" s="299" t="s">
        <v>7</v>
      </c>
      <c r="B10" s="261">
        <f>IFERROR(VLOOKUP($A10,年齢区分＿1年以上[#All],2,FALSE),0)</f>
        <v>1846</v>
      </c>
      <c r="C10" s="301">
        <f t="shared" si="0"/>
        <v>0.20192518048567054</v>
      </c>
      <c r="E10" s="299" t="s">
        <v>7</v>
      </c>
      <c r="F10" s="261">
        <f>IFERROR(VLOOKUP($A10,年齢区分＿1年以上＿寛解[#All],2,FALSE),0)</f>
        <v>17</v>
      </c>
      <c r="G10" s="261">
        <f>IFERROR(VLOOKUP($A10,年齢区分＿1年以上＿院内寛解[#All],2,FALSE),0)</f>
        <v>112</v>
      </c>
      <c r="H10" s="259">
        <f t="shared" si="1"/>
        <v>129</v>
      </c>
      <c r="I10" s="301">
        <f t="shared" si="2"/>
        <v>0.22513089005235601</v>
      </c>
      <c r="K10" s="56" t="s">
        <v>7</v>
      </c>
      <c r="L10" s="381">
        <v>1846</v>
      </c>
      <c r="M10" s="17"/>
      <c r="N10" s="56" t="s">
        <v>7</v>
      </c>
      <c r="O10" s="381">
        <v>17</v>
      </c>
      <c r="P10" s="56" t="s">
        <v>7</v>
      </c>
      <c r="Q10" s="381">
        <v>112</v>
      </c>
    </row>
    <row r="11" spans="1:17" x14ac:dyDescent="0.15">
      <c r="A11" s="299" t="s">
        <v>8</v>
      </c>
      <c r="B11" s="261">
        <f>IFERROR(VLOOKUP($A11,年齢区分＿1年以上[#All],2,FALSE),0)</f>
        <v>2510</v>
      </c>
      <c r="C11" s="301">
        <f t="shared" si="0"/>
        <v>0.27455698971778603</v>
      </c>
      <c r="E11" s="299" t="s">
        <v>8</v>
      </c>
      <c r="F11" s="261">
        <f>IFERROR(VLOOKUP($A11,年齢区分＿1年以上＿寛解[#All],2,FALSE),0)</f>
        <v>30</v>
      </c>
      <c r="G11" s="261">
        <f>IFERROR(VLOOKUP($A11,年齢区分＿1年以上＿院内寛解[#All],2,FALSE),0)</f>
        <v>134</v>
      </c>
      <c r="H11" s="259">
        <f t="shared" si="1"/>
        <v>164</v>
      </c>
      <c r="I11" s="301">
        <f t="shared" si="2"/>
        <v>0.28621291448516578</v>
      </c>
      <c r="K11" s="56" t="s">
        <v>8</v>
      </c>
      <c r="L11" s="381">
        <v>2510</v>
      </c>
      <c r="M11" s="17"/>
      <c r="N11" s="56" t="s">
        <v>8</v>
      </c>
      <c r="O11" s="381">
        <v>30</v>
      </c>
      <c r="P11" s="56" t="s">
        <v>8</v>
      </c>
      <c r="Q11" s="381">
        <v>134</v>
      </c>
    </row>
    <row r="12" spans="1:17" x14ac:dyDescent="0.15">
      <c r="A12" s="299" t="s">
        <v>9</v>
      </c>
      <c r="B12" s="261">
        <f>IFERROR(VLOOKUP($A12,年齢区分＿1年以上[#All],2,FALSE),0)</f>
        <v>1692</v>
      </c>
      <c r="C12" s="301">
        <f t="shared" si="0"/>
        <v>0.18507985123605339</v>
      </c>
      <c r="E12" s="299" t="s">
        <v>9</v>
      </c>
      <c r="F12" s="261">
        <f>IFERROR(VLOOKUP($A12,年齢区分＿1年以上＿寛解[#All],2,FALSE),0)</f>
        <v>10</v>
      </c>
      <c r="G12" s="261">
        <f>IFERROR(VLOOKUP($A12,年齢区分＿1年以上＿院内寛解[#All],2,FALSE),0)</f>
        <v>70</v>
      </c>
      <c r="H12" s="259">
        <f t="shared" si="1"/>
        <v>80</v>
      </c>
      <c r="I12" s="301">
        <f t="shared" si="2"/>
        <v>0.13961605584642234</v>
      </c>
      <c r="K12" s="56" t="s">
        <v>9</v>
      </c>
      <c r="L12" s="381">
        <v>1692</v>
      </c>
      <c r="M12" s="17"/>
      <c r="N12" s="56" t="s">
        <v>9</v>
      </c>
      <c r="O12" s="381">
        <v>10</v>
      </c>
      <c r="P12" s="56" t="s">
        <v>9</v>
      </c>
      <c r="Q12" s="381">
        <v>70</v>
      </c>
    </row>
    <row r="13" spans="1:17" x14ac:dyDescent="0.15">
      <c r="A13" s="299" t="s">
        <v>10</v>
      </c>
      <c r="B13" s="261">
        <f>IFERROR(VLOOKUP($A13,年齢区分＿1年以上[#All],2,FALSE),0)</f>
        <v>409</v>
      </c>
      <c r="C13" s="301">
        <f t="shared" si="0"/>
        <v>4.4738569240866333E-2</v>
      </c>
      <c r="E13" s="299" t="s">
        <v>10</v>
      </c>
      <c r="F13" s="261">
        <f>IFERROR(VLOOKUP($A13,年齢区分＿1年以上＿寛解[#All],2,FALSE),0)</f>
        <v>3</v>
      </c>
      <c r="G13" s="261">
        <f>IFERROR(VLOOKUP($A13,年齢区分＿1年以上＿院内寛解[#All],2,FALSE),0)</f>
        <v>7</v>
      </c>
      <c r="H13" s="259">
        <f t="shared" si="1"/>
        <v>10</v>
      </c>
      <c r="I13" s="301">
        <f t="shared" si="2"/>
        <v>1.7452006980802792E-2</v>
      </c>
      <c r="K13" s="56" t="s">
        <v>10</v>
      </c>
      <c r="L13" s="381">
        <v>409</v>
      </c>
      <c r="M13" s="17"/>
      <c r="N13" s="56" t="s">
        <v>10</v>
      </c>
      <c r="O13" s="381">
        <v>3</v>
      </c>
      <c r="P13" s="56" t="s">
        <v>10</v>
      </c>
      <c r="Q13" s="381">
        <v>7</v>
      </c>
    </row>
    <row r="14" spans="1:17" ht="19.5" thickBot="1" x14ac:dyDescent="0.2">
      <c r="A14" s="317" t="s">
        <v>11</v>
      </c>
      <c r="B14" s="318">
        <f>SUM(B5:B13)</f>
        <v>9142</v>
      </c>
      <c r="C14" s="319">
        <f>SUM(C5:C13)</f>
        <v>1</v>
      </c>
      <c r="E14" s="317" t="s">
        <v>11</v>
      </c>
      <c r="F14" s="318">
        <f>SUM(F5:F13)</f>
        <v>87</v>
      </c>
      <c r="G14" s="318">
        <f t="shared" ref="G14" si="3">SUM(G5:G13)</f>
        <v>486</v>
      </c>
      <c r="H14" s="318">
        <f>SUM(H5:H13)</f>
        <v>573</v>
      </c>
      <c r="I14" s="319">
        <f>SUM(I5:I13)</f>
        <v>1</v>
      </c>
      <c r="K14" s="15"/>
      <c r="L14" s="61"/>
      <c r="M14" s="17"/>
      <c r="N14" s="15"/>
      <c r="O14" s="61"/>
      <c r="P14" s="15"/>
      <c r="Q14" s="61"/>
    </row>
    <row r="15" spans="1:17" s="3" customFormat="1" ht="21" thickTop="1" thickBot="1" x14ac:dyDescent="0.2">
      <c r="A15" s="313" t="s">
        <v>92</v>
      </c>
      <c r="B15" s="304">
        <f>B14-B16</f>
        <v>3495</v>
      </c>
      <c r="C15" s="472">
        <f t="shared" ref="C15:C16" si="4">IFERROR(B15/B$14,"-")</f>
        <v>0.38230146576241525</v>
      </c>
      <c r="D15" s="22"/>
      <c r="E15" s="313" t="s">
        <v>92</v>
      </c>
      <c r="F15" s="304">
        <f t="shared" ref="F15:G15" si="5">F14-F16</f>
        <v>35</v>
      </c>
      <c r="G15" s="304">
        <f t="shared" si="5"/>
        <v>217</v>
      </c>
      <c r="H15" s="314">
        <f>SUM(F15:G15)</f>
        <v>252</v>
      </c>
      <c r="I15" s="472">
        <f t="shared" si="2"/>
        <v>0.43979057591623039</v>
      </c>
      <c r="K15" s="380" t="s">
        <v>89</v>
      </c>
      <c r="L15" s="501">
        <v>5647</v>
      </c>
      <c r="M15" s="9"/>
      <c r="N15" s="380" t="s">
        <v>89</v>
      </c>
      <c r="O15" s="501">
        <v>52</v>
      </c>
      <c r="P15" s="380" t="s">
        <v>89</v>
      </c>
      <c r="Q15" s="501">
        <v>269</v>
      </c>
    </row>
    <row r="16" spans="1:17" ht="19.5" thickTop="1" x14ac:dyDescent="0.15">
      <c r="A16" s="303" t="s">
        <v>91</v>
      </c>
      <c r="B16" s="304">
        <f>L15</f>
        <v>5647</v>
      </c>
      <c r="C16" s="472">
        <f t="shared" si="4"/>
        <v>0.61769853423758481</v>
      </c>
      <c r="D16" s="22"/>
      <c r="E16" s="303" t="s">
        <v>91</v>
      </c>
      <c r="F16" s="314">
        <f>O15</f>
        <v>52</v>
      </c>
      <c r="G16" s="314">
        <f>Q15</f>
        <v>269</v>
      </c>
      <c r="H16" s="314">
        <f>SUM(F16:G16)</f>
        <v>321</v>
      </c>
      <c r="I16" s="472">
        <f t="shared" si="2"/>
        <v>0.56020942408376961</v>
      </c>
      <c r="K16" s="22"/>
      <c r="L16" s="22"/>
      <c r="M16" s="22"/>
      <c r="N16" s="22"/>
    </row>
    <row r="17" spans="1:14" x14ac:dyDescent="0.15">
      <c r="K17" s="22"/>
      <c r="L17" s="22"/>
      <c r="M17" s="22"/>
      <c r="N17" s="22"/>
    </row>
    <row r="18" spans="1:14" ht="13.5" customHeight="1" x14ac:dyDescent="0.15">
      <c r="K18" s="46"/>
      <c r="L18" s="47"/>
      <c r="M18" s="47"/>
      <c r="N18" s="22"/>
    </row>
    <row r="19" spans="1:14" x14ac:dyDescent="0.15">
      <c r="K19" s="7"/>
      <c r="L19" s="8"/>
      <c r="M19" s="49"/>
      <c r="N19" s="22"/>
    </row>
    <row r="20" spans="1:14" x14ac:dyDescent="0.15">
      <c r="K20" s="7"/>
      <c r="L20" s="8"/>
      <c r="M20" s="49"/>
      <c r="N20" s="22"/>
    </row>
    <row r="21" spans="1:14" x14ac:dyDescent="0.15">
      <c r="K21" s="7"/>
      <c r="L21" s="8"/>
      <c r="M21" s="49"/>
      <c r="N21" s="22"/>
    </row>
    <row r="22" spans="1:14" x14ac:dyDescent="0.15">
      <c r="K22" s="7"/>
      <c r="L22" s="8"/>
      <c r="M22" s="49"/>
      <c r="N22" s="22"/>
    </row>
    <row r="23" spans="1:14" x14ac:dyDescent="0.15">
      <c r="K23" s="7"/>
      <c r="L23" s="8"/>
      <c r="M23" s="49"/>
      <c r="N23" s="22"/>
    </row>
    <row r="24" spans="1:14" x14ac:dyDescent="0.15">
      <c r="K24" s="7"/>
      <c r="L24" s="8"/>
      <c r="M24" s="49"/>
      <c r="N24" s="22"/>
    </row>
    <row r="25" spans="1:14" x14ac:dyDescent="0.15">
      <c r="K25" s="7"/>
      <c r="L25" s="8"/>
      <c r="M25" s="49"/>
      <c r="N25" s="22"/>
    </row>
    <row r="26" spans="1:14" x14ac:dyDescent="0.15">
      <c r="K26" s="7"/>
      <c r="L26" s="8"/>
      <c r="M26" s="49"/>
      <c r="N26" s="22"/>
    </row>
    <row r="27" spans="1:14" x14ac:dyDescent="0.15">
      <c r="B27" s="38"/>
      <c r="K27" s="7"/>
      <c r="L27" s="51"/>
      <c r="M27" s="52"/>
      <c r="N27" s="22"/>
    </row>
    <row r="28" spans="1:14" x14ac:dyDescent="0.15">
      <c r="K28" s="50"/>
      <c r="L28" s="51"/>
      <c r="M28" s="52"/>
      <c r="N28" s="22"/>
    </row>
    <row r="29" spans="1:14" x14ac:dyDescent="0.15">
      <c r="K29" s="22"/>
      <c r="L29" s="22"/>
      <c r="M29" s="22"/>
      <c r="N29" s="22"/>
    </row>
    <row r="30" spans="1:14" x14ac:dyDescent="0.15">
      <c r="K30" s="7"/>
      <c r="L30" s="22"/>
      <c r="M30" s="22"/>
      <c r="N30" s="22"/>
    </row>
    <row r="31" spans="1:14" x14ac:dyDescent="0.15">
      <c r="A31" s="38"/>
      <c r="B31" s="23"/>
      <c r="K31" s="46"/>
      <c r="L31" s="47"/>
      <c r="M31" s="47"/>
      <c r="N31" s="22"/>
    </row>
    <row r="32" spans="1:14" x14ac:dyDescent="0.15">
      <c r="A32" s="38"/>
      <c r="B32" s="23"/>
      <c r="K32" s="7"/>
      <c r="L32" s="8"/>
      <c r="M32" s="49"/>
      <c r="N32" s="22"/>
    </row>
    <row r="33" spans="1:14" x14ac:dyDescent="0.15">
      <c r="A33" s="38"/>
      <c r="B33" s="23"/>
      <c r="K33" s="7"/>
      <c r="L33" s="8"/>
      <c r="M33" s="49"/>
      <c r="N33" s="22"/>
    </row>
    <row r="34" spans="1:14" x14ac:dyDescent="0.15">
      <c r="K34" s="7"/>
      <c r="L34" s="8"/>
      <c r="M34" s="49"/>
      <c r="N34" s="22"/>
    </row>
    <row r="35" spans="1:14" x14ac:dyDescent="0.15">
      <c r="K35" s="7"/>
      <c r="L35" s="8"/>
      <c r="M35" s="49"/>
      <c r="N35" s="22"/>
    </row>
    <row r="36" spans="1:14" x14ac:dyDescent="0.15">
      <c r="K36" s="7"/>
      <c r="L36" s="8"/>
      <c r="M36" s="49"/>
      <c r="N36" s="22"/>
    </row>
    <row r="37" spans="1:14" x14ac:dyDescent="0.15">
      <c r="K37" s="7"/>
      <c r="L37" s="8"/>
      <c r="M37" s="49"/>
      <c r="N37" s="22"/>
    </row>
    <row r="38" spans="1:14" x14ac:dyDescent="0.15">
      <c r="K38" s="7"/>
      <c r="L38" s="8"/>
      <c r="M38" s="49"/>
      <c r="N38" s="22"/>
    </row>
    <row r="39" spans="1:14" x14ac:dyDescent="0.15">
      <c r="K39" s="7"/>
      <c r="L39" s="8"/>
      <c r="M39" s="49"/>
      <c r="N39" s="22"/>
    </row>
    <row r="40" spans="1:14" x14ac:dyDescent="0.15">
      <c r="K40" s="7"/>
      <c r="L40" s="8"/>
      <c r="M40" s="49"/>
      <c r="N40" s="22"/>
    </row>
    <row r="41" spans="1:14" x14ac:dyDescent="0.15">
      <c r="K41" s="50"/>
      <c r="L41" s="51"/>
      <c r="M41" s="52"/>
      <c r="N41" s="22"/>
    </row>
    <row r="42" spans="1:14" x14ac:dyDescent="0.15">
      <c r="K42" s="22"/>
      <c r="L42" s="22"/>
      <c r="M42" s="22"/>
      <c r="N42" s="22"/>
    </row>
    <row r="43" spans="1:14" x14ac:dyDescent="0.15">
      <c r="K43" s="22"/>
      <c r="L43" s="22"/>
      <c r="M43" s="22"/>
      <c r="N43" s="22"/>
    </row>
    <row r="44" spans="1:14" x14ac:dyDescent="0.15">
      <c r="K44" s="22"/>
      <c r="L44" s="22"/>
      <c r="M44" s="22"/>
      <c r="N44" s="22"/>
    </row>
    <row r="45" spans="1:14" x14ac:dyDescent="0.15">
      <c r="K45" s="22"/>
      <c r="L45" s="22"/>
      <c r="M45" s="22"/>
      <c r="N45" s="22"/>
    </row>
    <row r="46" spans="1:14" x14ac:dyDescent="0.15">
      <c r="K46" s="22"/>
      <c r="L46" s="22"/>
      <c r="M46" s="22"/>
      <c r="N46" s="22"/>
    </row>
    <row r="47" spans="1:14" x14ac:dyDescent="0.15">
      <c r="K47" s="22"/>
      <c r="L47" s="22"/>
      <c r="M47" s="22"/>
      <c r="N47" s="22"/>
    </row>
    <row r="48" spans="1:14" x14ac:dyDescent="0.15">
      <c r="K48" s="22"/>
      <c r="L48" s="22"/>
      <c r="M48" s="22"/>
      <c r="N48" s="22"/>
    </row>
    <row r="49" spans="11:14" x14ac:dyDescent="0.15">
      <c r="K49" s="22"/>
      <c r="L49" s="22"/>
      <c r="M49" s="22"/>
      <c r="N49" s="22"/>
    </row>
    <row r="50" spans="11:14" x14ac:dyDescent="0.15">
      <c r="K50" s="22"/>
      <c r="L50" s="22"/>
      <c r="M50" s="22"/>
      <c r="N50" s="22"/>
    </row>
    <row r="51" spans="11:14" x14ac:dyDescent="0.15">
      <c r="K51" s="22"/>
      <c r="L51" s="22"/>
      <c r="M51" s="22"/>
      <c r="N51" s="22"/>
    </row>
    <row r="52" spans="11:14" x14ac:dyDescent="0.15">
      <c r="K52" s="22"/>
      <c r="L52" s="22"/>
      <c r="M52" s="22"/>
      <c r="N52" s="22"/>
    </row>
    <row r="53" spans="11:14" x14ac:dyDescent="0.15">
      <c r="K53" s="22"/>
      <c r="L53" s="22"/>
      <c r="M53" s="22"/>
      <c r="N53" s="22"/>
    </row>
    <row r="54" spans="11:14" x14ac:dyDescent="0.15">
      <c r="K54" s="22"/>
      <c r="L54" s="22"/>
      <c r="M54" s="22"/>
      <c r="N54" s="22"/>
    </row>
  </sheetData>
  <phoneticPr fontId="2"/>
  <pageMargins left="0.70866141732283472" right="0.70866141732283472" top="0.74803149606299213" bottom="0.74803149606299213" header="0.31496062992125984" footer="0.31496062992125984"/>
  <pageSetup paperSize="11" scale="98"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2289" r:id="rId4" name="Button 1">
              <controlPr defaultSize="0" print="0" autoFill="0" autoPict="0" macro="[0]!データ削除7">
                <anchor moveWithCells="1" sizeWithCells="1">
                  <from>
                    <xdr:col>17</xdr:col>
                    <xdr:colOff>704850</xdr:colOff>
                    <xdr:row>3</xdr:row>
                    <xdr:rowOff>76200</xdr:rowOff>
                  </from>
                  <to>
                    <xdr:col>19</xdr:col>
                    <xdr:colOff>161925</xdr:colOff>
                    <xdr:row>5</xdr:row>
                    <xdr:rowOff>114300</xdr:rowOff>
                  </to>
                </anchor>
              </controlPr>
            </control>
          </mc:Choice>
        </mc:AlternateContent>
      </controls>
    </mc:Choice>
  </mc:AlternateContent>
  <tableParts count="3">
    <tablePart r:id="rId5"/>
    <tablePart r:id="rId6"/>
    <tablePart r:id="rId7"/>
  </tablePart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rgb="FF00B0F0"/>
    <pageSetUpPr fitToPage="1"/>
  </sheetPr>
  <dimension ref="A1:M40"/>
  <sheetViews>
    <sheetView view="pageBreakPreview" zoomScale="80" zoomScaleNormal="100" zoomScaleSheetLayoutView="80" workbookViewId="0">
      <selection activeCell="G1" sqref="G1:M1048576"/>
    </sheetView>
  </sheetViews>
  <sheetFormatPr defaultRowHeight="18.75" x14ac:dyDescent="0.15"/>
  <cols>
    <col min="1" max="1" width="22.125" style="1" customWidth="1"/>
    <col min="2" max="5" width="9.375" style="1" customWidth="1"/>
    <col min="6" max="6" width="5.875" style="1" bestFit="1" customWidth="1"/>
    <col min="7" max="7" width="20.75" style="1" hidden="1" customWidth="1"/>
    <col min="8" max="8" width="9.375" style="1" hidden="1" customWidth="1"/>
    <col min="9" max="9" width="9.125" style="1" hidden="1" customWidth="1"/>
    <col min="10" max="10" width="20.625" style="1" hidden="1" customWidth="1"/>
    <col min="11" max="11" width="9.375" style="1" hidden="1" customWidth="1"/>
    <col min="12" max="12" width="6.625" style="1" hidden="1" customWidth="1"/>
    <col min="13" max="13" width="7.375" style="1" hidden="1" customWidth="1"/>
    <col min="14" max="14" width="5" style="1" customWidth="1"/>
    <col min="15" max="15" width="6.625" style="1" customWidth="1"/>
    <col min="16" max="16" width="7.375" style="1" customWidth="1"/>
    <col min="17" max="16384" width="9" style="1"/>
  </cols>
  <sheetData>
    <row r="1" spans="1:11" s="3" customFormat="1" ht="19.5" x14ac:dyDescent="0.15">
      <c r="A1" s="2" t="s">
        <v>150</v>
      </c>
    </row>
    <row r="2" spans="1:11" x14ac:dyDescent="0.15">
      <c r="A2" s="4"/>
      <c r="G2" s="56" t="s">
        <v>63</v>
      </c>
    </row>
    <row r="3" spans="1:11" s="3" customFormat="1" ht="20.25" thickBot="1" x14ac:dyDescent="0.2">
      <c r="A3" s="4" t="s">
        <v>13</v>
      </c>
      <c r="G3" s="388" t="s">
        <v>282</v>
      </c>
      <c r="H3" s="495" t="s">
        <v>0</v>
      </c>
      <c r="I3" s="1"/>
      <c r="J3" s="1"/>
    </row>
    <row r="4" spans="1:11" ht="20.25" thickTop="1" thickBot="1" x14ac:dyDescent="0.2">
      <c r="A4" s="315"/>
      <c r="B4" s="315" t="s">
        <v>0</v>
      </c>
      <c r="C4" s="315" t="s">
        <v>1</v>
      </c>
      <c r="G4" s="422" t="s">
        <v>371</v>
      </c>
      <c r="H4" s="142" t="s">
        <v>373</v>
      </c>
      <c r="J4" s="37"/>
    </row>
    <row r="5" spans="1:11" ht="19.5" thickTop="1" x14ac:dyDescent="0.15">
      <c r="A5" s="299" t="s">
        <v>14</v>
      </c>
      <c r="B5" s="261">
        <f>IFERROR(VLOOKUP("措置入院",入院形態＿1年以上[#All],2,FALSE),0)+IFERROR(VLOOKUP("緊急措置入院",入院形態＿1年以上[#All],2,FALSE),0)</f>
        <v>6</v>
      </c>
      <c r="C5" s="301">
        <f>IFERROR(B5/B$10,"-")</f>
        <v>6.5631152920586308E-4</v>
      </c>
      <c r="G5" s="40" t="s">
        <v>15</v>
      </c>
      <c r="H5" s="41">
        <v>4760</v>
      </c>
      <c r="J5" s="42"/>
    </row>
    <row r="6" spans="1:11" x14ac:dyDescent="0.15">
      <c r="A6" s="299" t="s">
        <v>15</v>
      </c>
      <c r="B6" s="261">
        <f>IFERROR(VLOOKUP(A6,入院形態＿1年以上[#All],2,FALSE),0)</f>
        <v>4760</v>
      </c>
      <c r="C6" s="301">
        <f t="shared" ref="C6:C9" si="0">IFERROR(B6/B$10,"-")</f>
        <v>0.52067381316998473</v>
      </c>
      <c r="G6" s="40" t="s">
        <v>16</v>
      </c>
      <c r="H6" s="41">
        <v>4355</v>
      </c>
      <c r="J6" s="42"/>
    </row>
    <row r="7" spans="1:11" x14ac:dyDescent="0.15">
      <c r="A7" s="299" t="s">
        <v>16</v>
      </c>
      <c r="B7" s="261">
        <f>IFERROR(VLOOKUP(A7,入院形態＿1年以上[#All],2,FALSE),0)</f>
        <v>4355</v>
      </c>
      <c r="C7" s="301">
        <f t="shared" si="0"/>
        <v>0.47637278494858892</v>
      </c>
      <c r="G7" s="40" t="s">
        <v>374</v>
      </c>
      <c r="H7" s="41">
        <v>6</v>
      </c>
      <c r="J7" s="42"/>
    </row>
    <row r="8" spans="1:11" x14ac:dyDescent="0.15">
      <c r="A8" s="299" t="s">
        <v>17</v>
      </c>
      <c r="B8" s="261">
        <f>IFERROR(VLOOKUP(A8,入院形態＿1年以上[#All],2,FALSE),0)</f>
        <v>0</v>
      </c>
      <c r="C8" s="301">
        <f t="shared" si="0"/>
        <v>0</v>
      </c>
      <c r="G8" s="40" t="s">
        <v>375</v>
      </c>
      <c r="H8" s="41">
        <v>0</v>
      </c>
      <c r="J8" s="42"/>
    </row>
    <row r="9" spans="1:11" x14ac:dyDescent="0.15">
      <c r="A9" s="299" t="s">
        <v>18</v>
      </c>
      <c r="B9" s="261">
        <f>IFERROR(VLOOKUP("鑑定入院",入院形態＿1年以上[#All],2,FALSE),0)+IFERROR(VLOOKUP("医療観察法による入院",入院形態＿1年以上[#All],2,FALSE),0)</f>
        <v>21</v>
      </c>
      <c r="C9" s="301">
        <f t="shared" si="0"/>
        <v>2.2970903522205209E-3</v>
      </c>
      <c r="G9" s="40" t="s">
        <v>17</v>
      </c>
      <c r="H9" s="41">
        <v>0</v>
      </c>
    </row>
    <row r="10" spans="1:11" x14ac:dyDescent="0.15">
      <c r="A10" s="317" t="s">
        <v>11</v>
      </c>
      <c r="B10" s="318">
        <f>SUM(B5:B9)</f>
        <v>9142</v>
      </c>
      <c r="C10" s="319">
        <f>SUM(C5:C9)</f>
        <v>1</v>
      </c>
      <c r="G10" s="43" t="s">
        <v>376</v>
      </c>
      <c r="H10" s="41">
        <v>21</v>
      </c>
    </row>
    <row r="11" spans="1:11" x14ac:dyDescent="0.15">
      <c r="A11" s="38"/>
      <c r="B11" s="44"/>
      <c r="C11" s="45"/>
      <c r="G11" s="43" t="s">
        <v>377</v>
      </c>
      <c r="H11" s="41">
        <v>0</v>
      </c>
    </row>
    <row r="12" spans="1:11" x14ac:dyDescent="0.15">
      <c r="A12" s="38"/>
      <c r="B12" s="44"/>
      <c r="C12" s="45"/>
      <c r="G12" s="43"/>
      <c r="H12" s="387"/>
    </row>
    <row r="13" spans="1:11" x14ac:dyDescent="0.15">
      <c r="A13" s="38"/>
      <c r="B13" s="44"/>
      <c r="C13" s="45"/>
      <c r="G13" s="43"/>
      <c r="H13" s="387"/>
    </row>
    <row r="14" spans="1:11" s="3" customFormat="1" ht="19.5" x14ac:dyDescent="0.15">
      <c r="A14" s="4" t="s">
        <v>151</v>
      </c>
      <c r="G14" s="43"/>
      <c r="H14" s="387"/>
      <c r="I14" s="1"/>
      <c r="J14" s="1"/>
      <c r="K14" s="1"/>
    </row>
    <row r="15" spans="1:11" ht="19.5" thickBot="1" x14ac:dyDescent="0.2">
      <c r="A15" s="315"/>
      <c r="B15" s="315" t="s">
        <v>152</v>
      </c>
      <c r="C15" s="315" t="s">
        <v>153</v>
      </c>
      <c r="D15" s="315" t="s">
        <v>12</v>
      </c>
      <c r="E15" s="315" t="s">
        <v>1</v>
      </c>
      <c r="G15" s="497" t="s">
        <v>282</v>
      </c>
      <c r="H15" s="495" t="s">
        <v>28</v>
      </c>
      <c r="J15" s="497" t="s">
        <v>282</v>
      </c>
      <c r="K15" s="495" t="s">
        <v>283</v>
      </c>
    </row>
    <row r="16" spans="1:11" ht="21" thickTop="1" thickBot="1" x14ac:dyDescent="0.2">
      <c r="A16" s="299" t="s">
        <v>14</v>
      </c>
      <c r="B16" s="259">
        <f>IFERROR(VLOOKUP("措置入院",入院形態＿1年以上＿寛解[#All],2,FALSE),0)+IFERROR(VLOOKUP("緊急措置入院",入院形態＿1年以上＿寛解[#All],2,FALSE),0)</f>
        <v>0</v>
      </c>
      <c r="C16" s="259">
        <f>IFERROR(VLOOKUP("措置入院",入院形態＿1年以上＿院内寛解[#All],2,FALSE),0)+IFERROR(VLOOKUP("緊急措置入院",入院形態＿1年以上＿院内寛解[#All],2,FALSE),0)</f>
        <v>0</v>
      </c>
      <c r="D16" s="259">
        <f>SUM(B16:C16)</f>
        <v>0</v>
      </c>
      <c r="E16" s="301">
        <f>IFERROR(D16/D$21,"-")</f>
        <v>0</v>
      </c>
      <c r="G16" s="422" t="s">
        <v>371</v>
      </c>
      <c r="H16" s="142" t="s">
        <v>373</v>
      </c>
      <c r="I16" s="3"/>
      <c r="J16" s="422" t="s">
        <v>371</v>
      </c>
      <c r="K16" s="142" t="s">
        <v>373</v>
      </c>
    </row>
    <row r="17" spans="1:11" ht="19.5" thickTop="1" x14ac:dyDescent="0.15">
      <c r="A17" s="299" t="s">
        <v>15</v>
      </c>
      <c r="B17" s="259">
        <f>IFERROR(VLOOKUP($A17,入院形態＿1年以上＿寛解[#All],2,FALSE),0)</f>
        <v>14</v>
      </c>
      <c r="C17" s="259">
        <f>IFERROR(VLOOKUP($A17,入院形態＿1年以上＿院内寛解[#All],2,FALSE),0)</f>
        <v>126</v>
      </c>
      <c r="D17" s="259">
        <f t="shared" ref="D17:D20" si="1">SUM(B17:C17)</f>
        <v>140</v>
      </c>
      <c r="E17" s="301">
        <f t="shared" ref="E17:E20" si="2">IFERROR(D17/D$21,"-")</f>
        <v>0.24432809773123909</v>
      </c>
      <c r="G17" s="40" t="s">
        <v>15</v>
      </c>
      <c r="H17" s="41">
        <v>14</v>
      </c>
      <c r="J17" s="40" t="s">
        <v>15</v>
      </c>
      <c r="K17" s="41">
        <v>126</v>
      </c>
    </row>
    <row r="18" spans="1:11" x14ac:dyDescent="0.15">
      <c r="A18" s="299" t="s">
        <v>16</v>
      </c>
      <c r="B18" s="259">
        <f>IFERROR(VLOOKUP($A18,入院形態＿1年以上＿寛解[#All],2,FALSE),0)</f>
        <v>71</v>
      </c>
      <c r="C18" s="259">
        <f>IFERROR(VLOOKUP($A18,入院形態＿1年以上＿院内寛解[#All],2,FALSE),0)</f>
        <v>358</v>
      </c>
      <c r="D18" s="259">
        <f t="shared" si="1"/>
        <v>429</v>
      </c>
      <c r="E18" s="301">
        <f t="shared" si="2"/>
        <v>0.74869109947643975</v>
      </c>
      <c r="G18" s="40" t="s">
        <v>16</v>
      </c>
      <c r="H18" s="48">
        <v>71</v>
      </c>
      <c r="I18" s="22"/>
      <c r="J18" s="40" t="s">
        <v>16</v>
      </c>
      <c r="K18" s="48">
        <v>358</v>
      </c>
    </row>
    <row r="19" spans="1:11" x14ac:dyDescent="0.15">
      <c r="A19" s="299" t="s">
        <v>17</v>
      </c>
      <c r="B19" s="259">
        <f>IFERROR(VLOOKUP($A19,入院形態＿1年以上＿寛解[#All],2,FALSE),0)</f>
        <v>0</v>
      </c>
      <c r="C19" s="259">
        <f>IFERROR(VLOOKUP($A19,入院形態＿1年以上＿院内寛解[#All],2,FALSE),0)</f>
        <v>0</v>
      </c>
      <c r="D19" s="259">
        <f t="shared" si="1"/>
        <v>0</v>
      </c>
      <c r="E19" s="301">
        <f t="shared" si="2"/>
        <v>0</v>
      </c>
      <c r="G19" s="40" t="s">
        <v>374</v>
      </c>
      <c r="H19" s="48">
        <v>0</v>
      </c>
      <c r="I19" s="22"/>
      <c r="J19" s="40" t="s">
        <v>374</v>
      </c>
      <c r="K19" s="48">
        <v>0</v>
      </c>
    </row>
    <row r="20" spans="1:11" x14ac:dyDescent="0.15">
      <c r="A20" s="299" t="s">
        <v>18</v>
      </c>
      <c r="B20" s="259">
        <f>IFERROR(VLOOKUP("鑑定入院",入院形態＿1年以上＿寛解[#All],2,FALSE),0)+IFERROR(VLOOKUP("医療観察法による入院",入院形態＿1年以上＿寛解[#All],2,FALSE),0)</f>
        <v>2</v>
      </c>
      <c r="C20" s="259">
        <f>IFERROR(VLOOKUP("鑑定入院",入院形態＿1年以上＿院内寛解[#All],2,FALSE),0)+IFERROR(VLOOKUP("医療観察法による入院",入院形態＿1年以上＿院内寛解[#All],2,FALSE),0)</f>
        <v>2</v>
      </c>
      <c r="D20" s="259">
        <f t="shared" si="1"/>
        <v>4</v>
      </c>
      <c r="E20" s="301">
        <f t="shared" si="2"/>
        <v>6.9808027923211171E-3</v>
      </c>
      <c r="G20" s="40" t="s">
        <v>375</v>
      </c>
      <c r="H20" s="48">
        <v>0</v>
      </c>
      <c r="I20" s="22"/>
      <c r="J20" s="40" t="s">
        <v>375</v>
      </c>
      <c r="K20" s="48">
        <v>0</v>
      </c>
    </row>
    <row r="21" spans="1:11" x14ac:dyDescent="0.15">
      <c r="A21" s="317" t="s">
        <v>11</v>
      </c>
      <c r="B21" s="318">
        <f>SUM(B16:B20)</f>
        <v>87</v>
      </c>
      <c r="C21" s="318">
        <f>SUM(C16:C20)</f>
        <v>486</v>
      </c>
      <c r="D21" s="318">
        <f>SUM(D16:D20)</f>
        <v>573</v>
      </c>
      <c r="E21" s="319">
        <f>SUM(E16:E20)</f>
        <v>1</v>
      </c>
      <c r="G21" s="40" t="s">
        <v>17</v>
      </c>
      <c r="H21" s="48">
        <v>0</v>
      </c>
      <c r="I21" s="22"/>
      <c r="J21" s="40" t="s">
        <v>17</v>
      </c>
      <c r="K21" s="48">
        <v>0</v>
      </c>
    </row>
    <row r="22" spans="1:11" x14ac:dyDescent="0.15">
      <c r="G22" s="43" t="s">
        <v>376</v>
      </c>
      <c r="H22" s="48">
        <v>2</v>
      </c>
      <c r="J22" s="43" t="s">
        <v>376</v>
      </c>
      <c r="K22" s="48">
        <v>2</v>
      </c>
    </row>
    <row r="23" spans="1:11" x14ac:dyDescent="0.15">
      <c r="G23" s="43" t="s">
        <v>377</v>
      </c>
      <c r="H23" s="48">
        <v>0</v>
      </c>
      <c r="J23" s="43" t="s">
        <v>377</v>
      </c>
      <c r="K23" s="48">
        <v>0</v>
      </c>
    </row>
    <row r="25" spans="1:11" x14ac:dyDescent="0.15">
      <c r="G25" s="22"/>
      <c r="H25" s="22"/>
      <c r="I25" s="22"/>
      <c r="J25" s="22"/>
    </row>
    <row r="26" spans="1:11" x14ac:dyDescent="0.15">
      <c r="G26" s="22"/>
      <c r="H26" s="22"/>
      <c r="I26" s="22"/>
      <c r="J26" s="22"/>
    </row>
    <row r="27" spans="1:11" x14ac:dyDescent="0.15">
      <c r="G27" s="22"/>
      <c r="H27" s="22"/>
      <c r="I27" s="22"/>
      <c r="J27" s="22"/>
    </row>
    <row r="28" spans="1:11" x14ac:dyDescent="0.15">
      <c r="G28" s="22"/>
      <c r="H28" s="22"/>
      <c r="I28" s="22"/>
      <c r="J28" s="22"/>
    </row>
    <row r="29" spans="1:11" x14ac:dyDescent="0.15">
      <c r="G29" s="22"/>
      <c r="H29" s="22"/>
      <c r="I29" s="22"/>
      <c r="J29" s="22"/>
    </row>
    <row r="30" spans="1:11" x14ac:dyDescent="0.15">
      <c r="G30" s="22"/>
      <c r="H30" s="22"/>
      <c r="I30" s="22"/>
      <c r="J30" s="22"/>
    </row>
    <row r="31" spans="1:11" x14ac:dyDescent="0.15">
      <c r="G31" s="22"/>
      <c r="H31" s="22"/>
      <c r="I31" s="22"/>
      <c r="J31" s="22"/>
    </row>
    <row r="32" spans="1:11" x14ac:dyDescent="0.15">
      <c r="G32" s="22"/>
      <c r="H32" s="22"/>
      <c r="I32" s="22"/>
      <c r="J32" s="22"/>
    </row>
    <row r="33" spans="7:10" x14ac:dyDescent="0.15">
      <c r="G33" s="22"/>
      <c r="H33" s="22"/>
      <c r="I33" s="22"/>
      <c r="J33" s="22"/>
    </row>
    <row r="34" spans="7:10" x14ac:dyDescent="0.15">
      <c r="G34" s="22"/>
      <c r="H34" s="22"/>
      <c r="I34" s="22"/>
      <c r="J34" s="22"/>
    </row>
    <row r="35" spans="7:10" x14ac:dyDescent="0.15">
      <c r="G35" s="22"/>
      <c r="H35" s="22"/>
      <c r="I35" s="22"/>
      <c r="J35" s="22"/>
    </row>
    <row r="36" spans="7:10" x14ac:dyDescent="0.15">
      <c r="G36" s="22"/>
      <c r="H36" s="22"/>
      <c r="I36" s="22"/>
      <c r="J36" s="22"/>
    </row>
    <row r="37" spans="7:10" x14ac:dyDescent="0.15">
      <c r="G37" s="22"/>
      <c r="H37" s="22"/>
      <c r="I37" s="22"/>
      <c r="J37" s="22"/>
    </row>
    <row r="38" spans="7:10" x14ac:dyDescent="0.15">
      <c r="G38" s="22"/>
      <c r="H38" s="22"/>
      <c r="I38" s="22"/>
      <c r="J38" s="22"/>
    </row>
    <row r="39" spans="7:10" x14ac:dyDescent="0.15">
      <c r="G39" s="22"/>
      <c r="H39" s="22"/>
      <c r="I39" s="22"/>
      <c r="J39" s="22"/>
    </row>
    <row r="40" spans="7:10" x14ac:dyDescent="0.15">
      <c r="G40" s="22"/>
      <c r="H40" s="22"/>
      <c r="I40" s="22"/>
      <c r="J40" s="22"/>
    </row>
  </sheetData>
  <phoneticPr fontId="2"/>
  <pageMargins left="0.70866141732283472" right="0.70866141732283472" top="0.74803149606299213" bottom="0.74803149606299213" header="0.31496062992125984" footer="0.31496062992125984"/>
  <pageSetup paperSize="11" scale="85"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3313" r:id="rId4" name="Button 1">
              <controlPr defaultSize="0" print="0" autoFill="0" autoPict="0" macro="[0]!データ削除8">
                <anchor moveWithCells="1" sizeWithCells="1">
                  <from>
                    <xdr:col>9</xdr:col>
                    <xdr:colOff>885825</xdr:colOff>
                    <xdr:row>3</xdr:row>
                    <xdr:rowOff>47625</xdr:rowOff>
                  </from>
                  <to>
                    <xdr:col>11</xdr:col>
                    <xdr:colOff>342900</xdr:colOff>
                    <xdr:row>5</xdr:row>
                    <xdr:rowOff>95250</xdr:rowOff>
                  </to>
                </anchor>
              </controlPr>
            </control>
          </mc:Choice>
        </mc:AlternateContent>
      </controls>
    </mc:Choice>
  </mc:AlternateContent>
  <tableParts count="3">
    <tablePart r:id="rId5"/>
    <tablePart r:id="rId6"/>
    <tablePart r:id="rId7"/>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44</vt:i4>
      </vt:variant>
      <vt:variant>
        <vt:lpstr>名前付き一覧</vt:lpstr>
      </vt:variant>
      <vt:variant>
        <vt:i4>43</vt:i4>
      </vt:variant>
    </vt:vector>
  </HeadingPairs>
  <TitlesOfParts>
    <vt:vector size="87" baseType="lpstr">
      <vt:lpstr>巻末資料表紙</vt:lpstr>
      <vt:lpstr>2-Ⅰ</vt:lpstr>
      <vt:lpstr>２-Ⅱ</vt:lpstr>
      <vt:lpstr>２-Ⅲ</vt:lpstr>
      <vt:lpstr>２-Ⅳ</vt:lpstr>
      <vt:lpstr>２-Ⅴ</vt:lpstr>
      <vt:lpstr>２-Ⅵ</vt:lpstr>
      <vt:lpstr>３-Ⅰ</vt:lpstr>
      <vt:lpstr>３-Ⅱ</vt:lpstr>
      <vt:lpstr>３-Ⅲ</vt:lpstr>
      <vt:lpstr>３-Ⅳ</vt:lpstr>
      <vt:lpstr>３-Ⅴ</vt:lpstr>
      <vt:lpstr>４-Ⅰ</vt:lpstr>
      <vt:lpstr>４-Ⅱ</vt:lpstr>
      <vt:lpstr>４-Ⅲ</vt:lpstr>
      <vt:lpstr>４-Ⅳ</vt:lpstr>
      <vt:lpstr>４-Ⅴ</vt:lpstr>
      <vt:lpstr>４-Ⅵ</vt:lpstr>
      <vt:lpstr>5-Ⅰ①</vt:lpstr>
      <vt:lpstr>５-Ⅰ②</vt:lpstr>
      <vt:lpstr>５-Ⅰ③</vt:lpstr>
      <vt:lpstr>５-Ⅱ①</vt:lpstr>
      <vt:lpstr>５-Ⅱ②</vt:lpstr>
      <vt:lpstr>５-Ⅱ③</vt:lpstr>
      <vt:lpstr>５-Ⅱ④</vt:lpstr>
      <vt:lpstr>6-Ⅰ①</vt:lpstr>
      <vt:lpstr>6-Ⅰ②</vt:lpstr>
      <vt:lpstr>6-Ⅰ③</vt:lpstr>
      <vt:lpstr>6-Ⅰ④ </vt:lpstr>
      <vt:lpstr>6-Ⅰ⑤</vt:lpstr>
      <vt:lpstr>6-Ⅰ⑥ </vt:lpstr>
      <vt:lpstr>6-Ⅱ①</vt:lpstr>
      <vt:lpstr>6-Ⅱ②</vt:lpstr>
      <vt:lpstr>6-Ⅱ③</vt:lpstr>
      <vt:lpstr>6-Ⅱ④</vt:lpstr>
      <vt:lpstr>6-Ⅱ⑤</vt:lpstr>
      <vt:lpstr>6-Ⅱ⑥</vt:lpstr>
      <vt:lpstr>6-Ⅲ</vt:lpstr>
      <vt:lpstr>6-Ⅳ</vt:lpstr>
      <vt:lpstr>グラフ(年齢区分）</vt:lpstr>
      <vt:lpstr>グラフ(疾患名)</vt:lpstr>
      <vt:lpstr>グラフ(在院期間) </vt:lpstr>
      <vt:lpstr>グラフ(退院阻害要因＿１) </vt:lpstr>
      <vt:lpstr>グラフ(退院阻害要因＿２）</vt:lpstr>
      <vt:lpstr>'2-Ⅰ'!Print_Area</vt:lpstr>
      <vt:lpstr>'２-Ⅱ'!Print_Area</vt:lpstr>
      <vt:lpstr>'２-Ⅲ'!Print_Area</vt:lpstr>
      <vt:lpstr>'２-Ⅳ'!Print_Area</vt:lpstr>
      <vt:lpstr>'２-Ⅴ'!Print_Area</vt:lpstr>
      <vt:lpstr>'２-Ⅵ'!Print_Area</vt:lpstr>
      <vt:lpstr>'３-Ⅰ'!Print_Area</vt:lpstr>
      <vt:lpstr>'３-Ⅱ'!Print_Area</vt:lpstr>
      <vt:lpstr>'３-Ⅲ'!Print_Area</vt:lpstr>
      <vt:lpstr>'３-Ⅳ'!Print_Area</vt:lpstr>
      <vt:lpstr>'３-Ⅴ'!Print_Area</vt:lpstr>
      <vt:lpstr>'４-Ⅰ'!Print_Area</vt:lpstr>
      <vt:lpstr>'４-Ⅱ'!Print_Area</vt:lpstr>
      <vt:lpstr>'４-Ⅲ'!Print_Area</vt:lpstr>
      <vt:lpstr>'４-Ⅳ'!Print_Area</vt:lpstr>
      <vt:lpstr>'４-Ⅴ'!Print_Area</vt:lpstr>
      <vt:lpstr>'４-Ⅵ'!Print_Area</vt:lpstr>
      <vt:lpstr>'5-Ⅰ①'!Print_Area</vt:lpstr>
      <vt:lpstr>'５-Ⅰ②'!Print_Area</vt:lpstr>
      <vt:lpstr>'５-Ⅰ③'!Print_Area</vt:lpstr>
      <vt:lpstr>'５-Ⅱ①'!Print_Area</vt:lpstr>
      <vt:lpstr>'５-Ⅱ②'!Print_Area</vt:lpstr>
      <vt:lpstr>'５-Ⅱ③'!Print_Area</vt:lpstr>
      <vt:lpstr>'５-Ⅱ④'!Print_Area</vt:lpstr>
      <vt:lpstr>'6-Ⅰ①'!Print_Area</vt:lpstr>
      <vt:lpstr>'6-Ⅰ②'!Print_Area</vt:lpstr>
      <vt:lpstr>'6-Ⅰ③'!Print_Area</vt:lpstr>
      <vt:lpstr>'6-Ⅰ④ '!Print_Area</vt:lpstr>
      <vt:lpstr>'6-Ⅰ⑤'!Print_Area</vt:lpstr>
      <vt:lpstr>'6-Ⅰ⑥ '!Print_Area</vt:lpstr>
      <vt:lpstr>'6-Ⅱ①'!Print_Area</vt:lpstr>
      <vt:lpstr>'6-Ⅱ②'!Print_Area</vt:lpstr>
      <vt:lpstr>'6-Ⅱ③'!Print_Area</vt:lpstr>
      <vt:lpstr>'6-Ⅱ④'!Print_Area</vt:lpstr>
      <vt:lpstr>'6-Ⅱ⑤'!Print_Area</vt:lpstr>
      <vt:lpstr>'6-Ⅱ⑥'!Print_Area</vt:lpstr>
      <vt:lpstr>'6-Ⅲ'!Print_Area</vt:lpstr>
      <vt:lpstr>'6-Ⅳ'!Print_Area</vt:lpstr>
      <vt:lpstr>'グラフ(在院期間) '!Print_Area</vt:lpstr>
      <vt:lpstr>'グラフ(疾患名)'!Print_Area</vt:lpstr>
      <vt:lpstr>'グラフ(退院阻害要因＿１) '!Print_Area</vt:lpstr>
      <vt:lpstr>'グラフ(退院阻害要因＿２）'!Print_Area</vt:lpstr>
      <vt:lpstr>'グラフ(年齢区分）'!Print_Area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HOSTNAME</dc:creator>
  <cp:lastModifiedBy>大阪府</cp:lastModifiedBy>
  <cp:lastPrinted>2021-09-21T01:37:15Z</cp:lastPrinted>
  <dcterms:created xsi:type="dcterms:W3CDTF">2016-04-12T05:01:29Z</dcterms:created>
  <dcterms:modified xsi:type="dcterms:W3CDTF">2021-10-11T01:10:36Z</dcterms:modified>
</cp:coreProperties>
</file>